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205" yWindow="-270" windowWidth="25395" windowHeight="12525"/>
  </bookViews>
  <sheets>
    <sheet name="Лист1 (2)" sheetId="2" r:id="rId1"/>
  </sheets>
  <definedNames>
    <definedName name="_xlnm._FilterDatabase" localSheetId="0" hidden="1">'Лист1 (2)'!$A$15:$Z$1472</definedName>
    <definedName name="bbi1iepey541b3erm5gspvzrtk" localSheetId="0">#REF!</definedName>
    <definedName name="bbi1iepey541b3erm5gspvzrtk">#REF!</definedName>
    <definedName name="eaho2ejrtdbq5dbiou1fruoidk" localSheetId="0">#REF!</definedName>
    <definedName name="eaho2ejrtdbq5dbiou1fruoidk">#REF!</definedName>
    <definedName name="frupzostrx2engzlq5coj1izgc" localSheetId="0">#REF!</definedName>
    <definedName name="frupzostrx2engzlq5coj1izgc">#REF!</definedName>
    <definedName name="hxw0shfsad1bl0w3rcqndiwdqc" localSheetId="0">#REF!</definedName>
    <definedName name="hxw0shfsad1bl0w3rcqndiwdqc">#REF!</definedName>
    <definedName name="idhebtridp4g55tiidmllpbcck" localSheetId="0">#REF!</definedName>
    <definedName name="idhebtridp4g55tiidmllpbcck">#REF!</definedName>
    <definedName name="ilgrxtqehl5ojfb14epb1v0vpk" localSheetId="0">#REF!</definedName>
    <definedName name="ilgrxtqehl5ojfb14epb1v0vpk">#REF!</definedName>
    <definedName name="iukfigxpatbnff5s3qskal4gtw" localSheetId="0">#REF!</definedName>
    <definedName name="iukfigxpatbnff5s3qskal4gtw">#REF!</definedName>
    <definedName name="jbdrlm0jnl44bjyvb5parwosvs" localSheetId="0">#REF!</definedName>
    <definedName name="jbdrlm0jnl44bjyvb5parwosvs">#REF!</definedName>
    <definedName name="jmacmxvbgdblzh0tvh4m0gadvc" localSheetId="0">#REF!</definedName>
    <definedName name="jmacmxvbgdblzh0tvh4m0gadvc">#REF!</definedName>
    <definedName name="lens0r1dzt0ivfvdjvc15ibd1c" localSheetId="0">#REF!</definedName>
    <definedName name="lens0r1dzt0ivfvdjvc15ibd1c">#REF!</definedName>
    <definedName name="lzvlrjqro14zjenw2ueuj40zww" localSheetId="0">#REF!</definedName>
    <definedName name="lzvlrjqro14zjenw2ueuj40zww">#REF!</definedName>
    <definedName name="miceqmminp2t5fkvq3dcp5azms" localSheetId="0">#REF!</definedName>
    <definedName name="miceqmminp2t5fkvq3dcp5azms">#REF!</definedName>
    <definedName name="muebv3fbrh0nbhfkcvkdiuichg" localSheetId="0">#REF!</definedName>
    <definedName name="muebv3fbrh0nbhfkcvkdiuichg">#REF!</definedName>
    <definedName name="oishsvraxpbc3jz3kk3m5zcwm0" localSheetId="0">#REF!</definedName>
    <definedName name="oishsvraxpbc3jz3kk3m5zcwm0">#REF!</definedName>
    <definedName name="pf4ktio2ct2wb5lic4d0ij22zg" localSheetId="0">#REF!</definedName>
    <definedName name="pf4ktio2ct2wb5lic4d0ij22zg">#REF!</definedName>
    <definedName name="qhgcjeqs4xbh5af0b0knrgslds" localSheetId="0">#REF!</definedName>
    <definedName name="qhgcjeqs4xbh5af0b0knrgslds">#REF!</definedName>
    <definedName name="qm1r2zbyvxaabczgs5nd53xmq4" localSheetId="0">#REF!</definedName>
    <definedName name="qm1r2zbyvxaabczgs5nd53xmq4">#REF!</definedName>
    <definedName name="qunp1nijp1aaxbgswizf0lz200" localSheetId="0">#REF!</definedName>
    <definedName name="qunp1nijp1aaxbgswizf0lz200">#REF!</definedName>
    <definedName name="rcn525ywmx4pde1kn3aevp0dfk" localSheetId="0">#REF!</definedName>
    <definedName name="rcn525ywmx4pde1kn3aevp0dfk">#REF!</definedName>
    <definedName name="swpjxblu3dbu33cqzchc5hkk0w" localSheetId="0">#REF!</definedName>
    <definedName name="swpjxblu3dbu33cqzchc5hkk0w">#REF!</definedName>
    <definedName name="syjdhdk35p4nh3cjfxnviauzls" localSheetId="0">#REF!</definedName>
    <definedName name="syjdhdk35p4nh3cjfxnviauzls">#REF!</definedName>
    <definedName name="t1iocfpqd13el1y2ekxnfpwstw" localSheetId="0">#REF!</definedName>
    <definedName name="t1iocfpqd13el1y2ekxnfpwstw">#REF!</definedName>
    <definedName name="tqwxsrwtrd3p34nrtmvfunozag" localSheetId="0">#REF!</definedName>
    <definedName name="tqwxsrwtrd3p34nrtmvfunozag">#REF!</definedName>
    <definedName name="u1m5vran2x1y11qx5xfu2j4tz4" localSheetId="0">#REF!</definedName>
    <definedName name="u1m5vran2x1y11qx5xfu2j4tz4">#REF!</definedName>
    <definedName name="ua41amkhph5c1h53xxk2wbxxpk" localSheetId="0">#REF!</definedName>
    <definedName name="ua41amkhph5c1h53xxk2wbxxpk">#REF!</definedName>
    <definedName name="vm2ikyzfyl3c3f2vbofwexhk2c" localSheetId="0">#REF!</definedName>
    <definedName name="vm2ikyzfyl3c3f2vbofwexhk2c">#REF!</definedName>
    <definedName name="whvhn4kg25bcn2skpkb3bqydz4" localSheetId="0">#REF!</definedName>
    <definedName name="whvhn4kg25bcn2skpkb3bqydz4">#REF!</definedName>
    <definedName name="wqazcjs4o12a5adpyzuqhb5cko" localSheetId="0">#REF!</definedName>
    <definedName name="wqazcjs4o12a5adpyzuqhb5cko">#REF!</definedName>
    <definedName name="x50bwhcspt2rtgjg0vg0hfk2ns" localSheetId="0">#REF!</definedName>
    <definedName name="x50bwhcspt2rtgjg0vg0hfk2ns">#REF!</definedName>
    <definedName name="xfiudkw3z5aq3govpiyzsxyki0" localSheetId="0">#REF!</definedName>
    <definedName name="xfiudkw3z5aq3govpiyzsxyki0">#REF!</definedName>
    <definedName name="_xlnm.Print_Area" localSheetId="0">'Лист1 (2)'!$A$1:$X$1471</definedName>
  </definedNames>
  <calcPr calcId="144525"/>
</workbook>
</file>

<file path=xl/calcChain.xml><?xml version="1.0" encoding="utf-8"?>
<calcChain xmlns="http://schemas.openxmlformats.org/spreadsheetml/2006/main">
  <c r="W1478" i="2" l="1"/>
  <c r="W1451" i="2"/>
  <c r="W1450" i="2"/>
  <c r="W1445" i="2"/>
  <c r="W1358" i="2"/>
  <c r="W1354" i="2"/>
  <c r="W1352" i="2"/>
  <c r="W1346" i="2"/>
  <c r="W1345" i="2"/>
  <c r="W1337" i="2"/>
  <c r="W1335" i="2"/>
  <c r="W1333" i="2"/>
  <c r="W1326" i="2"/>
  <c r="W1325" i="2"/>
  <c r="W1324" i="2"/>
  <c r="W1322" i="2"/>
  <c r="W1253" i="2"/>
  <c r="W1224" i="2"/>
  <c r="W1162" i="2"/>
  <c r="W1158" i="2"/>
  <c r="W1156" i="2"/>
  <c r="W1155" i="2"/>
  <c r="W1153" i="2"/>
  <c r="W1152" i="2"/>
  <c r="W1133" i="2"/>
  <c r="W1055" i="2"/>
  <c r="W374" i="2"/>
  <c r="W152" i="2"/>
  <c r="W115" i="2"/>
  <c r="W114" i="2"/>
  <c r="W48" i="2"/>
  <c r="W25" i="2"/>
  <c r="Y1224" i="2" l="1"/>
  <c r="Y1073" i="2" l="1"/>
  <c r="Y1459" i="2"/>
  <c r="Y132" i="2"/>
  <c r="Y99" i="2"/>
  <c r="Y478" i="2"/>
  <c r="Y182" i="2"/>
  <c r="W476" i="2"/>
  <c r="Y1153" i="2"/>
  <c r="W1071" i="2"/>
  <c r="X1073" i="2"/>
  <c r="Z1073" i="2" s="1"/>
  <c r="Y1261" i="2"/>
  <c r="W1248" i="2"/>
  <c r="X1248" i="2" s="1"/>
  <c r="X1249" i="2"/>
  <c r="Z1249" i="2" s="1"/>
  <c r="Y1472" i="2"/>
  <c r="W1453" i="2" l="1"/>
  <c r="W1476" i="2" l="1"/>
  <c r="W35" i="2"/>
  <c r="W34" i="2" s="1"/>
  <c r="X36" i="2"/>
  <c r="Z36" i="2" s="1"/>
  <c r="W1393" i="2"/>
  <c r="W1392" i="2"/>
  <c r="W1394" i="2"/>
  <c r="W1397" i="2"/>
  <c r="X382" i="2"/>
  <c r="Z382" i="2" s="1"/>
  <c r="W379" i="2"/>
  <c r="W361" i="2"/>
  <c r="X364" i="2"/>
  <c r="Z364" i="2" s="1"/>
  <c r="X1243" i="2" l="1"/>
  <c r="Z1243" i="2" s="1"/>
  <c r="W1242" i="2"/>
  <c r="X1242" i="2" s="1"/>
  <c r="X1216" i="2"/>
  <c r="Z1216" i="2" s="1"/>
  <c r="W1215" i="2"/>
  <c r="X1215" i="2" s="1"/>
  <c r="W1375" i="2" l="1"/>
  <c r="W1475" i="2" l="1"/>
  <c r="X1072" i="2" l="1"/>
  <c r="Z1072" i="2" s="1"/>
  <c r="V1071" i="2"/>
  <c r="X1071" i="2" l="1"/>
  <c r="W471" i="2"/>
  <c r="W1469" i="2" l="1"/>
  <c r="W1468" i="2" s="1"/>
  <c r="W1466" i="2"/>
  <c r="W1464" i="2"/>
  <c r="W1462" i="2"/>
  <c r="W1460" i="2"/>
  <c r="W1457" i="2"/>
  <c r="W1452" i="2"/>
  <c r="W1449" i="2"/>
  <c r="W1446" i="2"/>
  <c r="W1443" i="2"/>
  <c r="W1441" i="2"/>
  <c r="W1435" i="2"/>
  <c r="W1432" i="2"/>
  <c r="W1429" i="2"/>
  <c r="W1428" i="2" s="1"/>
  <c r="W1426" i="2"/>
  <c r="W1425" i="2" s="1"/>
  <c r="W1421" i="2"/>
  <c r="W1420" i="2" s="1"/>
  <c r="W1418" i="2"/>
  <c r="W1416" i="2"/>
  <c r="W1412" i="2"/>
  <c r="W1411" i="2" s="1"/>
  <c r="W1408" i="2"/>
  <c r="W1407" i="2" s="1"/>
  <c r="W1405" i="2"/>
  <c r="W1404" i="2" s="1"/>
  <c r="W1400" i="2"/>
  <c r="W1399" i="2" s="1"/>
  <c r="W1398" i="2" s="1"/>
  <c r="W1391" i="2"/>
  <c r="W1387" i="2"/>
  <c r="W1385" i="2"/>
  <c r="W1382" i="2"/>
  <c r="W1377" i="2"/>
  <c r="W1374" i="2"/>
  <c r="W1372" i="2"/>
  <c r="W1369" i="2"/>
  <c r="W1361" i="2"/>
  <c r="W1359" i="2"/>
  <c r="W1357" i="2"/>
  <c r="W1355" i="2"/>
  <c r="W1353" i="2"/>
  <c r="W1351" i="2"/>
  <c r="W1347" i="2"/>
  <c r="W1344" i="2"/>
  <c r="W1332" i="2"/>
  <c r="W1321" i="2"/>
  <c r="W1318" i="2"/>
  <c r="W1315" i="2"/>
  <c r="W1311" i="2"/>
  <c r="W1308" i="2"/>
  <c r="W1305" i="2"/>
  <c r="W1302" i="2"/>
  <c r="W1301" i="2" s="1"/>
  <c r="W1299" i="2"/>
  <c r="W1297" i="2"/>
  <c r="W1292" i="2"/>
  <c r="W1289" i="2"/>
  <c r="W1287" i="2"/>
  <c r="W1285" i="2"/>
  <c r="W1283" i="2"/>
  <c r="W1281" i="2"/>
  <c r="W1279" i="2"/>
  <c r="W1266" i="2"/>
  <c r="W1264" i="2"/>
  <c r="W1259" i="2"/>
  <c r="W1258" i="2" s="1"/>
  <c r="W1256" i="2"/>
  <c r="W1244" i="2"/>
  <c r="W1241" i="2" s="1"/>
  <c r="W1237" i="2"/>
  <c r="W1233" i="2"/>
  <c r="W1231" i="2"/>
  <c r="W1229" i="2"/>
  <c r="W1225" i="2"/>
  <c r="W1223" i="2"/>
  <c r="W1221" i="2"/>
  <c r="W1219" i="2"/>
  <c r="W1217" i="2"/>
  <c r="W1213" i="2"/>
  <c r="W1211" i="2"/>
  <c r="W1209" i="2"/>
  <c r="W1205" i="2"/>
  <c r="W1203" i="2"/>
  <c r="W1200" i="2"/>
  <c r="W1197" i="2"/>
  <c r="W1195" i="2"/>
  <c r="W1193" i="2"/>
  <c r="W1190" i="2"/>
  <c r="W1188" i="2"/>
  <c r="W1185" i="2"/>
  <c r="W1181" i="2"/>
  <c r="W1179" i="2"/>
  <c r="W1173" i="2"/>
  <c r="W1170" i="2"/>
  <c r="W1167" i="2"/>
  <c r="W1163" i="2"/>
  <c r="W1161" i="2"/>
  <c r="W1157" i="2"/>
  <c r="W1154" i="2"/>
  <c r="W1151" i="2"/>
  <c r="W1149" i="2"/>
  <c r="W1147" i="2"/>
  <c r="W1145" i="2"/>
  <c r="W1143" i="2"/>
  <c r="W1141" i="2"/>
  <c r="W1138" i="2"/>
  <c r="W1131" i="2"/>
  <c r="W1129" i="2"/>
  <c r="W1124" i="2"/>
  <c r="W1121" i="2"/>
  <c r="W1118" i="2"/>
  <c r="W1116" i="2"/>
  <c r="W1113" i="2"/>
  <c r="W1109" i="2"/>
  <c r="W1107" i="2"/>
  <c r="W1104" i="2"/>
  <c r="W1101" i="2"/>
  <c r="W1093" i="2"/>
  <c r="W1089" i="2"/>
  <c r="W1086" i="2"/>
  <c r="W1077" i="2"/>
  <c r="W1074" i="2"/>
  <c r="W1068" i="2"/>
  <c r="W1066" i="2"/>
  <c r="W1060" i="2"/>
  <c r="W1058" i="2"/>
  <c r="W1046" i="2"/>
  <c r="W1043" i="2"/>
  <c r="W1039" i="2"/>
  <c r="W1037" i="2"/>
  <c r="W1035" i="2"/>
  <c r="W1033" i="2"/>
  <c r="W1031" i="2"/>
  <c r="W1029" i="2"/>
  <c r="W1027" i="2"/>
  <c r="W1025" i="2"/>
  <c r="W1023" i="2"/>
  <c r="W1021" i="2"/>
  <c r="W1019" i="2"/>
  <c r="W1017" i="2"/>
  <c r="W1015" i="2"/>
  <c r="W1013" i="2"/>
  <c r="W1011" i="2"/>
  <c r="W1009" i="2"/>
  <c r="W1007" i="2"/>
  <c r="W1005" i="2"/>
  <c r="W1003" i="2"/>
  <c r="W1001" i="2"/>
  <c r="W999" i="2"/>
  <c r="W997" i="2"/>
  <c r="W995" i="2"/>
  <c r="W993" i="2"/>
  <c r="W991" i="2"/>
  <c r="W989" i="2"/>
  <c r="W987" i="2"/>
  <c r="W985" i="2"/>
  <c r="W983" i="2"/>
  <c r="W981" i="2"/>
  <c r="W979" i="2"/>
  <c r="W977" i="2"/>
  <c r="W975" i="2"/>
  <c r="W973" i="2"/>
  <c r="W971" i="2"/>
  <c r="W969" i="2"/>
  <c r="W967" i="2"/>
  <c r="W965" i="2"/>
  <c r="W963" i="2"/>
  <c r="W961" i="2"/>
  <c r="W959" i="2"/>
  <c r="W957" i="2"/>
  <c r="W955" i="2"/>
  <c r="W953" i="2"/>
  <c r="W951" i="2"/>
  <c r="W949" i="2"/>
  <c r="W947" i="2"/>
  <c r="W945" i="2"/>
  <c r="W943" i="2"/>
  <c r="W941" i="2"/>
  <c r="W939" i="2"/>
  <c r="W937" i="2"/>
  <c r="W935" i="2"/>
  <c r="W933" i="2"/>
  <c r="W931" i="2"/>
  <c r="W929" i="2"/>
  <c r="W927" i="2"/>
  <c r="W925" i="2"/>
  <c r="W923" i="2"/>
  <c r="W921" i="2"/>
  <c r="W919" i="2"/>
  <c r="W917" i="2"/>
  <c r="W915" i="2"/>
  <c r="W913" i="2"/>
  <c r="W911" i="2"/>
  <c r="W909" i="2"/>
  <c r="W907" i="2"/>
  <c r="W905" i="2"/>
  <c r="W903" i="2"/>
  <c r="W901" i="2"/>
  <c r="W899" i="2"/>
  <c r="W897" i="2"/>
  <c r="W895" i="2"/>
  <c r="W893" i="2"/>
  <c r="W891" i="2"/>
  <c r="W889" i="2"/>
  <c r="W887" i="2"/>
  <c r="W885" i="2"/>
  <c r="W883" i="2"/>
  <c r="W881" i="2"/>
  <c r="W879" i="2"/>
  <c r="W877" i="2"/>
  <c r="W875" i="2"/>
  <c r="W873" i="2"/>
  <c r="W871" i="2"/>
  <c r="W869" i="2"/>
  <c r="W867" i="2"/>
  <c r="W865" i="2"/>
  <c r="W863" i="2"/>
  <c r="W861" i="2"/>
  <c r="W859" i="2"/>
  <c r="W857" i="2"/>
  <c r="W855" i="2"/>
  <c r="W853" i="2"/>
  <c r="W851" i="2"/>
  <c r="W849" i="2"/>
  <c r="W847" i="2"/>
  <c r="W845" i="2"/>
  <c r="W843" i="2"/>
  <c r="W841" i="2"/>
  <c r="W839" i="2"/>
  <c r="W837" i="2"/>
  <c r="W835" i="2"/>
  <c r="W833" i="2"/>
  <c r="W831" i="2"/>
  <c r="W829" i="2"/>
  <c r="W827" i="2"/>
  <c r="W825" i="2"/>
  <c r="W823" i="2"/>
  <c r="W821" i="2"/>
  <c r="W819" i="2"/>
  <c r="W817" i="2"/>
  <c r="W815" i="2"/>
  <c r="W813" i="2"/>
  <c r="W811" i="2"/>
  <c r="W809" i="2"/>
  <c r="W807" i="2"/>
  <c r="W805" i="2"/>
  <c r="W803" i="2"/>
  <c r="W801" i="2"/>
  <c r="W799" i="2"/>
  <c r="W797" i="2"/>
  <c r="W795" i="2"/>
  <c r="W793" i="2"/>
  <c r="W791" i="2"/>
  <c r="W789" i="2"/>
  <c r="W787" i="2"/>
  <c r="W785" i="2"/>
  <c r="W783" i="2"/>
  <c r="W781" i="2"/>
  <c r="W779" i="2"/>
  <c r="W777" i="2"/>
  <c r="W775" i="2"/>
  <c r="W773" i="2"/>
  <c r="W771" i="2"/>
  <c r="W769" i="2"/>
  <c r="W767" i="2"/>
  <c r="W765" i="2"/>
  <c r="W763" i="2"/>
  <c r="W761" i="2"/>
  <c r="W759" i="2"/>
  <c r="W757" i="2"/>
  <c r="W755" i="2"/>
  <c r="W753" i="2"/>
  <c r="W751" i="2"/>
  <c r="W749" i="2"/>
  <c r="W747" i="2"/>
  <c r="W745" i="2"/>
  <c r="W743" i="2"/>
  <c r="W741" i="2"/>
  <c r="W739" i="2"/>
  <c r="W737" i="2"/>
  <c r="W735" i="2"/>
  <c r="W733" i="2"/>
  <c r="W731" i="2"/>
  <c r="W729" i="2"/>
  <c r="W727" i="2"/>
  <c r="W725" i="2"/>
  <c r="W723" i="2"/>
  <c r="W721" i="2"/>
  <c r="W719" i="2"/>
  <c r="W717" i="2"/>
  <c r="W715" i="2"/>
  <c r="W713" i="2"/>
  <c r="W711" i="2"/>
  <c r="W709" i="2"/>
  <c r="W707" i="2"/>
  <c r="W705" i="2"/>
  <c r="W703" i="2"/>
  <c r="W701" i="2"/>
  <c r="W699" i="2"/>
  <c r="W697" i="2"/>
  <c r="W695" i="2"/>
  <c r="W693" i="2"/>
  <c r="W691" i="2"/>
  <c r="W689" i="2"/>
  <c r="W687" i="2"/>
  <c r="W685" i="2"/>
  <c r="W683" i="2"/>
  <c r="W681" i="2"/>
  <c r="W679" i="2"/>
  <c r="W677" i="2"/>
  <c r="W675" i="2"/>
  <c r="W673" i="2"/>
  <c r="W671" i="2"/>
  <c r="W669" i="2"/>
  <c r="W667" i="2"/>
  <c r="W665" i="2"/>
  <c r="W663" i="2"/>
  <c r="W661" i="2"/>
  <c r="W659" i="2"/>
  <c r="W657" i="2"/>
  <c r="W655" i="2"/>
  <c r="W653" i="2"/>
  <c r="W651" i="2"/>
  <c r="W649" i="2"/>
  <c r="W647" i="2"/>
  <c r="W645" i="2"/>
  <c r="W643" i="2"/>
  <c r="W641" i="2"/>
  <c r="W639" i="2"/>
  <c r="W637" i="2"/>
  <c r="W635" i="2"/>
  <c r="W633" i="2"/>
  <c r="W631" i="2"/>
  <c r="W629" i="2"/>
  <c r="W627" i="2"/>
  <c r="W625" i="2"/>
  <c r="W623" i="2"/>
  <c r="W621" i="2"/>
  <c r="W619" i="2"/>
  <c r="W617" i="2"/>
  <c r="W615" i="2"/>
  <c r="W613" i="2"/>
  <c r="W611" i="2"/>
  <c r="W609" i="2"/>
  <c r="W607" i="2"/>
  <c r="W605" i="2"/>
  <c r="W603" i="2"/>
  <c r="W601" i="2"/>
  <c r="W599" i="2"/>
  <c r="W597" i="2"/>
  <c r="W594" i="2"/>
  <c r="W592" i="2"/>
  <c r="W588" i="2"/>
  <c r="W586" i="2"/>
  <c r="W583" i="2"/>
  <c r="W581" i="2"/>
  <c r="W579" i="2"/>
  <c r="W577" i="2"/>
  <c r="W575" i="2"/>
  <c r="W573" i="2"/>
  <c r="W571" i="2"/>
  <c r="W569" i="2"/>
  <c r="W565" i="2"/>
  <c r="W563" i="2"/>
  <c r="W561" i="2"/>
  <c r="W559" i="2"/>
  <c r="W557" i="2"/>
  <c r="W555" i="2"/>
  <c r="W553" i="2"/>
  <c r="W551" i="2"/>
  <c r="W549" i="2"/>
  <c r="W547" i="2"/>
  <c r="W545" i="2"/>
  <c r="W543" i="2"/>
  <c r="W541" i="2"/>
  <c r="W539" i="2"/>
  <c r="W537" i="2"/>
  <c r="W535" i="2"/>
  <c r="W533" i="2"/>
  <c r="W531" i="2"/>
  <c r="W529" i="2"/>
  <c r="W527" i="2"/>
  <c r="W525" i="2"/>
  <c r="W523" i="2"/>
  <c r="W521" i="2"/>
  <c r="W519" i="2"/>
  <c r="W517" i="2"/>
  <c r="W515" i="2"/>
  <c r="W513" i="2"/>
  <c r="W511" i="2"/>
  <c r="W509" i="2"/>
  <c r="W507" i="2"/>
  <c r="W505" i="2"/>
  <c r="W503" i="2"/>
  <c r="W501" i="2"/>
  <c r="W499" i="2"/>
  <c r="W497" i="2"/>
  <c r="W495" i="2"/>
  <c r="W493" i="2"/>
  <c r="W491" i="2"/>
  <c r="W489" i="2"/>
  <c r="W487" i="2"/>
  <c r="W485" i="2"/>
  <c r="W483" i="2"/>
  <c r="W481" i="2"/>
  <c r="W479" i="2"/>
  <c r="W473" i="2"/>
  <c r="W470" i="2"/>
  <c r="W462" i="2"/>
  <c r="W457" i="2"/>
  <c r="W450" i="2"/>
  <c r="W445" i="2"/>
  <c r="W442" i="2"/>
  <c r="W441" i="2" s="1"/>
  <c r="W437" i="2"/>
  <c r="W432" i="2"/>
  <c r="W430" i="2"/>
  <c r="W428" i="2"/>
  <c r="W426" i="2"/>
  <c r="W422" i="2"/>
  <c r="W420" i="2"/>
  <c r="W418" i="2"/>
  <c r="W416" i="2"/>
  <c r="W411" i="2"/>
  <c r="W410" i="2" s="1"/>
  <c r="W408" i="2"/>
  <c r="W407" i="2" s="1"/>
  <c r="W405" i="2"/>
  <c r="W402" i="2"/>
  <c r="W401" i="2" s="1"/>
  <c r="W399" i="2"/>
  <c r="W398" i="2" s="1"/>
  <c r="W396" i="2"/>
  <c r="W394" i="2"/>
  <c r="W389" i="2"/>
  <c r="W386" i="2"/>
  <c r="W384" i="2"/>
  <c r="W377" i="2"/>
  <c r="W373" i="2"/>
  <c r="W372" i="2" s="1"/>
  <c r="W370" i="2"/>
  <c r="W366" i="2"/>
  <c r="W356" i="2"/>
  <c r="W353" i="2"/>
  <c r="W352" i="2" s="1"/>
  <c r="W350" i="2"/>
  <c r="W349" i="2" s="1"/>
  <c r="W345" i="2"/>
  <c r="W344" i="2" s="1"/>
  <c r="W342" i="2"/>
  <c r="W339" i="2"/>
  <c r="W336" i="2"/>
  <c r="W334" i="2"/>
  <c r="W330" i="2"/>
  <c r="W328" i="2"/>
  <c r="W324" i="2"/>
  <c r="W322" i="2"/>
  <c r="W320" i="2"/>
  <c r="W318" i="2"/>
  <c r="W316" i="2"/>
  <c r="W313" i="2"/>
  <c r="W310" i="2"/>
  <c r="W308" i="2"/>
  <c r="W306" i="2"/>
  <c r="W303" i="2"/>
  <c r="W299" i="2"/>
  <c r="W297" i="2"/>
  <c r="W294" i="2"/>
  <c r="W293" i="2" s="1"/>
  <c r="W289" i="2"/>
  <c r="W286" i="2"/>
  <c r="W284" i="2"/>
  <c r="W282" i="2"/>
  <c r="W280" i="2"/>
  <c r="W277" i="2"/>
  <c r="W274" i="2"/>
  <c r="W268" i="2"/>
  <c r="W265" i="2"/>
  <c r="W261" i="2"/>
  <c r="W259" i="2"/>
  <c r="W257" i="2"/>
  <c r="W255" i="2"/>
  <c r="W251" i="2"/>
  <c r="W249" i="2"/>
  <c r="W247" i="2"/>
  <c r="W244" i="2"/>
  <c r="W242" i="2"/>
  <c r="W239" i="2"/>
  <c r="W237" i="2"/>
  <c r="W235" i="2"/>
  <c r="W233" i="2"/>
  <c r="W231" i="2"/>
  <c r="W229" i="2"/>
  <c r="W225" i="2"/>
  <c r="W220" i="2"/>
  <c r="W218" i="2"/>
  <c r="W216" i="2"/>
  <c r="W211" i="2"/>
  <c r="W208" i="2"/>
  <c r="W205" i="2"/>
  <c r="W200" i="2"/>
  <c r="W197" i="2"/>
  <c r="W194" i="2"/>
  <c r="W189" i="2"/>
  <c r="W187" i="2"/>
  <c r="W184" i="2"/>
  <c r="W180" i="2"/>
  <c r="W177" i="2"/>
  <c r="W174" i="2"/>
  <c r="W171" i="2"/>
  <c r="W168" i="2"/>
  <c r="W165" i="2"/>
  <c r="W162" i="2"/>
  <c r="W159" i="2"/>
  <c r="W156" i="2"/>
  <c r="W154" i="2"/>
  <c r="W149" i="2"/>
  <c r="W144" i="2"/>
  <c r="W141" i="2"/>
  <c r="W139" i="2"/>
  <c r="W137" i="2"/>
  <c r="W134" i="2"/>
  <c r="W130" i="2"/>
  <c r="W128" i="2"/>
  <c r="W126" i="2"/>
  <c r="W122" i="2"/>
  <c r="W119" i="2"/>
  <c r="W116" i="2"/>
  <c r="W111" i="2"/>
  <c r="W108" i="2"/>
  <c r="W104" i="2"/>
  <c r="W101" i="2"/>
  <c r="W98" i="2"/>
  <c r="W97" i="2" s="1"/>
  <c r="W92" i="2"/>
  <c r="W90" i="2"/>
  <c r="W86" i="2"/>
  <c r="W82" i="2"/>
  <c r="W80" i="2"/>
  <c r="W77" i="2"/>
  <c r="W75" i="2"/>
  <c r="W73" i="2"/>
  <c r="W68" i="2"/>
  <c r="W65" i="2"/>
  <c r="W64" i="2" s="1"/>
  <c r="W62" i="2"/>
  <c r="W61" i="2" s="1"/>
  <c r="W58" i="2"/>
  <c r="W56" i="2"/>
  <c r="W54" i="2"/>
  <c r="W52" i="2"/>
  <c r="W47" i="2"/>
  <c r="W44" i="2"/>
  <c r="W40" i="2"/>
  <c r="W37" i="2"/>
  <c r="W31" i="2"/>
  <c r="W28" i="2"/>
  <c r="W24" i="2"/>
  <c r="W21" i="2"/>
  <c r="W19" i="2"/>
  <c r="W100" i="2" l="1"/>
  <c r="W475" i="2"/>
  <c r="W176" i="2"/>
  <c r="W1208" i="2"/>
  <c r="W585" i="2"/>
  <c r="W393" i="2"/>
  <c r="W1278" i="2"/>
  <c r="W1057" i="2"/>
  <c r="W376" i="2"/>
  <c r="W1371" i="2"/>
  <c r="W133" i="2"/>
  <c r="W51" i="2"/>
  <c r="W85" i="2"/>
  <c r="W27" i="2"/>
  <c r="W425" i="2"/>
  <c r="W424" i="2" s="1"/>
  <c r="W1296" i="2"/>
  <c r="W1403" i="2"/>
  <c r="W107" i="2"/>
  <c r="W228" i="2"/>
  <c r="W1166" i="2"/>
  <c r="W1304" i="2"/>
  <c r="W264" i="2"/>
  <c r="W125" i="2"/>
  <c r="W72" i="2"/>
  <c r="W193" i="2"/>
  <c r="W192" i="2" s="1"/>
  <c r="W1376" i="2"/>
  <c r="W1415" i="2"/>
  <c r="W18" i="2"/>
  <c r="W96" i="2"/>
  <c r="W222" i="2"/>
  <c r="W183" i="2"/>
  <c r="W302" i="2"/>
  <c r="W254" i="2"/>
  <c r="W296" i="2"/>
  <c r="W333" i="2"/>
  <c r="W341" i="2"/>
  <c r="W355" i="2"/>
  <c r="W348" i="2" s="1"/>
  <c r="W360" i="2"/>
  <c r="W369" i="2"/>
  <c r="W404" i="2"/>
  <c r="W436" i="2"/>
  <c r="W444" i="2"/>
  <c r="W596" i="2"/>
  <c r="W1184" i="2"/>
  <c r="W1314" i="2"/>
  <c r="W1240" i="2"/>
  <c r="W1424" i="2"/>
  <c r="W1431" i="2"/>
  <c r="W1054" i="2"/>
  <c r="W1042" i="2" s="1"/>
  <c r="W1236" i="2"/>
  <c r="W415" i="2"/>
  <c r="W567" i="2"/>
  <c r="W1085" i="2"/>
  <c r="W1192" i="2"/>
  <c r="W1199" i="2"/>
  <c r="W1252" i="2"/>
  <c r="W1270" i="2"/>
  <c r="W1134" i="2"/>
  <c r="W1178" i="2"/>
  <c r="W1228" i="2"/>
  <c r="U1454" i="2"/>
  <c r="U1453" i="2"/>
  <c r="U1450" i="2"/>
  <c r="U1444" i="2"/>
  <c r="U1358" i="2"/>
  <c r="U1348" i="2"/>
  <c r="U1343" i="2"/>
  <c r="U1342" i="2"/>
  <c r="U1337" i="2"/>
  <c r="U1335" i="2"/>
  <c r="U1333" i="2"/>
  <c r="U1324" i="2"/>
  <c r="U1322" i="2"/>
  <c r="U1271" i="2"/>
  <c r="U1255" i="2"/>
  <c r="U1253" i="2"/>
  <c r="U1238" i="2"/>
  <c r="U1224" i="2"/>
  <c r="U1189" i="2"/>
  <c r="U1162" i="2"/>
  <c r="U1158" i="2"/>
  <c r="U1156" i="2"/>
  <c r="U1155" i="2"/>
  <c r="U1153" i="2"/>
  <c r="U1144" i="2"/>
  <c r="U1137" i="2"/>
  <c r="U1135" i="2"/>
  <c r="U1133" i="2"/>
  <c r="U1106" i="2"/>
  <c r="U326" i="2"/>
  <c r="U152" i="2"/>
  <c r="U115" i="2"/>
  <c r="U114" i="2"/>
  <c r="U25" i="2"/>
  <c r="W71" i="2" l="1"/>
  <c r="W1410" i="2"/>
  <c r="W590" i="2"/>
  <c r="W472" i="2" s="1"/>
  <c r="W392" i="2"/>
  <c r="W332" i="2"/>
  <c r="W106" i="2"/>
  <c r="W1041" i="2"/>
  <c r="W301" i="2"/>
  <c r="W1263" i="2"/>
  <c r="W1235" i="2"/>
  <c r="W1227" i="2"/>
  <c r="W1295" i="2"/>
  <c r="W1251" i="2"/>
  <c r="W414" i="2"/>
  <c r="W1207" i="2"/>
  <c r="W1112" i="2"/>
  <c r="W368" i="2"/>
  <c r="W17" i="2"/>
  <c r="W359" i="2"/>
  <c r="W215" i="2"/>
  <c r="W292" i="2"/>
  <c r="U184" i="2"/>
  <c r="V186" i="2"/>
  <c r="X186" i="2" s="1"/>
  <c r="Z186" i="2" s="1"/>
  <c r="W1250" i="2" l="1"/>
  <c r="W469" i="2"/>
  <c r="W1294" i="2"/>
  <c r="W214" i="2"/>
  <c r="W413" i="2"/>
  <c r="W1084" i="2"/>
  <c r="W16" i="2"/>
  <c r="W347" i="2"/>
  <c r="U205" i="2"/>
  <c r="V205" i="2" s="1"/>
  <c r="X205" i="2" s="1"/>
  <c r="V206" i="2"/>
  <c r="X206" i="2" s="1"/>
  <c r="Z206" i="2" s="1"/>
  <c r="V207" i="2"/>
  <c r="X207" i="2" s="1"/>
  <c r="Z207" i="2" s="1"/>
  <c r="U174" i="2"/>
  <c r="V174" i="2" s="1"/>
  <c r="X174" i="2" s="1"/>
  <c r="V175" i="2"/>
  <c r="X175" i="2" s="1"/>
  <c r="Z175" i="2" s="1"/>
  <c r="U40" i="2"/>
  <c r="V43" i="2"/>
  <c r="X43" i="2" s="1"/>
  <c r="Z43" i="2" s="1"/>
  <c r="U1448" i="2"/>
  <c r="U1447" i="2"/>
  <c r="W1083" i="2" l="1"/>
  <c r="W1239" i="2"/>
  <c r="W435" i="2"/>
  <c r="U1055" i="2"/>
  <c r="U1346" i="2"/>
  <c r="U1345" i="2"/>
  <c r="W1471" i="2" l="1"/>
  <c r="W1472" i="2"/>
  <c r="U223" i="2"/>
  <c r="U445" i="2" l="1"/>
  <c r="U126" i="2"/>
  <c r="V126" i="2" s="1"/>
  <c r="X126" i="2" s="1"/>
  <c r="V127" i="2"/>
  <c r="X127" i="2" s="1"/>
  <c r="Z127" i="2" s="1"/>
  <c r="U313" i="2" l="1"/>
  <c r="V315" i="2"/>
  <c r="X315" i="2" s="1"/>
  <c r="Z315" i="2" s="1"/>
  <c r="U216" i="2"/>
  <c r="V216" i="2" s="1"/>
  <c r="X216" i="2" s="1"/>
  <c r="V217" i="2"/>
  <c r="X217" i="2" s="1"/>
  <c r="Z217" i="2" s="1"/>
  <c r="U1421" i="2"/>
  <c r="V1423" i="2"/>
  <c r="X1423" i="2" s="1"/>
  <c r="Z1423" i="2" s="1"/>
  <c r="U47" i="2"/>
  <c r="V49" i="2"/>
  <c r="X49" i="2" s="1"/>
  <c r="Z49" i="2" s="1"/>
  <c r="U324" i="2" l="1"/>
  <c r="V325" i="2"/>
  <c r="X325" i="2" s="1"/>
  <c r="Z325" i="2" s="1"/>
  <c r="U591" i="2" l="1"/>
  <c r="U454" i="2"/>
  <c r="U1056" i="2" l="1"/>
  <c r="V1356" i="2" l="1"/>
  <c r="X1356" i="2" s="1"/>
  <c r="Z1356" i="2" s="1"/>
  <c r="U1355" i="2"/>
  <c r="V1355" i="2" s="1"/>
  <c r="X1355" i="2" s="1"/>
  <c r="U1179" i="2" l="1"/>
  <c r="V1180" i="2"/>
  <c r="X1180" i="2" s="1"/>
  <c r="Z1180" i="2" s="1"/>
  <c r="V1179" i="2" l="1"/>
  <c r="X1179" i="2" s="1"/>
  <c r="V1329" i="2" l="1"/>
  <c r="X1329" i="2" s="1"/>
  <c r="Z1329" i="2" s="1"/>
  <c r="U1305" i="2"/>
  <c r="V1305" i="2" s="1"/>
  <c r="X1305" i="2" s="1"/>
  <c r="V1306" i="2"/>
  <c r="X1306" i="2" s="1"/>
  <c r="Z1306" i="2" s="1"/>
  <c r="V1307" i="2"/>
  <c r="X1307" i="2" s="1"/>
  <c r="Z1307" i="2" s="1"/>
  <c r="U1167" i="2"/>
  <c r="V1167" i="2" s="1"/>
  <c r="X1167" i="2" s="1"/>
  <c r="V1168" i="2"/>
  <c r="X1168" i="2" s="1"/>
  <c r="Z1168" i="2" s="1"/>
  <c r="V1169" i="2"/>
  <c r="X1169" i="2" s="1"/>
  <c r="Z1169" i="2" s="1"/>
  <c r="V446" i="2" l="1"/>
  <c r="X446" i="2" s="1"/>
  <c r="Z446" i="2" s="1"/>
  <c r="V447" i="2"/>
  <c r="X447" i="2" s="1"/>
  <c r="Z447" i="2" s="1"/>
  <c r="U1074" i="2"/>
  <c r="V1074" i="2" s="1"/>
  <c r="X1074" i="2" s="1"/>
  <c r="V1075" i="2"/>
  <c r="X1075" i="2" s="1"/>
  <c r="Z1075" i="2" s="1"/>
  <c r="V1076" i="2"/>
  <c r="X1076" i="2" s="1"/>
  <c r="Z1076" i="2" s="1"/>
  <c r="U1047" i="2"/>
  <c r="U1477" i="2" s="1"/>
  <c r="U1321" i="2" l="1"/>
  <c r="U1170" i="2" l="1"/>
  <c r="V1170" i="2" s="1"/>
  <c r="X1170" i="2" s="1"/>
  <c r="V1171" i="2"/>
  <c r="X1171" i="2" s="1"/>
  <c r="Z1171" i="2" s="1"/>
  <c r="V1172" i="2"/>
  <c r="X1172" i="2" s="1"/>
  <c r="Z1172" i="2" s="1"/>
  <c r="V1102" i="2"/>
  <c r="X1102" i="2" s="1"/>
  <c r="Z1102" i="2" s="1"/>
  <c r="V1103" i="2"/>
  <c r="X1103" i="2" s="1"/>
  <c r="Z1103" i="2" s="1"/>
  <c r="U1101" i="2"/>
  <c r="V1101" i="2" s="1"/>
  <c r="X1101" i="2" s="1"/>
  <c r="V1055" i="2"/>
  <c r="X1055" i="2" s="1"/>
  <c r="Z1055" i="2" s="1"/>
  <c r="V1056" i="2"/>
  <c r="X1056" i="2" s="1"/>
  <c r="Z1056" i="2" s="1"/>
  <c r="U1054" i="2"/>
  <c r="V1054" i="2" s="1"/>
  <c r="X1054" i="2" s="1"/>
  <c r="U457" i="2"/>
  <c r="V457" i="2" s="1"/>
  <c r="X457" i="2" s="1"/>
  <c r="V458" i="2"/>
  <c r="X458" i="2" s="1"/>
  <c r="Z458" i="2" s="1"/>
  <c r="V459" i="2"/>
  <c r="X459" i="2" s="1"/>
  <c r="Z459" i="2" s="1"/>
  <c r="V460" i="2"/>
  <c r="X460" i="2" s="1"/>
  <c r="Z460" i="2" s="1"/>
  <c r="V461" i="2"/>
  <c r="X461" i="2" s="1"/>
  <c r="Z461" i="2" s="1"/>
  <c r="V117" i="2"/>
  <c r="X117" i="2" s="1"/>
  <c r="Z117" i="2" s="1"/>
  <c r="V118" i="2"/>
  <c r="X118" i="2" s="1"/>
  <c r="Z118" i="2" s="1"/>
  <c r="U116" i="2"/>
  <c r="V116" i="2" s="1"/>
  <c r="X116" i="2" s="1"/>
  <c r="V275" i="2"/>
  <c r="X275" i="2" s="1"/>
  <c r="Z275" i="2" s="1"/>
  <c r="V276" i="2"/>
  <c r="X276" i="2" s="1"/>
  <c r="Z276" i="2" s="1"/>
  <c r="U274" i="2"/>
  <c r="V274" i="2" s="1"/>
  <c r="X274" i="2" s="1"/>
  <c r="V1383" i="2"/>
  <c r="X1383" i="2" s="1"/>
  <c r="Z1383" i="2" s="1"/>
  <c r="V1384" i="2"/>
  <c r="X1384" i="2" s="1"/>
  <c r="Z1384" i="2" s="1"/>
  <c r="U1382" i="2"/>
  <c r="V1382" i="2" s="1"/>
  <c r="X1382" i="2" s="1"/>
  <c r="U1308" i="2"/>
  <c r="V1308" i="2" s="1"/>
  <c r="X1308" i="2" s="1"/>
  <c r="V1309" i="2"/>
  <c r="X1309" i="2" s="1"/>
  <c r="Z1309" i="2" s="1"/>
  <c r="V1310" i="2"/>
  <c r="X1310" i="2" s="1"/>
  <c r="Z1310" i="2" s="1"/>
  <c r="U1344" i="2"/>
  <c r="V1346" i="2"/>
  <c r="X1346" i="2" s="1"/>
  <c r="Z1346" i="2" s="1"/>
  <c r="U1446" i="2"/>
  <c r="V1446" i="2" s="1"/>
  <c r="X1446" i="2" s="1"/>
  <c r="V1447" i="2"/>
  <c r="X1447" i="2" s="1"/>
  <c r="Z1447" i="2" s="1"/>
  <c r="V1448" i="2"/>
  <c r="X1448" i="2" s="1"/>
  <c r="Z1448" i="2" s="1"/>
  <c r="U1469" i="2" l="1"/>
  <c r="U1468" i="2" s="1"/>
  <c r="U1466" i="2"/>
  <c r="U1464" i="2"/>
  <c r="U1462" i="2"/>
  <c r="U1460" i="2"/>
  <c r="U1457" i="2"/>
  <c r="U1452" i="2"/>
  <c r="U1449" i="2"/>
  <c r="U1443" i="2"/>
  <c r="U1441" i="2"/>
  <c r="U1435" i="2"/>
  <c r="U1432" i="2"/>
  <c r="U1429" i="2"/>
  <c r="U1428" i="2" s="1"/>
  <c r="U1426" i="2"/>
  <c r="U1425" i="2" s="1"/>
  <c r="U1420" i="2"/>
  <c r="U1418" i="2"/>
  <c r="U1416" i="2"/>
  <c r="U1412" i="2"/>
  <c r="U1411" i="2" s="1"/>
  <c r="U1408" i="2"/>
  <c r="U1407" i="2" s="1"/>
  <c r="U1405" i="2"/>
  <c r="U1404" i="2" s="1"/>
  <c r="U1400" i="2"/>
  <c r="U1399" i="2" s="1"/>
  <c r="U1392" i="2"/>
  <c r="U1391" i="2" s="1"/>
  <c r="U1387" i="2"/>
  <c r="U1385" i="2"/>
  <c r="U1377" i="2"/>
  <c r="U1374" i="2"/>
  <c r="U1372" i="2"/>
  <c r="U1369" i="2"/>
  <c r="U1361" i="2"/>
  <c r="U1359" i="2"/>
  <c r="U1357" i="2"/>
  <c r="U1353" i="2"/>
  <c r="U1351" i="2"/>
  <c r="U1347" i="2"/>
  <c r="U1332" i="2"/>
  <c r="U1318" i="2"/>
  <c r="U1315" i="2"/>
  <c r="U1311" i="2"/>
  <c r="U1304" i="2" s="1"/>
  <c r="U1302" i="2"/>
  <c r="U1301" i="2" s="1"/>
  <c r="U1299" i="2"/>
  <c r="U1297" i="2"/>
  <c r="U1292" i="2"/>
  <c r="U1289" i="2"/>
  <c r="U1287" i="2"/>
  <c r="U1285" i="2"/>
  <c r="U1283" i="2"/>
  <c r="U1281" i="2"/>
  <c r="U1279" i="2"/>
  <c r="U1270" i="2"/>
  <c r="U1266" i="2"/>
  <c r="U1264" i="2"/>
  <c r="U1259" i="2"/>
  <c r="U1258" i="2" s="1"/>
  <c r="U1256" i="2"/>
  <c r="U1252" i="2"/>
  <c r="U1244" i="2"/>
  <c r="U1241" i="2" s="1"/>
  <c r="U1240" i="2" s="1"/>
  <c r="U1237" i="2"/>
  <c r="U1233" i="2"/>
  <c r="U1231" i="2"/>
  <c r="U1229" i="2"/>
  <c r="U1225" i="2"/>
  <c r="U1223" i="2"/>
  <c r="U1221" i="2"/>
  <c r="U1219" i="2"/>
  <c r="U1217" i="2"/>
  <c r="U1213" i="2"/>
  <c r="U1211" i="2"/>
  <c r="U1209" i="2"/>
  <c r="U1205" i="2"/>
  <c r="U1203" i="2"/>
  <c r="U1200" i="2"/>
  <c r="U1197" i="2"/>
  <c r="U1195" i="2"/>
  <c r="U1193" i="2"/>
  <c r="U1190" i="2"/>
  <c r="U1188" i="2"/>
  <c r="U1185" i="2"/>
  <c r="U1181" i="2"/>
  <c r="U1178" i="2" s="1"/>
  <c r="U1173" i="2"/>
  <c r="U1166" i="2" s="1"/>
  <c r="U1163" i="2"/>
  <c r="U1161" i="2"/>
  <c r="U1157" i="2"/>
  <c r="U1154" i="2"/>
  <c r="U1151" i="2"/>
  <c r="U1149" i="2"/>
  <c r="U1147" i="2"/>
  <c r="U1145" i="2"/>
  <c r="U1143" i="2"/>
  <c r="U1141" i="2"/>
  <c r="U1138" i="2"/>
  <c r="U1134" i="2"/>
  <c r="U1131" i="2"/>
  <c r="U1129" i="2"/>
  <c r="U1124" i="2"/>
  <c r="U1121" i="2"/>
  <c r="U1118" i="2"/>
  <c r="U1116" i="2"/>
  <c r="U1113" i="2"/>
  <c r="U1109" i="2"/>
  <c r="U1107" i="2"/>
  <c r="U1104" i="2"/>
  <c r="U1093" i="2"/>
  <c r="U1089" i="2"/>
  <c r="U1086" i="2"/>
  <c r="U1077" i="2"/>
  <c r="U1068" i="2"/>
  <c r="U1066" i="2"/>
  <c r="U1060" i="2"/>
  <c r="U1058" i="2"/>
  <c r="U1046" i="2"/>
  <c r="U1043" i="2"/>
  <c r="U1039" i="2"/>
  <c r="U1037" i="2"/>
  <c r="U1035" i="2"/>
  <c r="U1033" i="2"/>
  <c r="U1031" i="2"/>
  <c r="U1029" i="2"/>
  <c r="U1027" i="2"/>
  <c r="U1025" i="2"/>
  <c r="U1023" i="2"/>
  <c r="U1021" i="2"/>
  <c r="U1019" i="2"/>
  <c r="U1017" i="2"/>
  <c r="U1015" i="2"/>
  <c r="U1013" i="2"/>
  <c r="U1011" i="2"/>
  <c r="U1009" i="2"/>
  <c r="U1007" i="2"/>
  <c r="U1005" i="2"/>
  <c r="U1003" i="2"/>
  <c r="U1001" i="2"/>
  <c r="U999" i="2"/>
  <c r="U997" i="2"/>
  <c r="U995" i="2"/>
  <c r="U993" i="2"/>
  <c r="U991" i="2"/>
  <c r="U989" i="2"/>
  <c r="U987" i="2"/>
  <c r="U985" i="2"/>
  <c r="U983" i="2"/>
  <c r="U981" i="2"/>
  <c r="U979" i="2"/>
  <c r="U977" i="2"/>
  <c r="U975" i="2"/>
  <c r="U973" i="2"/>
  <c r="U971" i="2"/>
  <c r="U969" i="2"/>
  <c r="U967" i="2"/>
  <c r="U965" i="2"/>
  <c r="U963" i="2"/>
  <c r="U961" i="2"/>
  <c r="U959" i="2"/>
  <c r="U957" i="2"/>
  <c r="U955" i="2"/>
  <c r="U953" i="2"/>
  <c r="U951" i="2"/>
  <c r="U949" i="2"/>
  <c r="U947" i="2"/>
  <c r="U945" i="2"/>
  <c r="U943" i="2"/>
  <c r="U941" i="2"/>
  <c r="U939" i="2"/>
  <c r="U937" i="2"/>
  <c r="U935" i="2"/>
  <c r="U933" i="2"/>
  <c r="U931" i="2"/>
  <c r="U929" i="2"/>
  <c r="U927" i="2"/>
  <c r="U925" i="2"/>
  <c r="U923" i="2"/>
  <c r="U921" i="2"/>
  <c r="U919" i="2"/>
  <c r="U917" i="2"/>
  <c r="U915" i="2"/>
  <c r="U913" i="2"/>
  <c r="U911" i="2"/>
  <c r="U909" i="2"/>
  <c r="U907" i="2"/>
  <c r="U905" i="2"/>
  <c r="U903" i="2"/>
  <c r="U901" i="2"/>
  <c r="U899" i="2"/>
  <c r="U897" i="2"/>
  <c r="U895" i="2"/>
  <c r="U893" i="2"/>
  <c r="U891" i="2"/>
  <c r="U889" i="2"/>
  <c r="U887" i="2"/>
  <c r="U885" i="2"/>
  <c r="U883" i="2"/>
  <c r="U881" i="2"/>
  <c r="U879" i="2"/>
  <c r="U877" i="2"/>
  <c r="U875" i="2"/>
  <c r="U873" i="2"/>
  <c r="U871" i="2"/>
  <c r="U869" i="2"/>
  <c r="U867" i="2"/>
  <c r="U865" i="2"/>
  <c r="U863" i="2"/>
  <c r="U861" i="2"/>
  <c r="U859" i="2"/>
  <c r="U857" i="2"/>
  <c r="U855" i="2"/>
  <c r="U853" i="2"/>
  <c r="U851" i="2"/>
  <c r="U849" i="2"/>
  <c r="U847" i="2"/>
  <c r="U845" i="2"/>
  <c r="U843" i="2"/>
  <c r="U841" i="2"/>
  <c r="U839" i="2"/>
  <c r="U837" i="2"/>
  <c r="U835" i="2"/>
  <c r="U833" i="2"/>
  <c r="U831" i="2"/>
  <c r="U829" i="2"/>
  <c r="U827" i="2"/>
  <c r="U825" i="2"/>
  <c r="U823" i="2"/>
  <c r="U821" i="2"/>
  <c r="U819" i="2"/>
  <c r="U817" i="2"/>
  <c r="U815" i="2"/>
  <c r="U813" i="2"/>
  <c r="U811" i="2"/>
  <c r="U809" i="2"/>
  <c r="U807" i="2"/>
  <c r="U805" i="2"/>
  <c r="U803" i="2"/>
  <c r="U801" i="2"/>
  <c r="U799" i="2"/>
  <c r="U797" i="2"/>
  <c r="U795" i="2"/>
  <c r="U793" i="2"/>
  <c r="U791" i="2"/>
  <c r="U789" i="2"/>
  <c r="U787" i="2"/>
  <c r="U785" i="2"/>
  <c r="U783" i="2"/>
  <c r="U781" i="2"/>
  <c r="U779" i="2"/>
  <c r="U777" i="2"/>
  <c r="U775" i="2"/>
  <c r="U773" i="2"/>
  <c r="U771" i="2"/>
  <c r="U769" i="2"/>
  <c r="U767" i="2"/>
  <c r="U765" i="2"/>
  <c r="U763" i="2"/>
  <c r="U761" i="2"/>
  <c r="U759" i="2"/>
  <c r="U757" i="2"/>
  <c r="U755" i="2"/>
  <c r="U753" i="2"/>
  <c r="U751" i="2"/>
  <c r="U749" i="2"/>
  <c r="U747" i="2"/>
  <c r="U745" i="2"/>
  <c r="U743" i="2"/>
  <c r="U741" i="2"/>
  <c r="U739" i="2"/>
  <c r="U737" i="2"/>
  <c r="U735" i="2"/>
  <c r="U733" i="2"/>
  <c r="U731" i="2"/>
  <c r="U729" i="2"/>
  <c r="U727" i="2"/>
  <c r="U725" i="2"/>
  <c r="U723" i="2"/>
  <c r="U721" i="2"/>
  <c r="U719" i="2"/>
  <c r="U717" i="2"/>
  <c r="U715" i="2"/>
  <c r="U713" i="2"/>
  <c r="U711" i="2"/>
  <c r="U709" i="2"/>
  <c r="U707" i="2"/>
  <c r="U705" i="2"/>
  <c r="U703" i="2"/>
  <c r="U701" i="2"/>
  <c r="U699" i="2"/>
  <c r="U697" i="2"/>
  <c r="U695" i="2"/>
  <c r="U693" i="2"/>
  <c r="U691" i="2"/>
  <c r="U689" i="2"/>
  <c r="U687" i="2"/>
  <c r="U685" i="2"/>
  <c r="U683" i="2"/>
  <c r="U681" i="2"/>
  <c r="U679" i="2"/>
  <c r="U677" i="2"/>
  <c r="U675" i="2"/>
  <c r="U673" i="2"/>
  <c r="U671" i="2"/>
  <c r="U669" i="2"/>
  <c r="U667" i="2"/>
  <c r="U665" i="2"/>
  <c r="U663" i="2"/>
  <c r="U661" i="2"/>
  <c r="U659" i="2"/>
  <c r="U657" i="2"/>
  <c r="U655" i="2"/>
  <c r="U653" i="2"/>
  <c r="U651" i="2"/>
  <c r="U649" i="2"/>
  <c r="U647" i="2"/>
  <c r="U645" i="2"/>
  <c r="U643" i="2"/>
  <c r="U641" i="2"/>
  <c r="U639" i="2"/>
  <c r="U637" i="2"/>
  <c r="U635" i="2"/>
  <c r="U633" i="2"/>
  <c r="U631" i="2"/>
  <c r="U629" i="2"/>
  <c r="U627" i="2"/>
  <c r="U625" i="2"/>
  <c r="U623" i="2"/>
  <c r="U621" i="2"/>
  <c r="U619" i="2"/>
  <c r="U617" i="2"/>
  <c r="U615" i="2"/>
  <c r="U613" i="2"/>
  <c r="U611" i="2"/>
  <c r="U609" i="2"/>
  <c r="U607" i="2"/>
  <c r="U605" i="2"/>
  <c r="U603" i="2"/>
  <c r="U601" i="2"/>
  <c r="U599" i="2"/>
  <c r="U597" i="2"/>
  <c r="U594" i="2"/>
  <c r="U592" i="2"/>
  <c r="U588" i="2"/>
  <c r="U586" i="2"/>
  <c r="U583" i="2"/>
  <c r="U581" i="2"/>
  <c r="U579" i="2"/>
  <c r="U577" i="2"/>
  <c r="U575" i="2"/>
  <c r="U573" i="2"/>
  <c r="U571" i="2"/>
  <c r="U569" i="2"/>
  <c r="U565" i="2"/>
  <c r="U563" i="2"/>
  <c r="U561" i="2"/>
  <c r="U559" i="2"/>
  <c r="U557" i="2"/>
  <c r="U555" i="2"/>
  <c r="U553" i="2"/>
  <c r="U551" i="2"/>
  <c r="U549" i="2"/>
  <c r="U547" i="2"/>
  <c r="U545" i="2"/>
  <c r="U543" i="2"/>
  <c r="U541" i="2"/>
  <c r="U539" i="2"/>
  <c r="U537" i="2"/>
  <c r="U535" i="2"/>
  <c r="U533" i="2"/>
  <c r="U531" i="2"/>
  <c r="U529" i="2"/>
  <c r="U527" i="2"/>
  <c r="U525" i="2"/>
  <c r="U523" i="2"/>
  <c r="U521" i="2"/>
  <c r="U519" i="2"/>
  <c r="U517" i="2"/>
  <c r="U515" i="2"/>
  <c r="U513" i="2"/>
  <c r="U511" i="2"/>
  <c r="U509" i="2"/>
  <c r="U507" i="2"/>
  <c r="U505" i="2"/>
  <c r="U503" i="2"/>
  <c r="U501" i="2"/>
  <c r="U499" i="2"/>
  <c r="U497" i="2"/>
  <c r="U495" i="2"/>
  <c r="U493" i="2"/>
  <c r="U491" i="2"/>
  <c r="U489" i="2"/>
  <c r="U487" i="2"/>
  <c r="U485" i="2"/>
  <c r="U483" i="2"/>
  <c r="U481" i="2"/>
  <c r="U479" i="2"/>
  <c r="U476" i="2"/>
  <c r="U473" i="2"/>
  <c r="U470" i="2"/>
  <c r="U462" i="2"/>
  <c r="U450" i="2"/>
  <c r="U442" i="2"/>
  <c r="U441" i="2" s="1"/>
  <c r="U437" i="2"/>
  <c r="U436" i="2" s="1"/>
  <c r="U432" i="2"/>
  <c r="U430" i="2"/>
  <c r="U428" i="2"/>
  <c r="U426" i="2"/>
  <c r="U422" i="2"/>
  <c r="U420" i="2"/>
  <c r="U418" i="2"/>
  <c r="U416" i="2"/>
  <c r="U411" i="2"/>
  <c r="U410" i="2" s="1"/>
  <c r="U408" i="2"/>
  <c r="U407" i="2" s="1"/>
  <c r="U405" i="2"/>
  <c r="U404" i="2" s="1"/>
  <c r="U402" i="2"/>
  <c r="U401" i="2" s="1"/>
  <c r="U399" i="2"/>
  <c r="U398" i="2" s="1"/>
  <c r="U396" i="2"/>
  <c r="U394" i="2"/>
  <c r="U389" i="2"/>
  <c r="U386" i="2"/>
  <c r="U384" i="2"/>
  <c r="U379" i="2"/>
  <c r="U377" i="2"/>
  <c r="U373" i="2"/>
  <c r="U372" i="2" s="1"/>
  <c r="U370" i="2"/>
  <c r="U369" i="2" s="1"/>
  <c r="U366" i="2"/>
  <c r="U361" i="2"/>
  <c r="U356" i="2"/>
  <c r="U355" i="2" s="1"/>
  <c r="U353" i="2"/>
  <c r="U352" i="2" s="1"/>
  <c r="U350" i="2"/>
  <c r="U345" i="2"/>
  <c r="U344" i="2" s="1"/>
  <c r="U342" i="2"/>
  <c r="U339" i="2"/>
  <c r="U336" i="2"/>
  <c r="U334" i="2"/>
  <c r="U330" i="2"/>
  <c r="U328" i="2"/>
  <c r="U322" i="2"/>
  <c r="U320" i="2"/>
  <c r="U318" i="2"/>
  <c r="U316" i="2"/>
  <c r="U310" i="2"/>
  <c r="U308" i="2"/>
  <c r="U306" i="2"/>
  <c r="U303" i="2"/>
  <c r="U299" i="2"/>
  <c r="U297" i="2"/>
  <c r="U294" i="2"/>
  <c r="U293" i="2" s="1"/>
  <c r="U289" i="2"/>
  <c r="U286" i="2"/>
  <c r="U284" i="2"/>
  <c r="U282" i="2"/>
  <c r="U280" i="2"/>
  <c r="U277" i="2"/>
  <c r="U268" i="2"/>
  <c r="U265" i="2"/>
  <c r="U261" i="2"/>
  <c r="U259" i="2"/>
  <c r="U257" i="2"/>
  <c r="U255" i="2"/>
  <c r="U251" i="2"/>
  <c r="U249" i="2"/>
  <c r="U247" i="2"/>
  <c r="U244" i="2"/>
  <c r="U242" i="2"/>
  <c r="U239" i="2"/>
  <c r="U237" i="2"/>
  <c r="U235" i="2"/>
  <c r="U233" i="2"/>
  <c r="U231" i="2"/>
  <c r="U229" i="2"/>
  <c r="U225" i="2"/>
  <c r="U222" i="2"/>
  <c r="U220" i="2"/>
  <c r="U218" i="2"/>
  <c r="U211" i="2"/>
  <c r="U208" i="2"/>
  <c r="U200" i="2"/>
  <c r="U197" i="2"/>
  <c r="U194" i="2"/>
  <c r="U189" i="2"/>
  <c r="U187" i="2"/>
  <c r="U183" i="2"/>
  <c r="U180" i="2"/>
  <c r="U177" i="2"/>
  <c r="U171" i="2"/>
  <c r="U168" i="2"/>
  <c r="U165" i="2"/>
  <c r="U162" i="2"/>
  <c r="U159" i="2"/>
  <c r="U156" i="2"/>
  <c r="U154" i="2"/>
  <c r="U149" i="2"/>
  <c r="U144" i="2"/>
  <c r="U141" i="2"/>
  <c r="U139" i="2"/>
  <c r="U137" i="2"/>
  <c r="U134" i="2"/>
  <c r="U130" i="2"/>
  <c r="U128" i="2"/>
  <c r="U122" i="2"/>
  <c r="U119" i="2"/>
  <c r="U111" i="2"/>
  <c r="U108" i="2"/>
  <c r="U104" i="2"/>
  <c r="U101" i="2"/>
  <c r="U98" i="2"/>
  <c r="U97" i="2" s="1"/>
  <c r="U92" i="2"/>
  <c r="U90" i="2"/>
  <c r="U86" i="2"/>
  <c r="U82" i="2"/>
  <c r="U80" i="2"/>
  <c r="U77" i="2"/>
  <c r="U75" i="2"/>
  <c r="U73" i="2"/>
  <c r="U68" i="2"/>
  <c r="U65" i="2"/>
  <c r="U64" i="2" s="1"/>
  <c r="U62" i="2"/>
  <c r="U61" i="2" s="1"/>
  <c r="U58" i="2"/>
  <c r="U56" i="2"/>
  <c r="U54" i="2"/>
  <c r="U52" i="2"/>
  <c r="U44" i="2"/>
  <c r="U37" i="2"/>
  <c r="U34" i="2"/>
  <c r="U31" i="2"/>
  <c r="U28" i="2"/>
  <c r="U24" i="2"/>
  <c r="U21" i="2"/>
  <c r="U19" i="2"/>
  <c r="U193" i="2" l="1"/>
  <c r="U192" i="2" s="1"/>
  <c r="U133" i="2"/>
  <c r="U125" i="2"/>
  <c r="U215" i="2"/>
  <c r="U1424" i="2"/>
  <c r="U1042" i="2"/>
  <c r="U1314" i="2"/>
  <c r="U444" i="2"/>
  <c r="U107" i="2"/>
  <c r="U264" i="2"/>
  <c r="U1085" i="2"/>
  <c r="U1431" i="2"/>
  <c r="U176" i="2"/>
  <c r="U425" i="2"/>
  <c r="U424" i="2" s="1"/>
  <c r="U585" i="2"/>
  <c r="U1376" i="2"/>
  <c r="U100" i="2"/>
  <c r="U96" i="2" s="1"/>
  <c r="U1296" i="2"/>
  <c r="U415" i="2"/>
  <c r="U414" i="2" s="1"/>
  <c r="U1199" i="2"/>
  <c r="U1251" i="2"/>
  <c r="U1415" i="2"/>
  <c r="U1410" i="2" s="1"/>
  <c r="U333" i="2"/>
  <c r="U360" i="2"/>
  <c r="U359" i="2" s="1"/>
  <c r="U51" i="2"/>
  <c r="U1184" i="2"/>
  <c r="U302" i="2"/>
  <c r="U301" i="2" s="1"/>
  <c r="U1112" i="2"/>
  <c r="U1263" i="2"/>
  <c r="U1371" i="2"/>
  <c r="U296" i="2"/>
  <c r="U292" i="2" s="1"/>
  <c r="U475" i="2"/>
  <c r="U1278" i="2"/>
  <c r="U27" i="2"/>
  <c r="U1192" i="2"/>
  <c r="U254" i="2"/>
  <c r="U376" i="2"/>
  <c r="U368" i="2" s="1"/>
  <c r="U228" i="2"/>
  <c r="U393" i="2"/>
  <c r="U392" i="2" s="1"/>
  <c r="U72" i="2"/>
  <c r="U85" i="2"/>
  <c r="U341" i="2"/>
  <c r="U596" i="2"/>
  <c r="U590" i="2" s="1"/>
  <c r="U1228" i="2"/>
  <c r="U1227" i="2" s="1"/>
  <c r="U1236" i="2"/>
  <c r="U1235" i="2" s="1"/>
  <c r="U18" i="2"/>
  <c r="U349" i="2"/>
  <c r="U567" i="2"/>
  <c r="U1208" i="2"/>
  <c r="U1403" i="2"/>
  <c r="U1398" i="2"/>
  <c r="U1057" i="2"/>
  <c r="S1348" i="2"/>
  <c r="S1338" i="2"/>
  <c r="S1337" i="2"/>
  <c r="S1336" i="2"/>
  <c r="S1253" i="2"/>
  <c r="S1224" i="2"/>
  <c r="S1158" i="2"/>
  <c r="S1156" i="2"/>
  <c r="S1155" i="2"/>
  <c r="S1152" i="2"/>
  <c r="S1135" i="2"/>
  <c r="S584" i="2"/>
  <c r="S578" i="2"/>
  <c r="S574" i="2"/>
  <c r="S572" i="2"/>
  <c r="U1041" i="2" l="1"/>
  <c r="U332" i="2"/>
  <c r="U106" i="2"/>
  <c r="U1084" i="2"/>
  <c r="U1250" i="2"/>
  <c r="U1239" i="2" s="1"/>
  <c r="U71" i="2"/>
  <c r="U214" i="2"/>
  <c r="U1207" i="2"/>
  <c r="U1295" i="2"/>
  <c r="U413" i="2"/>
  <c r="U348" i="2"/>
  <c r="U17" i="2"/>
  <c r="T1059" i="2"/>
  <c r="V1059" i="2" s="1"/>
  <c r="X1059" i="2" s="1"/>
  <c r="Z1059" i="2" s="1"/>
  <c r="S1058" i="2"/>
  <c r="T1058" i="2" s="1"/>
  <c r="V1058" i="2" s="1"/>
  <c r="X1058" i="2" s="1"/>
  <c r="S1060" i="2"/>
  <c r="T1064" i="2"/>
  <c r="V1064" i="2" s="1"/>
  <c r="X1064" i="2" s="1"/>
  <c r="Z1064" i="2" s="1"/>
  <c r="T1063" i="2"/>
  <c r="V1063" i="2" s="1"/>
  <c r="X1063" i="2" s="1"/>
  <c r="Z1063" i="2" s="1"/>
  <c r="T1062" i="2"/>
  <c r="V1062" i="2" s="1"/>
  <c r="X1062" i="2" s="1"/>
  <c r="Z1062" i="2" s="1"/>
  <c r="T1061" i="2"/>
  <c r="V1061" i="2" s="1"/>
  <c r="X1061" i="2" s="1"/>
  <c r="Z1061" i="2" s="1"/>
  <c r="U1083" i="2" l="1"/>
  <c r="U472" i="2"/>
  <c r="U469" i="2" s="1"/>
  <c r="U435" i="2" s="1"/>
  <c r="U1294" i="2"/>
  <c r="U16" i="2"/>
  <c r="U347" i="2"/>
  <c r="S22" i="2"/>
  <c r="S1129" i="2"/>
  <c r="S1122" i="2"/>
  <c r="S1121" i="2" s="1"/>
  <c r="T1123" i="2"/>
  <c r="V1123" i="2" s="1"/>
  <c r="X1123" i="2" s="1"/>
  <c r="Z1123" i="2" s="1"/>
  <c r="U1471" i="2" l="1"/>
  <c r="U1472" i="2"/>
  <c r="S1077" i="2"/>
  <c r="T1081" i="2"/>
  <c r="V1081" i="2" s="1"/>
  <c r="X1081" i="2" s="1"/>
  <c r="Z1081" i="2" s="1"/>
  <c r="S1046" i="2"/>
  <c r="T1053" i="2"/>
  <c r="V1053" i="2" s="1"/>
  <c r="X1053" i="2" s="1"/>
  <c r="Z1053" i="2" s="1"/>
  <c r="S149" i="2"/>
  <c r="T150" i="2"/>
  <c r="V150" i="2" s="1"/>
  <c r="X150" i="2" s="1"/>
  <c r="Z150" i="2" s="1"/>
  <c r="S92" i="2"/>
  <c r="T93" i="2"/>
  <c r="V93" i="2" s="1"/>
  <c r="X93" i="2" s="1"/>
  <c r="Z93" i="2" s="1"/>
  <c r="S462" i="2"/>
  <c r="T468" i="2"/>
  <c r="V468" i="2" s="1"/>
  <c r="X468" i="2" s="1"/>
  <c r="Z468" i="2" s="1"/>
  <c r="S1138" i="2"/>
  <c r="T1140" i="2"/>
  <c r="V1140" i="2" s="1"/>
  <c r="X1140" i="2" s="1"/>
  <c r="Z1140" i="2" s="1"/>
  <c r="S1197" i="2"/>
  <c r="T1197" i="2" s="1"/>
  <c r="V1197" i="2" s="1"/>
  <c r="X1197" i="2" s="1"/>
  <c r="T1198" i="2"/>
  <c r="V1198" i="2" s="1"/>
  <c r="X1198" i="2" s="1"/>
  <c r="Z1198" i="2" s="1"/>
  <c r="S1107" i="2"/>
  <c r="T1107" i="2" s="1"/>
  <c r="V1107" i="2" s="1"/>
  <c r="X1107" i="2" s="1"/>
  <c r="T1108" i="2"/>
  <c r="V1108" i="2" s="1"/>
  <c r="X1108" i="2" s="1"/>
  <c r="Z1108" i="2" s="1"/>
  <c r="S1104" i="2"/>
  <c r="T1106" i="2"/>
  <c r="V1106" i="2" s="1"/>
  <c r="X1106" i="2" s="1"/>
  <c r="Z1106" i="2" s="1"/>
  <c r="S1435" i="2" l="1"/>
  <c r="T1439" i="2"/>
  <c r="V1439" i="2" s="1"/>
  <c r="X1439" i="2" s="1"/>
  <c r="Z1439" i="2" s="1"/>
  <c r="S591" i="2" l="1"/>
  <c r="S1037" i="2" l="1"/>
  <c r="S1035" i="2"/>
  <c r="S1033" i="2"/>
  <c r="T1033" i="2" s="1"/>
  <c r="V1033" i="2" s="1"/>
  <c r="X1033" i="2" s="1"/>
  <c r="S1031" i="2"/>
  <c r="T1031" i="2" s="1"/>
  <c r="V1031" i="2" s="1"/>
  <c r="X1031" i="2" s="1"/>
  <c r="S1029" i="2"/>
  <c r="T1029" i="2" s="1"/>
  <c r="V1029" i="2" s="1"/>
  <c r="X1029" i="2" s="1"/>
  <c r="S1027" i="2"/>
  <c r="T1027" i="2" s="1"/>
  <c r="V1027" i="2" s="1"/>
  <c r="X1027" i="2" s="1"/>
  <c r="S1025" i="2"/>
  <c r="T1025" i="2" s="1"/>
  <c r="V1025" i="2" s="1"/>
  <c r="X1025" i="2" s="1"/>
  <c r="S1023" i="2"/>
  <c r="T1023" i="2" s="1"/>
  <c r="V1023" i="2" s="1"/>
  <c r="X1023" i="2" s="1"/>
  <c r="S1021" i="2"/>
  <c r="S1019" i="2"/>
  <c r="T1019" i="2" s="1"/>
  <c r="V1019" i="2" s="1"/>
  <c r="X1019" i="2" s="1"/>
  <c r="S1017" i="2"/>
  <c r="T1017" i="2" s="1"/>
  <c r="V1017" i="2" s="1"/>
  <c r="X1017" i="2" s="1"/>
  <c r="S1015" i="2"/>
  <c r="T1015" i="2" s="1"/>
  <c r="V1015" i="2" s="1"/>
  <c r="X1015" i="2" s="1"/>
  <c r="S1013" i="2"/>
  <c r="T1013" i="2" s="1"/>
  <c r="V1013" i="2" s="1"/>
  <c r="X1013" i="2" s="1"/>
  <c r="S1011" i="2"/>
  <c r="T1011" i="2" s="1"/>
  <c r="V1011" i="2" s="1"/>
  <c r="X1011" i="2" s="1"/>
  <c r="S1009" i="2"/>
  <c r="T1009" i="2" s="1"/>
  <c r="V1009" i="2" s="1"/>
  <c r="X1009" i="2" s="1"/>
  <c r="S1007" i="2"/>
  <c r="T1007" i="2" s="1"/>
  <c r="V1007" i="2" s="1"/>
  <c r="X1007" i="2" s="1"/>
  <c r="S1005" i="2"/>
  <c r="T1005" i="2" s="1"/>
  <c r="V1005" i="2" s="1"/>
  <c r="X1005" i="2" s="1"/>
  <c r="S1003" i="2"/>
  <c r="T1003" i="2" s="1"/>
  <c r="V1003" i="2" s="1"/>
  <c r="X1003" i="2" s="1"/>
  <c r="S1001" i="2"/>
  <c r="T1001" i="2" s="1"/>
  <c r="V1001" i="2" s="1"/>
  <c r="X1001" i="2" s="1"/>
  <c r="S999" i="2"/>
  <c r="T999" i="2" s="1"/>
  <c r="V999" i="2" s="1"/>
  <c r="X999" i="2" s="1"/>
  <c r="S997" i="2"/>
  <c r="T997" i="2" s="1"/>
  <c r="V997" i="2" s="1"/>
  <c r="X997" i="2" s="1"/>
  <c r="S995" i="2"/>
  <c r="T995" i="2" s="1"/>
  <c r="V995" i="2" s="1"/>
  <c r="X995" i="2" s="1"/>
  <c r="S993" i="2"/>
  <c r="T993" i="2" s="1"/>
  <c r="V993" i="2" s="1"/>
  <c r="X993" i="2" s="1"/>
  <c r="S991" i="2"/>
  <c r="T991" i="2" s="1"/>
  <c r="V991" i="2" s="1"/>
  <c r="X991" i="2" s="1"/>
  <c r="S989" i="2"/>
  <c r="T989" i="2" s="1"/>
  <c r="V989" i="2" s="1"/>
  <c r="X989" i="2" s="1"/>
  <c r="S987" i="2"/>
  <c r="T987" i="2" s="1"/>
  <c r="V987" i="2" s="1"/>
  <c r="X987" i="2" s="1"/>
  <c r="S985" i="2"/>
  <c r="T985" i="2" s="1"/>
  <c r="V985" i="2" s="1"/>
  <c r="X985" i="2" s="1"/>
  <c r="S983" i="2"/>
  <c r="T983" i="2" s="1"/>
  <c r="V983" i="2" s="1"/>
  <c r="X983" i="2" s="1"/>
  <c r="S981" i="2"/>
  <c r="T981" i="2" s="1"/>
  <c r="V981" i="2" s="1"/>
  <c r="X981" i="2" s="1"/>
  <c r="S979" i="2"/>
  <c r="T979" i="2" s="1"/>
  <c r="V979" i="2" s="1"/>
  <c r="X979" i="2" s="1"/>
  <c r="S977" i="2"/>
  <c r="T977" i="2" s="1"/>
  <c r="V977" i="2" s="1"/>
  <c r="X977" i="2" s="1"/>
  <c r="S975" i="2"/>
  <c r="T975" i="2" s="1"/>
  <c r="V975" i="2" s="1"/>
  <c r="X975" i="2" s="1"/>
  <c r="S973" i="2"/>
  <c r="T973" i="2" s="1"/>
  <c r="V973" i="2" s="1"/>
  <c r="X973" i="2" s="1"/>
  <c r="S971" i="2"/>
  <c r="T971" i="2" s="1"/>
  <c r="V971" i="2" s="1"/>
  <c r="X971" i="2" s="1"/>
  <c r="S969" i="2"/>
  <c r="T969" i="2" s="1"/>
  <c r="V969" i="2" s="1"/>
  <c r="X969" i="2" s="1"/>
  <c r="T980" i="2"/>
  <c r="V980" i="2" s="1"/>
  <c r="X980" i="2" s="1"/>
  <c r="Z980" i="2" s="1"/>
  <c r="S967" i="2"/>
  <c r="T967" i="2" s="1"/>
  <c r="V967" i="2" s="1"/>
  <c r="X967" i="2" s="1"/>
  <c r="S965" i="2"/>
  <c r="T965" i="2" s="1"/>
  <c r="V965" i="2" s="1"/>
  <c r="X965" i="2" s="1"/>
  <c r="S963" i="2"/>
  <c r="T963" i="2" s="1"/>
  <c r="V963" i="2" s="1"/>
  <c r="X963" i="2" s="1"/>
  <c r="S961" i="2"/>
  <c r="T961" i="2" s="1"/>
  <c r="V961" i="2" s="1"/>
  <c r="X961" i="2" s="1"/>
  <c r="S959" i="2"/>
  <c r="T959" i="2" s="1"/>
  <c r="V959" i="2" s="1"/>
  <c r="X959" i="2" s="1"/>
  <c r="S957" i="2"/>
  <c r="T957" i="2" s="1"/>
  <c r="V957" i="2" s="1"/>
  <c r="X957" i="2" s="1"/>
  <c r="S955" i="2"/>
  <c r="T955" i="2" s="1"/>
  <c r="V955" i="2" s="1"/>
  <c r="X955" i="2" s="1"/>
  <c r="S953" i="2"/>
  <c r="T953" i="2" s="1"/>
  <c r="V953" i="2" s="1"/>
  <c r="X953" i="2" s="1"/>
  <c r="S951" i="2"/>
  <c r="T951" i="2" s="1"/>
  <c r="V951" i="2" s="1"/>
  <c r="X951" i="2" s="1"/>
  <c r="S949" i="2"/>
  <c r="T949" i="2" s="1"/>
  <c r="V949" i="2" s="1"/>
  <c r="X949" i="2" s="1"/>
  <c r="S947" i="2"/>
  <c r="T947" i="2" s="1"/>
  <c r="V947" i="2" s="1"/>
  <c r="X947" i="2" s="1"/>
  <c r="S945" i="2"/>
  <c r="T945" i="2" s="1"/>
  <c r="V945" i="2" s="1"/>
  <c r="X945" i="2" s="1"/>
  <c r="S943" i="2"/>
  <c r="T943" i="2" s="1"/>
  <c r="V943" i="2" s="1"/>
  <c r="X943" i="2" s="1"/>
  <c r="S941" i="2"/>
  <c r="T941" i="2" s="1"/>
  <c r="V941" i="2" s="1"/>
  <c r="X941" i="2" s="1"/>
  <c r="S939" i="2"/>
  <c r="T939" i="2" s="1"/>
  <c r="V939" i="2" s="1"/>
  <c r="X939" i="2" s="1"/>
  <c r="S937" i="2"/>
  <c r="T937" i="2" s="1"/>
  <c r="V937" i="2" s="1"/>
  <c r="X937" i="2" s="1"/>
  <c r="S935" i="2"/>
  <c r="T935" i="2" s="1"/>
  <c r="V935" i="2" s="1"/>
  <c r="X935" i="2" s="1"/>
  <c r="S933" i="2"/>
  <c r="T933" i="2" s="1"/>
  <c r="V933" i="2" s="1"/>
  <c r="X933" i="2" s="1"/>
  <c r="S931" i="2"/>
  <c r="T931" i="2" s="1"/>
  <c r="V931" i="2" s="1"/>
  <c r="X931" i="2" s="1"/>
  <c r="S929" i="2"/>
  <c r="T929" i="2" s="1"/>
  <c r="V929" i="2" s="1"/>
  <c r="X929" i="2" s="1"/>
  <c r="S927" i="2"/>
  <c r="T927" i="2" s="1"/>
  <c r="V927" i="2" s="1"/>
  <c r="X927" i="2" s="1"/>
  <c r="S925" i="2"/>
  <c r="T925" i="2" s="1"/>
  <c r="V925" i="2" s="1"/>
  <c r="X925" i="2" s="1"/>
  <c r="S923" i="2"/>
  <c r="T923" i="2" s="1"/>
  <c r="V923" i="2" s="1"/>
  <c r="X923" i="2" s="1"/>
  <c r="S921" i="2"/>
  <c r="T921" i="2" s="1"/>
  <c r="V921" i="2" s="1"/>
  <c r="X921" i="2" s="1"/>
  <c r="S919" i="2"/>
  <c r="T919" i="2" s="1"/>
  <c r="V919" i="2" s="1"/>
  <c r="X919" i="2" s="1"/>
  <c r="S917" i="2"/>
  <c r="T917" i="2" s="1"/>
  <c r="V917" i="2" s="1"/>
  <c r="X917" i="2" s="1"/>
  <c r="S915" i="2"/>
  <c r="T915" i="2" s="1"/>
  <c r="V915" i="2" s="1"/>
  <c r="X915" i="2" s="1"/>
  <c r="S913" i="2"/>
  <c r="T913" i="2" s="1"/>
  <c r="V913" i="2" s="1"/>
  <c r="X913" i="2" s="1"/>
  <c r="T914" i="2"/>
  <c r="V914" i="2" s="1"/>
  <c r="X914" i="2" s="1"/>
  <c r="Z914" i="2" s="1"/>
  <c r="T916" i="2"/>
  <c r="V916" i="2" s="1"/>
  <c r="X916" i="2" s="1"/>
  <c r="Z916" i="2" s="1"/>
  <c r="T918" i="2"/>
  <c r="V918" i="2" s="1"/>
  <c r="X918" i="2" s="1"/>
  <c r="Z918" i="2" s="1"/>
  <c r="T920" i="2"/>
  <c r="V920" i="2" s="1"/>
  <c r="X920" i="2" s="1"/>
  <c r="Z920" i="2" s="1"/>
  <c r="T922" i="2"/>
  <c r="V922" i="2" s="1"/>
  <c r="X922" i="2" s="1"/>
  <c r="Z922" i="2" s="1"/>
  <c r="T924" i="2"/>
  <c r="V924" i="2" s="1"/>
  <c r="X924" i="2" s="1"/>
  <c r="Z924" i="2" s="1"/>
  <c r="T926" i="2"/>
  <c r="V926" i="2" s="1"/>
  <c r="X926" i="2" s="1"/>
  <c r="Z926" i="2" s="1"/>
  <c r="T928" i="2"/>
  <c r="V928" i="2" s="1"/>
  <c r="X928" i="2" s="1"/>
  <c r="Z928" i="2" s="1"/>
  <c r="T930" i="2"/>
  <c r="V930" i="2" s="1"/>
  <c r="X930" i="2" s="1"/>
  <c r="Z930" i="2" s="1"/>
  <c r="T932" i="2"/>
  <c r="V932" i="2" s="1"/>
  <c r="X932" i="2" s="1"/>
  <c r="Z932" i="2" s="1"/>
  <c r="T934" i="2"/>
  <c r="V934" i="2" s="1"/>
  <c r="X934" i="2" s="1"/>
  <c r="Z934" i="2" s="1"/>
  <c r="T936" i="2"/>
  <c r="V936" i="2" s="1"/>
  <c r="X936" i="2" s="1"/>
  <c r="Z936" i="2" s="1"/>
  <c r="T938" i="2"/>
  <c r="V938" i="2" s="1"/>
  <c r="X938" i="2" s="1"/>
  <c r="Z938" i="2" s="1"/>
  <c r="T940" i="2"/>
  <c r="V940" i="2" s="1"/>
  <c r="X940" i="2" s="1"/>
  <c r="Z940" i="2" s="1"/>
  <c r="T942" i="2"/>
  <c r="V942" i="2" s="1"/>
  <c r="X942" i="2" s="1"/>
  <c r="Z942" i="2" s="1"/>
  <c r="T944" i="2"/>
  <c r="V944" i="2" s="1"/>
  <c r="X944" i="2" s="1"/>
  <c r="Z944" i="2" s="1"/>
  <c r="T946" i="2"/>
  <c r="V946" i="2" s="1"/>
  <c r="X946" i="2" s="1"/>
  <c r="Z946" i="2" s="1"/>
  <c r="T948" i="2"/>
  <c r="V948" i="2" s="1"/>
  <c r="X948" i="2" s="1"/>
  <c r="Z948" i="2" s="1"/>
  <c r="T950" i="2"/>
  <c r="V950" i="2" s="1"/>
  <c r="X950" i="2" s="1"/>
  <c r="Z950" i="2" s="1"/>
  <c r="T952" i="2"/>
  <c r="V952" i="2" s="1"/>
  <c r="X952" i="2" s="1"/>
  <c r="Z952" i="2" s="1"/>
  <c r="T954" i="2"/>
  <c r="V954" i="2" s="1"/>
  <c r="X954" i="2" s="1"/>
  <c r="Z954" i="2" s="1"/>
  <c r="T956" i="2"/>
  <c r="V956" i="2" s="1"/>
  <c r="X956" i="2" s="1"/>
  <c r="Z956" i="2" s="1"/>
  <c r="T958" i="2"/>
  <c r="V958" i="2" s="1"/>
  <c r="X958" i="2" s="1"/>
  <c r="Z958" i="2" s="1"/>
  <c r="T960" i="2"/>
  <c r="V960" i="2" s="1"/>
  <c r="X960" i="2" s="1"/>
  <c r="Z960" i="2" s="1"/>
  <c r="T962" i="2"/>
  <c r="V962" i="2" s="1"/>
  <c r="X962" i="2" s="1"/>
  <c r="Z962" i="2" s="1"/>
  <c r="T964" i="2"/>
  <c r="V964" i="2" s="1"/>
  <c r="X964" i="2" s="1"/>
  <c r="Z964" i="2" s="1"/>
  <c r="T966" i="2"/>
  <c r="V966" i="2" s="1"/>
  <c r="X966" i="2" s="1"/>
  <c r="Z966" i="2" s="1"/>
  <c r="T968" i="2"/>
  <c r="V968" i="2" s="1"/>
  <c r="X968" i="2" s="1"/>
  <c r="Z968" i="2" s="1"/>
  <c r="T970" i="2"/>
  <c r="V970" i="2" s="1"/>
  <c r="X970" i="2" s="1"/>
  <c r="Z970" i="2" s="1"/>
  <c r="T972" i="2"/>
  <c r="V972" i="2" s="1"/>
  <c r="X972" i="2" s="1"/>
  <c r="Z972" i="2" s="1"/>
  <c r="T974" i="2"/>
  <c r="V974" i="2" s="1"/>
  <c r="X974" i="2" s="1"/>
  <c r="Z974" i="2" s="1"/>
  <c r="T976" i="2"/>
  <c r="V976" i="2" s="1"/>
  <c r="X976" i="2" s="1"/>
  <c r="Z976" i="2" s="1"/>
  <c r="T978" i="2"/>
  <c r="V978" i="2" s="1"/>
  <c r="X978" i="2" s="1"/>
  <c r="Z978" i="2" s="1"/>
  <c r="T982" i="2"/>
  <c r="V982" i="2" s="1"/>
  <c r="X982" i="2" s="1"/>
  <c r="Z982" i="2" s="1"/>
  <c r="T984" i="2"/>
  <c r="V984" i="2" s="1"/>
  <c r="X984" i="2" s="1"/>
  <c r="Z984" i="2" s="1"/>
  <c r="T986" i="2"/>
  <c r="V986" i="2" s="1"/>
  <c r="X986" i="2" s="1"/>
  <c r="Z986" i="2" s="1"/>
  <c r="T988" i="2"/>
  <c r="V988" i="2" s="1"/>
  <c r="X988" i="2" s="1"/>
  <c r="Z988" i="2" s="1"/>
  <c r="T990" i="2"/>
  <c r="V990" i="2" s="1"/>
  <c r="X990" i="2" s="1"/>
  <c r="Z990" i="2" s="1"/>
  <c r="T992" i="2"/>
  <c r="V992" i="2" s="1"/>
  <c r="X992" i="2" s="1"/>
  <c r="Z992" i="2" s="1"/>
  <c r="T994" i="2"/>
  <c r="V994" i="2" s="1"/>
  <c r="X994" i="2" s="1"/>
  <c r="Z994" i="2" s="1"/>
  <c r="T996" i="2"/>
  <c r="V996" i="2" s="1"/>
  <c r="X996" i="2" s="1"/>
  <c r="Z996" i="2" s="1"/>
  <c r="T998" i="2"/>
  <c r="V998" i="2" s="1"/>
  <c r="X998" i="2" s="1"/>
  <c r="Z998" i="2" s="1"/>
  <c r="T1000" i="2"/>
  <c r="V1000" i="2" s="1"/>
  <c r="X1000" i="2" s="1"/>
  <c r="Z1000" i="2" s="1"/>
  <c r="T1002" i="2"/>
  <c r="V1002" i="2" s="1"/>
  <c r="X1002" i="2" s="1"/>
  <c r="Z1002" i="2" s="1"/>
  <c r="T1004" i="2"/>
  <c r="V1004" i="2" s="1"/>
  <c r="X1004" i="2" s="1"/>
  <c r="Z1004" i="2" s="1"/>
  <c r="T1006" i="2"/>
  <c r="V1006" i="2" s="1"/>
  <c r="X1006" i="2" s="1"/>
  <c r="Z1006" i="2" s="1"/>
  <c r="T1008" i="2"/>
  <c r="V1008" i="2" s="1"/>
  <c r="X1008" i="2" s="1"/>
  <c r="Z1008" i="2" s="1"/>
  <c r="T1010" i="2"/>
  <c r="V1010" i="2" s="1"/>
  <c r="X1010" i="2" s="1"/>
  <c r="Z1010" i="2" s="1"/>
  <c r="T1012" i="2"/>
  <c r="V1012" i="2" s="1"/>
  <c r="X1012" i="2" s="1"/>
  <c r="Z1012" i="2" s="1"/>
  <c r="T1014" i="2"/>
  <c r="V1014" i="2" s="1"/>
  <c r="X1014" i="2" s="1"/>
  <c r="Z1014" i="2" s="1"/>
  <c r="T1016" i="2"/>
  <c r="V1016" i="2" s="1"/>
  <c r="X1016" i="2" s="1"/>
  <c r="Z1016" i="2" s="1"/>
  <c r="T1018" i="2"/>
  <c r="V1018" i="2" s="1"/>
  <c r="X1018" i="2" s="1"/>
  <c r="Z1018" i="2" s="1"/>
  <c r="T1020" i="2"/>
  <c r="V1020" i="2" s="1"/>
  <c r="X1020" i="2" s="1"/>
  <c r="Z1020" i="2" s="1"/>
  <c r="T1021" i="2"/>
  <c r="V1021" i="2" s="1"/>
  <c r="X1021" i="2" s="1"/>
  <c r="T1022" i="2"/>
  <c r="V1022" i="2" s="1"/>
  <c r="X1022" i="2" s="1"/>
  <c r="Z1022" i="2" s="1"/>
  <c r="T1024" i="2"/>
  <c r="V1024" i="2" s="1"/>
  <c r="X1024" i="2" s="1"/>
  <c r="Z1024" i="2" s="1"/>
  <c r="T1026" i="2"/>
  <c r="V1026" i="2" s="1"/>
  <c r="X1026" i="2" s="1"/>
  <c r="Z1026" i="2" s="1"/>
  <c r="T1028" i="2"/>
  <c r="V1028" i="2" s="1"/>
  <c r="X1028" i="2" s="1"/>
  <c r="Z1028" i="2" s="1"/>
  <c r="T1030" i="2"/>
  <c r="V1030" i="2" s="1"/>
  <c r="X1030" i="2" s="1"/>
  <c r="Z1030" i="2" s="1"/>
  <c r="T1032" i="2"/>
  <c r="V1032" i="2" s="1"/>
  <c r="X1032" i="2" s="1"/>
  <c r="Z1032" i="2" s="1"/>
  <c r="T1034" i="2"/>
  <c r="V1034" i="2" s="1"/>
  <c r="X1034" i="2" s="1"/>
  <c r="Z1034" i="2" s="1"/>
  <c r="T1035" i="2"/>
  <c r="V1035" i="2" s="1"/>
  <c r="X1035" i="2" s="1"/>
  <c r="T1036" i="2"/>
  <c r="V1036" i="2" s="1"/>
  <c r="X1036" i="2" s="1"/>
  <c r="Z1036" i="2" s="1"/>
  <c r="T1037" i="2"/>
  <c r="V1037" i="2" s="1"/>
  <c r="X1037" i="2" s="1"/>
  <c r="T1038" i="2"/>
  <c r="V1038" i="2" s="1"/>
  <c r="X1038" i="2" s="1"/>
  <c r="Z1038" i="2" s="1"/>
  <c r="S570" i="2" l="1"/>
  <c r="S1476" i="2" s="1"/>
  <c r="S147" i="2" l="1"/>
  <c r="S1477" i="2" s="1"/>
  <c r="S189" i="2"/>
  <c r="T190" i="2"/>
  <c r="V190" i="2" s="1"/>
  <c r="X190" i="2" s="1"/>
  <c r="Z190" i="2" s="1"/>
  <c r="S261" i="2" l="1"/>
  <c r="T263" i="2"/>
  <c r="V263" i="2" s="1"/>
  <c r="X263" i="2" s="1"/>
  <c r="Z263" i="2" s="1"/>
  <c r="T105" i="2" l="1"/>
  <c r="V105" i="2" s="1"/>
  <c r="X105" i="2" s="1"/>
  <c r="Z105" i="2" s="1"/>
  <c r="S104" i="2"/>
  <c r="T104" i="2" s="1"/>
  <c r="V104" i="2" s="1"/>
  <c r="X104" i="2" s="1"/>
  <c r="S1475" i="2" l="1"/>
  <c r="T1282" i="2"/>
  <c r="V1282" i="2" s="1"/>
  <c r="X1282" i="2" s="1"/>
  <c r="Z1282" i="2" s="1"/>
  <c r="S1281" i="2"/>
  <c r="T1281" i="2" s="1"/>
  <c r="V1281" i="2" s="1"/>
  <c r="X1281" i="2" s="1"/>
  <c r="S1469" i="2" l="1"/>
  <c r="S1468" i="2" s="1"/>
  <c r="S1466" i="2"/>
  <c r="S1464" i="2"/>
  <c r="S1462" i="2"/>
  <c r="S1460" i="2"/>
  <c r="S1457" i="2"/>
  <c r="S1452" i="2"/>
  <c r="S1449" i="2"/>
  <c r="S1443" i="2"/>
  <c r="S1441" i="2"/>
  <c r="S1429" i="2"/>
  <c r="S1428" i="2" s="1"/>
  <c r="S1426" i="2"/>
  <c r="S1421" i="2"/>
  <c r="S1420" i="2" s="1"/>
  <c r="S1418" i="2"/>
  <c r="S1416" i="2"/>
  <c r="S1412" i="2"/>
  <c r="S1408" i="2"/>
  <c r="S1407" i="2" s="1"/>
  <c r="S1405" i="2"/>
  <c r="S1404" i="2" s="1"/>
  <c r="S1400" i="2"/>
  <c r="S1399" i="2" s="1"/>
  <c r="S1392" i="2"/>
  <c r="S1391" i="2" s="1"/>
  <c r="S1387" i="2"/>
  <c r="S1385" i="2"/>
  <c r="S1377" i="2"/>
  <c r="S1374" i="2"/>
  <c r="S1372" i="2"/>
  <c r="S1369" i="2"/>
  <c r="S1361" i="2"/>
  <c r="S1359" i="2"/>
  <c r="S1357" i="2"/>
  <c r="S1353" i="2"/>
  <c r="S1351" i="2"/>
  <c r="S1347" i="2"/>
  <c r="S1344" i="2"/>
  <c r="S1332" i="2"/>
  <c r="S1321" i="2"/>
  <c r="S1315" i="2"/>
  <c r="S1311" i="2"/>
  <c r="S1304" i="2" s="1"/>
  <c r="S1302" i="2"/>
  <c r="S1301" i="2" s="1"/>
  <c r="S1299" i="2"/>
  <c r="S1297" i="2"/>
  <c r="S1292" i="2"/>
  <c r="S1289" i="2"/>
  <c r="S1287" i="2"/>
  <c r="S1285" i="2"/>
  <c r="S1283" i="2"/>
  <c r="S1279" i="2"/>
  <c r="S1270" i="2"/>
  <c r="S1266" i="2"/>
  <c r="S1264" i="2"/>
  <c r="S1256" i="2"/>
  <c r="S1252" i="2"/>
  <c r="S1244" i="2"/>
  <c r="S1241" i="2" s="1"/>
  <c r="S1237" i="2"/>
  <c r="S1236" i="2" s="1"/>
  <c r="S1235" i="2" s="1"/>
  <c r="S1233" i="2"/>
  <c r="S1231" i="2"/>
  <c r="S1229" i="2"/>
  <c r="S1225" i="2"/>
  <c r="S1223" i="2"/>
  <c r="S1221" i="2"/>
  <c r="S1219" i="2"/>
  <c r="S1217" i="2"/>
  <c r="S1213" i="2"/>
  <c r="S1211" i="2"/>
  <c r="S1209" i="2"/>
  <c r="S1205" i="2"/>
  <c r="S1203" i="2"/>
  <c r="S1200" i="2"/>
  <c r="S1195" i="2"/>
  <c r="S1193" i="2"/>
  <c r="S1190" i="2"/>
  <c r="S1188" i="2"/>
  <c r="S1185" i="2"/>
  <c r="S1181" i="2"/>
  <c r="S1178" i="2" s="1"/>
  <c r="S1173" i="2"/>
  <c r="S1166" i="2" s="1"/>
  <c r="S1163" i="2"/>
  <c r="S1161" i="2"/>
  <c r="S1157" i="2"/>
  <c r="S1154" i="2"/>
  <c r="S1149" i="2"/>
  <c r="S1147" i="2"/>
  <c r="S1145" i="2"/>
  <c r="S1143" i="2"/>
  <c r="S1141" i="2"/>
  <c r="S1134" i="2"/>
  <c r="S1131" i="2"/>
  <c r="S1124" i="2"/>
  <c r="S1118" i="2"/>
  <c r="S1116" i="2"/>
  <c r="S1113" i="2"/>
  <c r="S1109" i="2"/>
  <c r="S1093" i="2"/>
  <c r="S1089" i="2"/>
  <c r="S1086" i="2"/>
  <c r="S1068" i="2"/>
  <c r="S1066" i="2"/>
  <c r="S1043" i="2"/>
  <c r="S1039" i="2"/>
  <c r="S911" i="2"/>
  <c r="S909" i="2"/>
  <c r="S907" i="2"/>
  <c r="S905" i="2"/>
  <c r="S903" i="2"/>
  <c r="S901" i="2"/>
  <c r="S899" i="2"/>
  <c r="S897" i="2"/>
  <c r="S895" i="2"/>
  <c r="S893" i="2"/>
  <c r="S891" i="2"/>
  <c r="S889" i="2"/>
  <c r="S887" i="2"/>
  <c r="S885" i="2"/>
  <c r="S883" i="2"/>
  <c r="S881" i="2"/>
  <c r="S879" i="2"/>
  <c r="S877" i="2"/>
  <c r="S875" i="2"/>
  <c r="S873" i="2"/>
  <c r="S871" i="2"/>
  <c r="S869" i="2"/>
  <c r="S867" i="2"/>
  <c r="S865" i="2"/>
  <c r="S863" i="2"/>
  <c r="S861" i="2"/>
  <c r="S859" i="2"/>
  <c r="S857" i="2"/>
  <c r="S855" i="2"/>
  <c r="S853" i="2"/>
  <c r="S851" i="2"/>
  <c r="S849" i="2"/>
  <c r="S847" i="2"/>
  <c r="S845" i="2"/>
  <c r="S843" i="2"/>
  <c r="S841" i="2"/>
  <c r="S839" i="2"/>
  <c r="S837" i="2"/>
  <c r="S835" i="2"/>
  <c r="S833" i="2"/>
  <c r="S831" i="2"/>
  <c r="S829" i="2"/>
  <c r="S827" i="2"/>
  <c r="S825" i="2"/>
  <c r="S823" i="2"/>
  <c r="S821" i="2"/>
  <c r="S819" i="2"/>
  <c r="S817" i="2"/>
  <c r="S815" i="2"/>
  <c r="S813" i="2"/>
  <c r="S811" i="2"/>
  <c r="S809" i="2"/>
  <c r="S807" i="2"/>
  <c r="S805" i="2"/>
  <c r="S803" i="2"/>
  <c r="S801" i="2"/>
  <c r="S799" i="2"/>
  <c r="S797" i="2"/>
  <c r="S795" i="2"/>
  <c r="S793" i="2"/>
  <c r="S791" i="2"/>
  <c r="S789" i="2"/>
  <c r="S787" i="2"/>
  <c r="S785" i="2"/>
  <c r="S783" i="2"/>
  <c r="S781" i="2"/>
  <c r="S779" i="2"/>
  <c r="S777" i="2"/>
  <c r="S775" i="2"/>
  <c r="S773" i="2"/>
  <c r="S771" i="2"/>
  <c r="S769" i="2"/>
  <c r="S767" i="2"/>
  <c r="S765" i="2"/>
  <c r="S763" i="2"/>
  <c r="S761" i="2"/>
  <c r="S759" i="2"/>
  <c r="S757" i="2"/>
  <c r="S755" i="2"/>
  <c r="S753" i="2"/>
  <c r="S751" i="2"/>
  <c r="S749" i="2"/>
  <c r="S747" i="2"/>
  <c r="S745" i="2"/>
  <c r="S743" i="2"/>
  <c r="S741" i="2"/>
  <c r="S739" i="2"/>
  <c r="S737" i="2"/>
  <c r="S735" i="2"/>
  <c r="S733" i="2"/>
  <c r="S731" i="2"/>
  <c r="S729" i="2"/>
  <c r="S727" i="2"/>
  <c r="S725" i="2"/>
  <c r="S723" i="2"/>
  <c r="S721" i="2"/>
  <c r="S719" i="2"/>
  <c r="S717" i="2"/>
  <c r="S715" i="2"/>
  <c r="S713" i="2"/>
  <c r="S711" i="2"/>
  <c r="S709" i="2"/>
  <c r="S707" i="2"/>
  <c r="S705" i="2"/>
  <c r="S703" i="2"/>
  <c r="S701" i="2"/>
  <c r="S699" i="2"/>
  <c r="S697" i="2"/>
  <c r="S695" i="2"/>
  <c r="S693" i="2"/>
  <c r="S691" i="2"/>
  <c r="S689" i="2"/>
  <c r="S687" i="2"/>
  <c r="S685" i="2"/>
  <c r="S683" i="2"/>
  <c r="S681" i="2"/>
  <c r="S679" i="2"/>
  <c r="S677" i="2"/>
  <c r="S675" i="2"/>
  <c r="S673" i="2"/>
  <c r="S671" i="2"/>
  <c r="S669" i="2"/>
  <c r="S667" i="2"/>
  <c r="S665" i="2"/>
  <c r="S663" i="2"/>
  <c r="S661" i="2"/>
  <c r="S659" i="2"/>
  <c r="S657" i="2"/>
  <c r="S655" i="2"/>
  <c r="S653" i="2"/>
  <c r="S651" i="2"/>
  <c r="S649" i="2"/>
  <c r="S647" i="2"/>
  <c r="S645" i="2"/>
  <c r="S643" i="2"/>
  <c r="S641" i="2"/>
  <c r="S639" i="2"/>
  <c r="S637" i="2"/>
  <c r="S635" i="2"/>
  <c r="S633" i="2"/>
  <c r="S631" i="2"/>
  <c r="S629" i="2"/>
  <c r="S627" i="2"/>
  <c r="S625" i="2"/>
  <c r="S623" i="2"/>
  <c r="S621" i="2"/>
  <c r="S619" i="2"/>
  <c r="S617" i="2"/>
  <c r="S615" i="2"/>
  <c r="S613" i="2"/>
  <c r="S611" i="2"/>
  <c r="S609" i="2"/>
  <c r="S607" i="2"/>
  <c r="S605" i="2"/>
  <c r="S603" i="2"/>
  <c r="S601" i="2"/>
  <c r="S599" i="2"/>
  <c r="S597" i="2"/>
  <c r="S594" i="2"/>
  <c r="S592" i="2"/>
  <c r="S588" i="2"/>
  <c r="S586" i="2"/>
  <c r="S583" i="2"/>
  <c r="S581" i="2"/>
  <c r="S579" i="2"/>
  <c r="S577" i="2"/>
  <c r="S575" i="2"/>
  <c r="S573" i="2"/>
  <c r="S571" i="2"/>
  <c r="S569" i="2"/>
  <c r="S565" i="2"/>
  <c r="S563" i="2"/>
  <c r="S561" i="2"/>
  <c r="S559" i="2"/>
  <c r="S557" i="2"/>
  <c r="S555" i="2"/>
  <c r="S553" i="2"/>
  <c r="S551" i="2"/>
  <c r="S549" i="2"/>
  <c r="S547" i="2"/>
  <c r="S545" i="2"/>
  <c r="S543" i="2"/>
  <c r="S541" i="2"/>
  <c r="S539" i="2"/>
  <c r="S537" i="2"/>
  <c r="S535" i="2"/>
  <c r="S533" i="2"/>
  <c r="S531" i="2"/>
  <c r="S529" i="2"/>
  <c r="S527" i="2"/>
  <c r="S525" i="2"/>
  <c r="S523" i="2"/>
  <c r="S521" i="2"/>
  <c r="S519" i="2"/>
  <c r="S517" i="2"/>
  <c r="S515" i="2"/>
  <c r="S513" i="2"/>
  <c r="S511" i="2"/>
  <c r="S509" i="2"/>
  <c r="S507" i="2"/>
  <c r="S505" i="2"/>
  <c r="S503" i="2"/>
  <c r="S501" i="2"/>
  <c r="S499" i="2"/>
  <c r="S497" i="2"/>
  <c r="S495" i="2"/>
  <c r="S493" i="2"/>
  <c r="S491" i="2"/>
  <c r="S489" i="2"/>
  <c r="S487" i="2"/>
  <c r="S485" i="2"/>
  <c r="S483" i="2"/>
  <c r="S481" i="2"/>
  <c r="S479" i="2"/>
  <c r="S476" i="2"/>
  <c r="S473" i="2"/>
  <c r="S470" i="2"/>
  <c r="S450" i="2"/>
  <c r="S445" i="2"/>
  <c r="S442" i="2"/>
  <c r="S441" i="2" s="1"/>
  <c r="S437" i="2"/>
  <c r="S436" i="2" s="1"/>
  <c r="S432" i="2"/>
  <c r="S430" i="2"/>
  <c r="S428" i="2"/>
  <c r="S426" i="2"/>
  <c r="S422" i="2"/>
  <c r="S420" i="2"/>
  <c r="S418" i="2"/>
  <c r="S416" i="2"/>
  <c r="S411" i="2"/>
  <c r="S410" i="2" s="1"/>
  <c r="S408" i="2"/>
  <c r="S407" i="2" s="1"/>
  <c r="S405" i="2"/>
  <c r="S404" i="2" s="1"/>
  <c r="S402" i="2"/>
  <c r="S401" i="2" s="1"/>
  <c r="S399" i="2"/>
  <c r="S398" i="2" s="1"/>
  <c r="S396" i="2"/>
  <c r="S394" i="2"/>
  <c r="S389" i="2"/>
  <c r="S386" i="2"/>
  <c r="S384" i="2"/>
  <c r="S379" i="2"/>
  <c r="S377" i="2"/>
  <c r="S373" i="2"/>
  <c r="S372" i="2" s="1"/>
  <c r="S370" i="2"/>
  <c r="S369" i="2" s="1"/>
  <c r="S366" i="2"/>
  <c r="S361" i="2"/>
  <c r="S356" i="2"/>
  <c r="S355" i="2" s="1"/>
  <c r="S353" i="2"/>
  <c r="S352" i="2" s="1"/>
  <c r="S350" i="2"/>
  <c r="S349" i="2" s="1"/>
  <c r="S345" i="2"/>
  <c r="S344" i="2" s="1"/>
  <c r="S342" i="2"/>
  <c r="S341" i="2" s="1"/>
  <c r="S339" i="2"/>
  <c r="S336" i="2"/>
  <c r="S334" i="2"/>
  <c r="S330" i="2"/>
  <c r="S328" i="2"/>
  <c r="S324" i="2"/>
  <c r="S322" i="2"/>
  <c r="S320" i="2"/>
  <c r="S318" i="2"/>
  <c r="S316" i="2"/>
  <c r="S313" i="2"/>
  <c r="S310" i="2"/>
  <c r="S308" i="2"/>
  <c r="S306" i="2"/>
  <c r="S303" i="2"/>
  <c r="S299" i="2"/>
  <c r="S297" i="2"/>
  <c r="S294" i="2"/>
  <c r="S293" i="2" s="1"/>
  <c r="S289" i="2"/>
  <c r="S286" i="2"/>
  <c r="S284" i="2"/>
  <c r="S282" i="2"/>
  <c r="S280" i="2"/>
  <c r="S277" i="2"/>
  <c r="S268" i="2"/>
  <c r="S265" i="2"/>
  <c r="S259" i="2"/>
  <c r="S257" i="2"/>
  <c r="S255" i="2"/>
  <c r="S251" i="2"/>
  <c r="S249" i="2"/>
  <c r="S247" i="2"/>
  <c r="S244" i="2"/>
  <c r="S242" i="2"/>
  <c r="S239" i="2"/>
  <c r="S237" i="2"/>
  <c r="S235" i="2"/>
  <c r="S233" i="2"/>
  <c r="S231" i="2"/>
  <c r="S229" i="2"/>
  <c r="S225" i="2"/>
  <c r="S222" i="2"/>
  <c r="S220" i="2"/>
  <c r="S218" i="2"/>
  <c r="S211" i="2"/>
  <c r="S208" i="2"/>
  <c r="S200" i="2"/>
  <c r="S197" i="2"/>
  <c r="S194" i="2"/>
  <c r="S187" i="2"/>
  <c r="S184" i="2"/>
  <c r="S183" i="2" s="1"/>
  <c r="S180" i="2"/>
  <c r="S177" i="2"/>
  <c r="S171" i="2"/>
  <c r="S168" i="2"/>
  <c r="S165" i="2"/>
  <c r="S162" i="2"/>
  <c r="S159" i="2"/>
  <c r="S156" i="2"/>
  <c r="S154" i="2"/>
  <c r="S144" i="2"/>
  <c r="S141" i="2"/>
  <c r="S139" i="2"/>
  <c r="S137" i="2"/>
  <c r="S134" i="2"/>
  <c r="S130" i="2"/>
  <c r="S128" i="2"/>
  <c r="S122" i="2"/>
  <c r="S119" i="2"/>
  <c r="S111" i="2"/>
  <c r="S108" i="2"/>
  <c r="S101" i="2"/>
  <c r="S100" i="2" s="1"/>
  <c r="S98" i="2"/>
  <c r="S90" i="2"/>
  <c r="S86" i="2"/>
  <c r="S82" i="2"/>
  <c r="S80" i="2"/>
  <c r="S77" i="2"/>
  <c r="S75" i="2"/>
  <c r="S73" i="2"/>
  <c r="S68" i="2"/>
  <c r="S65" i="2"/>
  <c r="S64" i="2" s="1"/>
  <c r="S62" i="2"/>
  <c r="S61" i="2" s="1"/>
  <c r="S58" i="2"/>
  <c r="S56" i="2"/>
  <c r="S54" i="2"/>
  <c r="S52" i="2"/>
  <c r="S47" i="2"/>
  <c r="S44" i="2"/>
  <c r="S40" i="2"/>
  <c r="S37" i="2"/>
  <c r="S34" i="2"/>
  <c r="S31" i="2"/>
  <c r="S28" i="2"/>
  <c r="S24" i="2"/>
  <c r="S21" i="2"/>
  <c r="S19" i="2"/>
  <c r="S1192" i="2" l="1"/>
  <c r="S1057" i="2"/>
  <c r="S1085" i="2"/>
  <c r="S596" i="2"/>
  <c r="S590" i="2" s="1"/>
  <c r="S1278" i="2"/>
  <c r="S567" i="2"/>
  <c r="S1199" i="2"/>
  <c r="S585" i="2"/>
  <c r="S415" i="2"/>
  <c r="S414" i="2" s="1"/>
  <c r="S425" i="2"/>
  <c r="S424" i="2" s="1"/>
  <c r="S27" i="2"/>
  <c r="S376" i="2"/>
  <c r="S368" i="2" s="1"/>
  <c r="S18" i="2"/>
  <c r="S97" i="2"/>
  <c r="S96" i="2" s="1"/>
  <c r="S193" i="2"/>
  <c r="S192" i="2" s="1"/>
  <c r="S264" i="2"/>
  <c r="S125" i="2"/>
  <c r="S176" i="2"/>
  <c r="S85" i="2"/>
  <c r="S228" i="2"/>
  <c r="S254" i="2"/>
  <c r="S348" i="2"/>
  <c r="S215" i="2"/>
  <c r="S333" i="2"/>
  <c r="S332" i="2" s="1"/>
  <c r="S360" i="2"/>
  <c r="S359" i="2" s="1"/>
  <c r="S393" i="2"/>
  <c r="S392" i="2" s="1"/>
  <c r="S296" i="2"/>
  <c r="S292" i="2" s="1"/>
  <c r="S475" i="2"/>
  <c r="S1371" i="2"/>
  <c r="S1411" i="2"/>
  <c r="S1415" i="2"/>
  <c r="S107" i="2"/>
  <c r="S444" i="2"/>
  <c r="S133" i="2"/>
  <c r="S302" i="2"/>
  <c r="S1240" i="2"/>
  <c r="S1263" i="2"/>
  <c r="S1296" i="2"/>
  <c r="S1318" i="2"/>
  <c r="S1376" i="2"/>
  <c r="S1398" i="2"/>
  <c r="S1403" i="2"/>
  <c r="S1042" i="2"/>
  <c r="S1184" i="2"/>
  <c r="S1251" i="2"/>
  <c r="S51" i="2"/>
  <c r="S72" i="2"/>
  <c r="S1228" i="2"/>
  <c r="S1259" i="2"/>
  <c r="S1208" i="2"/>
  <c r="S1425" i="2"/>
  <c r="S1432" i="2"/>
  <c r="S1151" i="2"/>
  <c r="S1112" i="2" s="1"/>
  <c r="Q1320" i="2"/>
  <c r="R448" i="2"/>
  <c r="T448" i="2" s="1"/>
  <c r="V448" i="2" s="1"/>
  <c r="X448" i="2" s="1"/>
  <c r="Z448" i="2" s="1"/>
  <c r="R449" i="2"/>
  <c r="T449" i="2" s="1"/>
  <c r="V449" i="2" s="1"/>
  <c r="X449" i="2" s="1"/>
  <c r="Z449" i="2" s="1"/>
  <c r="Q445" i="2"/>
  <c r="R445" i="2" s="1"/>
  <c r="T445" i="2" s="1"/>
  <c r="V445" i="2" s="1"/>
  <c r="X445" i="2" s="1"/>
  <c r="S214" i="2" l="1"/>
  <c r="S1410" i="2"/>
  <c r="S413" i="2"/>
  <c r="S347" i="2"/>
  <c r="S472" i="2"/>
  <c r="S469" i="2" s="1"/>
  <c r="S435" i="2" s="1"/>
  <c r="S1207" i="2"/>
  <c r="S1258" i="2"/>
  <c r="S1250" i="2" s="1"/>
  <c r="S1239" i="2" s="1"/>
  <c r="S1424" i="2"/>
  <c r="S106" i="2"/>
  <c r="S1431" i="2"/>
  <c r="S1227" i="2"/>
  <c r="S71" i="2"/>
  <c r="S1041" i="2"/>
  <c r="S1314" i="2"/>
  <c r="S1295" i="2" s="1"/>
  <c r="S1084" i="2"/>
  <c r="S301" i="2"/>
  <c r="S17" i="2"/>
  <c r="Q1434" i="2"/>
  <c r="Q1433" i="2"/>
  <c r="R1365" i="2"/>
  <c r="T1365" i="2" s="1"/>
  <c r="V1365" i="2" s="1"/>
  <c r="X1365" i="2" s="1"/>
  <c r="Z1365" i="2" s="1"/>
  <c r="Q1335" i="2"/>
  <c r="Q327" i="2"/>
  <c r="Q1160" i="2"/>
  <c r="Q1080" i="2"/>
  <c r="Q1079" i="2"/>
  <c r="Q169" i="2"/>
  <c r="R78" i="2"/>
  <c r="T78" i="2" s="1"/>
  <c r="V78" i="2" s="1"/>
  <c r="X78" i="2" s="1"/>
  <c r="Z78" i="2" s="1"/>
  <c r="Q77" i="2"/>
  <c r="Q157" i="2"/>
  <c r="Q463" i="2"/>
  <c r="Q454" i="2"/>
  <c r="Q1459" i="2"/>
  <c r="Q1137" i="2"/>
  <c r="Q1135" i="2"/>
  <c r="Q1105" i="2"/>
  <c r="Q1176" i="2"/>
  <c r="Q1174" i="2"/>
  <c r="Q1218" i="2"/>
  <c r="Q1158" i="2"/>
  <c r="Q1156" i="2"/>
  <c r="Q1155" i="2"/>
  <c r="Q1261" i="2"/>
  <c r="Q1370" i="2"/>
  <c r="Q1361" i="2"/>
  <c r="Q1360" i="2"/>
  <c r="Q1358" i="2"/>
  <c r="Q1337" i="2"/>
  <c r="Q1333" i="2"/>
  <c r="S1083" i="2" l="1"/>
  <c r="S16" i="2"/>
  <c r="S1294" i="2"/>
  <c r="R20" i="2"/>
  <c r="T20" i="2" s="1"/>
  <c r="V20" i="2" s="1"/>
  <c r="X20" i="2" s="1"/>
  <c r="Z20" i="2" s="1"/>
  <c r="Q19" i="2"/>
  <c r="R19" i="2" s="1"/>
  <c r="T19" i="2" s="1"/>
  <c r="V19" i="2" s="1"/>
  <c r="X19" i="2" s="1"/>
  <c r="R29" i="2"/>
  <c r="T29" i="2" s="1"/>
  <c r="V29" i="2" s="1"/>
  <c r="X29" i="2" s="1"/>
  <c r="Z29" i="2" s="1"/>
  <c r="R30" i="2"/>
  <c r="T30" i="2" s="1"/>
  <c r="V30" i="2" s="1"/>
  <c r="X30" i="2" s="1"/>
  <c r="Z30" i="2" s="1"/>
  <c r="Q28" i="2"/>
  <c r="R28" i="2" s="1"/>
  <c r="T28" i="2" s="1"/>
  <c r="V28" i="2" s="1"/>
  <c r="X28" i="2" s="1"/>
  <c r="R74" i="2"/>
  <c r="T74" i="2" s="1"/>
  <c r="V74" i="2" s="1"/>
  <c r="X74" i="2" s="1"/>
  <c r="Z74" i="2" s="1"/>
  <c r="Q73" i="2"/>
  <c r="R73" i="2" s="1"/>
  <c r="T73" i="2" s="1"/>
  <c r="V73" i="2" s="1"/>
  <c r="X73" i="2" s="1"/>
  <c r="R109" i="2"/>
  <c r="T109" i="2" s="1"/>
  <c r="V109" i="2" s="1"/>
  <c r="X109" i="2" s="1"/>
  <c r="Z109" i="2" s="1"/>
  <c r="R110" i="2"/>
  <c r="T110" i="2" s="1"/>
  <c r="V110" i="2" s="1"/>
  <c r="X110" i="2" s="1"/>
  <c r="Z110" i="2" s="1"/>
  <c r="Q108" i="2"/>
  <c r="R108" i="2" s="1"/>
  <c r="T108" i="2" s="1"/>
  <c r="V108" i="2" s="1"/>
  <c r="X108" i="2" s="1"/>
  <c r="R266" i="2"/>
  <c r="T266" i="2" s="1"/>
  <c r="V266" i="2" s="1"/>
  <c r="X266" i="2" s="1"/>
  <c r="Z266" i="2" s="1"/>
  <c r="R267" i="2"/>
  <c r="T267" i="2" s="1"/>
  <c r="V267" i="2" s="1"/>
  <c r="X267" i="2" s="1"/>
  <c r="Z267" i="2" s="1"/>
  <c r="Q265" i="2"/>
  <c r="R265" i="2" s="1"/>
  <c r="T265" i="2" s="1"/>
  <c r="V265" i="2" s="1"/>
  <c r="X265" i="2" s="1"/>
  <c r="R1044" i="2"/>
  <c r="T1044" i="2" s="1"/>
  <c r="V1044" i="2" s="1"/>
  <c r="X1044" i="2" s="1"/>
  <c r="Z1044" i="2" s="1"/>
  <c r="R1045" i="2"/>
  <c r="T1045" i="2" s="1"/>
  <c r="V1045" i="2" s="1"/>
  <c r="X1045" i="2" s="1"/>
  <c r="Z1045" i="2" s="1"/>
  <c r="Q1043" i="2"/>
  <c r="R1043" i="2" s="1"/>
  <c r="T1043" i="2" s="1"/>
  <c r="V1043" i="2" s="1"/>
  <c r="X1043" i="2" s="1"/>
  <c r="R1087" i="2"/>
  <c r="T1087" i="2" s="1"/>
  <c r="V1087" i="2" s="1"/>
  <c r="X1087" i="2" s="1"/>
  <c r="Z1087" i="2" s="1"/>
  <c r="R1088" i="2"/>
  <c r="T1088" i="2" s="1"/>
  <c r="V1088" i="2" s="1"/>
  <c r="X1088" i="2" s="1"/>
  <c r="Z1088" i="2" s="1"/>
  <c r="Q1086" i="2"/>
  <c r="R1086" i="2" s="1"/>
  <c r="T1086" i="2" s="1"/>
  <c r="V1086" i="2" s="1"/>
  <c r="X1086" i="2" s="1"/>
  <c r="R1319" i="2"/>
  <c r="T1319" i="2" s="1"/>
  <c r="V1319" i="2" s="1"/>
  <c r="X1319" i="2" s="1"/>
  <c r="Z1319" i="2" s="1"/>
  <c r="R1320" i="2"/>
  <c r="T1320" i="2" s="1"/>
  <c r="V1320" i="2" s="1"/>
  <c r="X1320" i="2" s="1"/>
  <c r="Z1320" i="2" s="1"/>
  <c r="Q1318" i="2"/>
  <c r="R1318" i="2" s="1"/>
  <c r="T1318" i="2" s="1"/>
  <c r="V1318" i="2" s="1"/>
  <c r="X1318" i="2" s="1"/>
  <c r="R1316" i="2"/>
  <c r="T1316" i="2" s="1"/>
  <c r="V1316" i="2" s="1"/>
  <c r="X1316" i="2" s="1"/>
  <c r="Z1316" i="2" s="1"/>
  <c r="Q1317" i="2"/>
  <c r="R1317" i="2" s="1"/>
  <c r="T1317" i="2" s="1"/>
  <c r="V1317" i="2" s="1"/>
  <c r="X1317" i="2" s="1"/>
  <c r="Z1317" i="2" s="1"/>
  <c r="Q1461" i="2"/>
  <c r="R1434" i="2"/>
  <c r="T1434" i="2" s="1"/>
  <c r="V1434" i="2" s="1"/>
  <c r="X1434" i="2" s="1"/>
  <c r="Z1434" i="2" s="1"/>
  <c r="R1433" i="2"/>
  <c r="T1433" i="2" s="1"/>
  <c r="V1433" i="2" s="1"/>
  <c r="X1433" i="2" s="1"/>
  <c r="Z1433" i="2" s="1"/>
  <c r="Q1432" i="2"/>
  <c r="R1432" i="2" s="1"/>
  <c r="T1432" i="2" s="1"/>
  <c r="V1432" i="2" s="1"/>
  <c r="X1432" i="2" s="1"/>
  <c r="S1472" i="2" l="1"/>
  <c r="S1471" i="2"/>
  <c r="Q1315" i="2"/>
  <c r="R1315" i="2" s="1"/>
  <c r="T1315" i="2" s="1"/>
  <c r="V1315" i="2" s="1"/>
  <c r="X1315" i="2" s="1"/>
  <c r="Q1476" i="2"/>
  <c r="Q1153" i="2"/>
  <c r="Q121" i="2" l="1"/>
  <c r="R121" i="2"/>
  <c r="T121" i="2" s="1"/>
  <c r="V121" i="2" s="1"/>
  <c r="X121" i="2" s="1"/>
  <c r="Z121" i="2" s="1"/>
  <c r="Q120" i="2"/>
  <c r="Q119" i="2" s="1"/>
  <c r="Q124" i="2"/>
  <c r="Q123" i="2"/>
  <c r="Q1352" i="2" l="1"/>
  <c r="Q1351" i="2" s="1"/>
  <c r="R1351" i="2" s="1"/>
  <c r="T1351" i="2" s="1"/>
  <c r="V1351" i="2" s="1"/>
  <c r="X1351" i="2" s="1"/>
  <c r="Q1283" i="2"/>
  <c r="R1284" i="2"/>
  <c r="Q130" i="2"/>
  <c r="R131" i="2"/>
  <c r="T131" i="2" s="1"/>
  <c r="V131" i="2" s="1"/>
  <c r="X131" i="2" s="1"/>
  <c r="Z131" i="2" s="1"/>
  <c r="R1283" i="2" l="1"/>
  <c r="T1284" i="2"/>
  <c r="R1352" i="2"/>
  <c r="T1352" i="2" s="1"/>
  <c r="V1352" i="2" s="1"/>
  <c r="X1352" i="2" s="1"/>
  <c r="Z1352" i="2" s="1"/>
  <c r="Q681" i="2"/>
  <c r="Q619" i="2"/>
  <c r="T1283" i="2" l="1"/>
  <c r="V1284" i="2"/>
  <c r="X1284" i="2" s="1"/>
  <c r="Z1284" i="2" s="1"/>
  <c r="R309" i="2"/>
  <c r="T309" i="2" s="1"/>
  <c r="V309" i="2" s="1"/>
  <c r="X309" i="2" s="1"/>
  <c r="Z309" i="2" s="1"/>
  <c r="Q308" i="2"/>
  <c r="R308" i="2" s="1"/>
  <c r="T308" i="2" s="1"/>
  <c r="V308" i="2" s="1"/>
  <c r="X308" i="2" s="1"/>
  <c r="R1461" i="2"/>
  <c r="T1461" i="2" s="1"/>
  <c r="V1461" i="2" s="1"/>
  <c r="X1461" i="2" s="1"/>
  <c r="Z1461" i="2" s="1"/>
  <c r="Q1460" i="2"/>
  <c r="R1460" i="2" s="1"/>
  <c r="T1460" i="2" s="1"/>
  <c r="V1460" i="2" s="1"/>
  <c r="X1460" i="2" s="1"/>
  <c r="X1283" i="2" l="1"/>
  <c r="V1283" i="2"/>
  <c r="Q1469" i="2"/>
  <c r="Q1468" i="2" s="1"/>
  <c r="Q1466" i="2"/>
  <c r="Q1464" i="2"/>
  <c r="Q1462" i="2"/>
  <c r="Q1457" i="2"/>
  <c r="Q1452" i="2"/>
  <c r="Q1449" i="2"/>
  <c r="Q1443" i="2"/>
  <c r="Q1441" i="2"/>
  <c r="Q1435" i="2"/>
  <c r="Q1429" i="2"/>
  <c r="Q1428" i="2" s="1"/>
  <c r="Q1426" i="2"/>
  <c r="Q1425" i="2" s="1"/>
  <c r="Q1421" i="2"/>
  <c r="Q1420" i="2" s="1"/>
  <c r="Q1418" i="2"/>
  <c r="Q1416" i="2"/>
  <c r="Q1412" i="2"/>
  <c r="Q1411" i="2" s="1"/>
  <c r="Q1408" i="2"/>
  <c r="Q1407" i="2" s="1"/>
  <c r="Q1405" i="2"/>
  <c r="Q1404" i="2" s="1"/>
  <c r="Q1400" i="2"/>
  <c r="Q1399" i="2" s="1"/>
  <c r="Q1392" i="2"/>
  <c r="Q1391" i="2" s="1"/>
  <c r="Q1387" i="2"/>
  <c r="Q1385" i="2"/>
  <c r="Q1377" i="2"/>
  <c r="Q1374" i="2"/>
  <c r="Q1372" i="2"/>
  <c r="Q1369" i="2"/>
  <c r="Q1359" i="2"/>
  <c r="Q1357" i="2"/>
  <c r="Q1353" i="2"/>
  <c r="Q1347" i="2"/>
  <c r="Q1344" i="2"/>
  <c r="Q1332" i="2"/>
  <c r="Q1321" i="2"/>
  <c r="Q1311" i="2"/>
  <c r="Q1304" i="2" s="1"/>
  <c r="Q1302" i="2"/>
  <c r="Q1301" i="2" s="1"/>
  <c r="Q1299" i="2"/>
  <c r="Q1297" i="2"/>
  <c r="Q1292" i="2"/>
  <c r="Q1289" i="2"/>
  <c r="Q1287" i="2"/>
  <c r="Q1285" i="2"/>
  <c r="Q1279" i="2"/>
  <c r="Q1270" i="2"/>
  <c r="Q1266" i="2"/>
  <c r="Q1264" i="2"/>
  <c r="Q1259" i="2"/>
  <c r="Q1258" i="2" s="1"/>
  <c r="Q1256" i="2"/>
  <c r="Q1252" i="2"/>
  <c r="Q1244" i="2"/>
  <c r="Q1241" i="2" s="1"/>
  <c r="Q1237" i="2"/>
  <c r="Q1236" i="2" s="1"/>
  <c r="Q1233" i="2"/>
  <c r="Q1231" i="2"/>
  <c r="Q1229" i="2"/>
  <c r="Q1225" i="2"/>
  <c r="Q1223" i="2"/>
  <c r="Q1221" i="2"/>
  <c r="Q1219" i="2"/>
  <c r="Q1217" i="2"/>
  <c r="Q1213" i="2"/>
  <c r="Q1211" i="2"/>
  <c r="Q1209" i="2"/>
  <c r="Q1205" i="2"/>
  <c r="Q1203" i="2"/>
  <c r="Q1200" i="2"/>
  <c r="Q1195" i="2"/>
  <c r="Q1193" i="2"/>
  <c r="Q1190" i="2"/>
  <c r="Q1188" i="2"/>
  <c r="Q1185" i="2"/>
  <c r="Q1181" i="2"/>
  <c r="Q1178" i="2" s="1"/>
  <c r="Q1173" i="2"/>
  <c r="Q1166" i="2" s="1"/>
  <c r="Q1163" i="2"/>
  <c r="Q1161" i="2"/>
  <c r="Q1157" i="2"/>
  <c r="Q1154" i="2"/>
  <c r="Q1151" i="2"/>
  <c r="Q1149" i="2"/>
  <c r="Q1147" i="2"/>
  <c r="Q1145" i="2"/>
  <c r="Q1143" i="2"/>
  <c r="Q1141" i="2"/>
  <c r="Q1138" i="2"/>
  <c r="Q1131" i="2"/>
  <c r="Q1129" i="2"/>
  <c r="Q1124" i="2"/>
  <c r="Q1121" i="2"/>
  <c r="Q1118" i="2"/>
  <c r="Q1116" i="2"/>
  <c r="Q1109" i="2"/>
  <c r="Q1104" i="2"/>
  <c r="Q1093" i="2"/>
  <c r="Q1089" i="2"/>
  <c r="Q1077" i="2"/>
  <c r="Q1068" i="2"/>
  <c r="Q1066" i="2"/>
  <c r="Q1060" i="2"/>
  <c r="Q1046" i="2"/>
  <c r="Q1042" i="2" s="1"/>
  <c r="Q1039" i="2"/>
  <c r="Q911" i="2"/>
  <c r="Q909" i="2"/>
  <c r="Q907" i="2"/>
  <c r="Q905" i="2"/>
  <c r="Q903" i="2"/>
  <c r="Q901" i="2"/>
  <c r="Q899" i="2"/>
  <c r="Q897" i="2"/>
  <c r="Q895" i="2"/>
  <c r="Q893" i="2"/>
  <c r="Q891" i="2"/>
  <c r="Q889" i="2"/>
  <c r="Q887" i="2"/>
  <c r="Q885" i="2"/>
  <c r="Q883" i="2"/>
  <c r="Q881" i="2"/>
  <c r="Q879" i="2"/>
  <c r="Q877" i="2"/>
  <c r="Q875" i="2"/>
  <c r="Q873" i="2"/>
  <c r="Q871" i="2"/>
  <c r="Q869" i="2"/>
  <c r="Q867" i="2"/>
  <c r="Q865" i="2"/>
  <c r="Q863" i="2"/>
  <c r="Q861" i="2"/>
  <c r="Q859" i="2"/>
  <c r="Q857" i="2"/>
  <c r="Q855" i="2"/>
  <c r="Q853" i="2"/>
  <c r="Q851" i="2"/>
  <c r="Q849" i="2"/>
  <c r="Q847" i="2"/>
  <c r="Q845" i="2"/>
  <c r="Q843" i="2"/>
  <c r="Q841" i="2"/>
  <c r="Q839" i="2"/>
  <c r="Q837" i="2"/>
  <c r="Q835" i="2"/>
  <c r="Q833" i="2"/>
  <c r="Q831" i="2"/>
  <c r="Q829" i="2"/>
  <c r="Q827" i="2"/>
  <c r="Q825" i="2"/>
  <c r="Q823" i="2"/>
  <c r="Q821" i="2"/>
  <c r="Q819" i="2"/>
  <c r="Q817" i="2"/>
  <c r="Q815" i="2"/>
  <c r="Q813" i="2"/>
  <c r="Q811" i="2"/>
  <c r="Q809" i="2"/>
  <c r="Q807" i="2"/>
  <c r="Q805" i="2"/>
  <c r="Q803" i="2"/>
  <c r="Q801" i="2"/>
  <c r="Q799" i="2"/>
  <c r="Q797" i="2"/>
  <c r="Q795" i="2"/>
  <c r="Q793" i="2"/>
  <c r="Q791" i="2"/>
  <c r="Q789" i="2"/>
  <c r="Q787" i="2"/>
  <c r="Q785" i="2"/>
  <c r="Q783" i="2"/>
  <c r="Q781" i="2"/>
  <c r="Q779" i="2"/>
  <c r="Q777" i="2"/>
  <c r="Q775" i="2"/>
  <c r="Q773" i="2"/>
  <c r="Q771" i="2"/>
  <c r="Q769" i="2"/>
  <c r="Q767" i="2"/>
  <c r="Q765" i="2"/>
  <c r="Q763" i="2"/>
  <c r="Q761" i="2"/>
  <c r="Q759" i="2"/>
  <c r="Q757" i="2"/>
  <c r="Q755" i="2"/>
  <c r="Q753" i="2"/>
  <c r="Q751" i="2"/>
  <c r="Q749" i="2"/>
  <c r="Q747" i="2"/>
  <c r="Q745" i="2"/>
  <c r="Q743" i="2"/>
  <c r="Q741" i="2"/>
  <c r="Q739" i="2"/>
  <c r="Q737" i="2"/>
  <c r="Q735" i="2"/>
  <c r="Q733" i="2"/>
  <c r="Q731" i="2"/>
  <c r="Q729" i="2"/>
  <c r="Q727" i="2"/>
  <c r="Q725" i="2"/>
  <c r="Q723" i="2"/>
  <c r="Q721" i="2"/>
  <c r="Q719" i="2"/>
  <c r="Q717" i="2"/>
  <c r="Q715" i="2"/>
  <c r="Q713" i="2"/>
  <c r="Q711" i="2"/>
  <c r="Q709" i="2"/>
  <c r="Q707" i="2"/>
  <c r="Q705" i="2"/>
  <c r="Q703" i="2"/>
  <c r="Q701" i="2"/>
  <c r="Q699" i="2"/>
  <c r="Q697" i="2"/>
  <c r="Q695" i="2"/>
  <c r="Q693" i="2"/>
  <c r="Q691" i="2"/>
  <c r="Q689" i="2"/>
  <c r="Q687" i="2"/>
  <c r="Q685" i="2"/>
  <c r="Q683" i="2"/>
  <c r="Q679" i="2"/>
  <c r="Q677" i="2"/>
  <c r="Q675" i="2"/>
  <c r="Q673" i="2"/>
  <c r="Q671" i="2"/>
  <c r="Q669" i="2"/>
  <c r="Q667" i="2"/>
  <c r="Q665" i="2"/>
  <c r="Q663" i="2"/>
  <c r="Q661" i="2"/>
  <c r="Q659" i="2"/>
  <c r="Q657" i="2"/>
  <c r="Q655" i="2"/>
  <c r="Q653" i="2"/>
  <c r="Q651" i="2"/>
  <c r="Q649" i="2"/>
  <c r="Q647" i="2"/>
  <c r="Q645" i="2"/>
  <c r="Q643" i="2"/>
  <c r="Q641" i="2"/>
  <c r="Q639" i="2"/>
  <c r="Q637" i="2"/>
  <c r="Q635" i="2"/>
  <c r="Q633" i="2"/>
  <c r="Q631" i="2"/>
  <c r="Q629" i="2"/>
  <c r="Q627" i="2"/>
  <c r="Q625" i="2"/>
  <c r="Q623" i="2"/>
  <c r="Q621" i="2"/>
  <c r="Q617" i="2"/>
  <c r="Q615" i="2"/>
  <c r="Q613" i="2"/>
  <c r="Q611" i="2"/>
  <c r="Q609" i="2"/>
  <c r="Q607" i="2"/>
  <c r="Q605" i="2"/>
  <c r="Q603" i="2"/>
  <c r="Q601" i="2"/>
  <c r="Q599" i="2"/>
  <c r="Q597" i="2"/>
  <c r="Q594" i="2"/>
  <c r="Q592" i="2"/>
  <c r="Q588" i="2"/>
  <c r="Q586" i="2"/>
  <c r="Q583" i="2"/>
  <c r="Q581" i="2"/>
  <c r="Q579" i="2"/>
  <c r="Q577" i="2"/>
  <c r="Q575" i="2"/>
  <c r="Q573" i="2"/>
  <c r="Q571" i="2"/>
  <c r="Q569" i="2"/>
  <c r="Q565" i="2"/>
  <c r="Q563" i="2"/>
  <c r="Q561" i="2"/>
  <c r="Q559" i="2"/>
  <c r="Q557" i="2"/>
  <c r="Q555" i="2"/>
  <c r="Q553" i="2"/>
  <c r="Q551" i="2"/>
  <c r="Q549" i="2"/>
  <c r="Q547" i="2"/>
  <c r="Q545" i="2"/>
  <c r="Q543" i="2"/>
  <c r="Q541" i="2"/>
  <c r="Q539" i="2"/>
  <c r="Q537" i="2"/>
  <c r="Q535" i="2"/>
  <c r="Q533" i="2"/>
  <c r="Q531" i="2"/>
  <c r="Q529" i="2"/>
  <c r="Q527" i="2"/>
  <c r="Q525" i="2"/>
  <c r="Q523" i="2"/>
  <c r="Q521" i="2"/>
  <c r="Q519" i="2"/>
  <c r="Q517" i="2"/>
  <c r="Q515" i="2"/>
  <c r="Q513" i="2"/>
  <c r="Q511" i="2"/>
  <c r="Q509" i="2"/>
  <c r="Q507" i="2"/>
  <c r="Q505" i="2"/>
  <c r="Q503" i="2"/>
  <c r="Q501" i="2"/>
  <c r="Q499" i="2"/>
  <c r="Q497" i="2"/>
  <c r="Q495" i="2"/>
  <c r="Q493" i="2"/>
  <c r="Q491" i="2"/>
  <c r="Q489" i="2"/>
  <c r="Q487" i="2"/>
  <c r="Q485" i="2"/>
  <c r="Q483" i="2"/>
  <c r="Q481" i="2"/>
  <c r="Q479" i="2"/>
  <c r="Q476" i="2"/>
  <c r="Q473" i="2"/>
  <c r="Q470" i="2"/>
  <c r="Q462" i="2"/>
  <c r="Q450" i="2"/>
  <c r="Q442" i="2"/>
  <c r="Q441" i="2" s="1"/>
  <c r="Q437" i="2"/>
  <c r="Q436" i="2" s="1"/>
  <c r="Q432" i="2"/>
  <c r="Q430" i="2"/>
  <c r="Q428" i="2"/>
  <c r="Q426" i="2"/>
  <c r="Q422" i="2"/>
  <c r="Q420" i="2"/>
  <c r="Q418" i="2"/>
  <c r="Q416" i="2"/>
  <c r="Q411" i="2"/>
  <c r="Q410" i="2" s="1"/>
  <c r="Q408" i="2"/>
  <c r="Q407" i="2" s="1"/>
  <c r="Q405" i="2"/>
  <c r="Q404" i="2" s="1"/>
  <c r="Q402" i="2"/>
  <c r="Q401" i="2" s="1"/>
  <c r="Q399" i="2"/>
  <c r="Q398" i="2" s="1"/>
  <c r="Q396" i="2"/>
  <c r="Q394" i="2"/>
  <c r="Q389" i="2"/>
  <c r="Q386" i="2"/>
  <c r="Q384" i="2"/>
  <c r="Q379" i="2"/>
  <c r="Q377" i="2"/>
  <c r="Q373" i="2"/>
  <c r="Q372" i="2" s="1"/>
  <c r="Q370" i="2"/>
  <c r="Q369" i="2" s="1"/>
  <c r="Q366" i="2"/>
  <c r="Q361" i="2"/>
  <c r="Q356" i="2"/>
  <c r="Q355" i="2" s="1"/>
  <c r="Q353" i="2"/>
  <c r="Q352" i="2" s="1"/>
  <c r="Q350" i="2"/>
  <c r="Q349" i="2" s="1"/>
  <c r="Q345" i="2"/>
  <c r="Q344" i="2" s="1"/>
  <c r="Q342" i="2"/>
  <c r="Q341" i="2" s="1"/>
  <c r="Q339" i="2"/>
  <c r="Q336" i="2"/>
  <c r="Q334" i="2"/>
  <c r="Q330" i="2"/>
  <c r="Q328" i="2"/>
  <c r="Q324" i="2"/>
  <c r="Q322" i="2"/>
  <c r="Q320" i="2"/>
  <c r="Q318" i="2"/>
  <c r="Q316" i="2"/>
  <c r="Q313" i="2"/>
  <c r="Q310" i="2"/>
  <c r="Q306" i="2"/>
  <c r="Q303" i="2"/>
  <c r="Q299" i="2"/>
  <c r="Q297" i="2"/>
  <c r="Q294" i="2"/>
  <c r="Q293" i="2" s="1"/>
  <c r="Q289" i="2"/>
  <c r="Q286" i="2"/>
  <c r="Q284" i="2"/>
  <c r="Q282" i="2"/>
  <c r="Q280" i="2"/>
  <c r="Q277" i="2"/>
  <c r="Q268" i="2"/>
  <c r="Q261" i="2"/>
  <c r="Q259" i="2"/>
  <c r="Q257" i="2"/>
  <c r="Q255" i="2"/>
  <c r="Q251" i="2"/>
  <c r="Q249" i="2"/>
  <c r="Q247" i="2"/>
  <c r="Q244" i="2"/>
  <c r="Q242" i="2"/>
  <c r="Q239" i="2"/>
  <c r="Q237" i="2"/>
  <c r="Q235" i="2"/>
  <c r="Q233" i="2"/>
  <c r="Q231" i="2"/>
  <c r="Q229" i="2"/>
  <c r="Q225" i="2"/>
  <c r="Q222" i="2"/>
  <c r="Q220" i="2"/>
  <c r="Q218" i="2"/>
  <c r="Q211" i="2"/>
  <c r="Q208" i="2"/>
  <c r="Q200" i="2"/>
  <c r="Q197" i="2"/>
  <c r="Q194" i="2"/>
  <c r="Q189" i="2"/>
  <c r="Q187" i="2"/>
  <c r="Q184" i="2"/>
  <c r="Q183" i="2" s="1"/>
  <c r="Q180" i="2"/>
  <c r="Q177" i="2"/>
  <c r="Q171" i="2"/>
  <c r="Q168" i="2"/>
  <c r="Q165" i="2"/>
  <c r="Q162" i="2"/>
  <c r="Q159" i="2"/>
  <c r="Q156" i="2"/>
  <c r="Q154" i="2"/>
  <c r="Q144" i="2"/>
  <c r="Q141" i="2"/>
  <c r="Q139" i="2"/>
  <c r="Q137" i="2"/>
  <c r="Q134" i="2"/>
  <c r="Q128" i="2"/>
  <c r="Q122" i="2"/>
  <c r="Q111" i="2"/>
  <c r="Q101" i="2"/>
  <c r="Q100" i="2" s="1"/>
  <c r="Q98" i="2"/>
  <c r="Q97" i="2" s="1"/>
  <c r="Q92" i="2"/>
  <c r="Q90" i="2"/>
  <c r="Q86" i="2"/>
  <c r="Q82" i="2"/>
  <c r="Q80" i="2"/>
  <c r="Q75" i="2"/>
  <c r="Q68" i="2"/>
  <c r="Q65" i="2"/>
  <c r="Q64" i="2" s="1"/>
  <c r="Q62" i="2"/>
  <c r="Q61" i="2" s="1"/>
  <c r="Q58" i="2"/>
  <c r="Q56" i="2"/>
  <c r="Q54" i="2"/>
  <c r="Q52" i="2"/>
  <c r="Q47" i="2"/>
  <c r="Q44" i="2"/>
  <c r="Q40" i="2"/>
  <c r="Q37" i="2"/>
  <c r="Q34" i="2"/>
  <c r="Q31" i="2"/>
  <c r="Q21" i="2"/>
  <c r="Q444" i="2" l="1"/>
  <c r="Q72" i="2"/>
  <c r="Q107" i="2"/>
  <c r="Q264" i="2"/>
  <c r="Q302" i="2"/>
  <c r="Q301" i="2" s="1"/>
  <c r="Q1314" i="2"/>
  <c r="Q1431" i="2"/>
  <c r="Q27" i="2"/>
  <c r="Q1085" i="2"/>
  <c r="Q1278" i="2"/>
  <c r="Q393" i="2"/>
  <c r="Q392" i="2" s="1"/>
  <c r="Q1184" i="2"/>
  <c r="Q425" i="2"/>
  <c r="Q424" i="2" s="1"/>
  <c r="Q176" i="2"/>
  <c r="Q1415" i="2"/>
  <c r="Q1410" i="2" s="1"/>
  <c r="Q1424" i="2"/>
  <c r="Q1192" i="2"/>
  <c r="Q596" i="2"/>
  <c r="Q590" i="2" s="1"/>
  <c r="Q1228" i="2"/>
  <c r="Q1227" i="2" s="1"/>
  <c r="Q228" i="2"/>
  <c r="Q333" i="2"/>
  <c r="Q332" i="2" s="1"/>
  <c r="Q1376" i="2"/>
  <c r="Q254" i="2"/>
  <c r="Q215" i="2"/>
  <c r="Q296" i="2"/>
  <c r="Q292" i="2" s="1"/>
  <c r="Q360" i="2"/>
  <c r="Q359" i="2" s="1"/>
  <c r="Q1199" i="2"/>
  <c r="Q1208" i="2"/>
  <c r="Q1207" i="2" s="1"/>
  <c r="Q1263" i="2"/>
  <c r="Q1371" i="2"/>
  <c r="Q1057" i="2"/>
  <c r="Q1041" i="2" s="1"/>
  <c r="Q51" i="2"/>
  <c r="Q376" i="2"/>
  <c r="Q368" i="2" s="1"/>
  <c r="Q85" i="2"/>
  <c r="Q1296" i="2"/>
  <c r="Q125" i="2"/>
  <c r="Q415" i="2"/>
  <c r="Q414" i="2" s="1"/>
  <c r="Q475" i="2"/>
  <c r="Q1403" i="2"/>
  <c r="Q96" i="2"/>
  <c r="Q348" i="2"/>
  <c r="Q24" i="2"/>
  <c r="Q18" i="2" s="1"/>
  <c r="Q149" i="2"/>
  <c r="Q193" i="2"/>
  <c r="Q1240" i="2"/>
  <c r="Q585" i="2"/>
  <c r="Q1235" i="2"/>
  <c r="Q1113" i="2"/>
  <c r="Q1134" i="2"/>
  <c r="Q1251" i="2"/>
  <c r="Q1398" i="2"/>
  <c r="Q567" i="2"/>
  <c r="O152" i="2"/>
  <c r="O591" i="2"/>
  <c r="Q71" i="2" l="1"/>
  <c r="Q214" i="2"/>
  <c r="Q1295" i="2"/>
  <c r="Q1294" i="2" s="1"/>
  <c r="Q1112" i="2"/>
  <c r="Q133" i="2"/>
  <c r="Q472" i="2"/>
  <c r="Q469" i="2" s="1"/>
  <c r="Q192" i="2"/>
  <c r="Q1250" i="2"/>
  <c r="Q347" i="2"/>
  <c r="Q413" i="2"/>
  <c r="O476" i="2"/>
  <c r="Q17" i="2" l="1"/>
  <c r="Q106" i="2"/>
  <c r="Q1239" i="2"/>
  <c r="Q1084" i="2"/>
  <c r="O134" i="2"/>
  <c r="P135" i="2"/>
  <c r="R135" i="2" s="1"/>
  <c r="T135" i="2" s="1"/>
  <c r="V135" i="2" s="1"/>
  <c r="X135" i="2" s="1"/>
  <c r="Z135" i="2" s="1"/>
  <c r="Q1083" i="2" l="1"/>
  <c r="Q435" i="2"/>
  <c r="Q16" i="2"/>
  <c r="O1226" i="2"/>
  <c r="Q1471" i="2" l="1"/>
  <c r="Q1472" i="2"/>
  <c r="Q1477" i="2" s="1"/>
  <c r="Q1475" i="2" s="1"/>
  <c r="O1158" i="2"/>
  <c r="O25" i="2"/>
  <c r="O719" i="2" l="1"/>
  <c r="P719" i="2" s="1"/>
  <c r="R719" i="2" s="1"/>
  <c r="T719" i="2" s="1"/>
  <c r="V719" i="2" s="1"/>
  <c r="X719" i="2" s="1"/>
  <c r="P720" i="2"/>
  <c r="R720" i="2" s="1"/>
  <c r="T720" i="2" s="1"/>
  <c r="V720" i="2" s="1"/>
  <c r="X720" i="2" s="1"/>
  <c r="Z720" i="2" s="1"/>
  <c r="O911" i="2" l="1"/>
  <c r="O909" i="2"/>
  <c r="O907" i="2"/>
  <c r="O905" i="2"/>
  <c r="O903" i="2"/>
  <c r="O901" i="2"/>
  <c r="O899" i="2"/>
  <c r="O897" i="2"/>
  <c r="O895" i="2"/>
  <c r="O893" i="2"/>
  <c r="O891" i="2"/>
  <c r="O889" i="2"/>
  <c r="O887" i="2"/>
  <c r="O885" i="2"/>
  <c r="O883" i="2"/>
  <c r="O881" i="2"/>
  <c r="O879" i="2"/>
  <c r="O877" i="2"/>
  <c r="O875" i="2"/>
  <c r="O873" i="2"/>
  <c r="O871" i="2"/>
  <c r="O869" i="2"/>
  <c r="O867" i="2"/>
  <c r="O865" i="2"/>
  <c r="O863" i="2"/>
  <c r="O861" i="2"/>
  <c r="O859" i="2"/>
  <c r="O857" i="2"/>
  <c r="O855" i="2"/>
  <c r="O853" i="2"/>
  <c r="O851" i="2"/>
  <c r="O849" i="2"/>
  <c r="O847" i="2"/>
  <c r="O845" i="2"/>
  <c r="O843" i="2"/>
  <c r="O841" i="2"/>
  <c r="O839" i="2"/>
  <c r="O837" i="2"/>
  <c r="O835" i="2"/>
  <c r="O833" i="2"/>
  <c r="O831" i="2"/>
  <c r="O829" i="2"/>
  <c r="O827" i="2"/>
  <c r="O825" i="2"/>
  <c r="O823" i="2"/>
  <c r="O821" i="2"/>
  <c r="O819" i="2"/>
  <c r="O817" i="2"/>
  <c r="O815" i="2"/>
  <c r="O813" i="2"/>
  <c r="O811" i="2"/>
  <c r="O809" i="2"/>
  <c r="O807" i="2"/>
  <c r="O805" i="2"/>
  <c r="O803" i="2"/>
  <c r="O801" i="2"/>
  <c r="O799" i="2"/>
  <c r="O797" i="2"/>
  <c r="O795" i="2"/>
  <c r="O793" i="2"/>
  <c r="O791" i="2"/>
  <c r="O789" i="2"/>
  <c r="O787" i="2"/>
  <c r="O785" i="2"/>
  <c r="O783" i="2"/>
  <c r="O781" i="2"/>
  <c r="O779" i="2"/>
  <c r="O777" i="2"/>
  <c r="O775" i="2"/>
  <c r="O773" i="2"/>
  <c r="O771" i="2"/>
  <c r="O769" i="2"/>
  <c r="O767" i="2"/>
  <c r="O765" i="2"/>
  <c r="O763" i="2"/>
  <c r="O761" i="2"/>
  <c r="O759" i="2"/>
  <c r="O757" i="2"/>
  <c r="O755" i="2"/>
  <c r="O753" i="2"/>
  <c r="O751" i="2"/>
  <c r="O749" i="2"/>
  <c r="O747" i="2"/>
  <c r="O745" i="2"/>
  <c r="O743" i="2"/>
  <c r="O741" i="2"/>
  <c r="O739" i="2"/>
  <c r="O737" i="2"/>
  <c r="O735" i="2"/>
  <c r="O733" i="2"/>
  <c r="O731" i="2"/>
  <c r="O729" i="2"/>
  <c r="O727" i="2"/>
  <c r="O725" i="2"/>
  <c r="O723" i="2"/>
  <c r="O721" i="2"/>
  <c r="O717" i="2"/>
  <c r="O715" i="2"/>
  <c r="O713" i="2"/>
  <c r="O711" i="2"/>
  <c r="O709" i="2"/>
  <c r="O707" i="2"/>
  <c r="O705" i="2"/>
  <c r="O703" i="2"/>
  <c r="O701" i="2"/>
  <c r="O699" i="2"/>
  <c r="O697" i="2"/>
  <c r="O695" i="2"/>
  <c r="O693" i="2"/>
  <c r="O691" i="2"/>
  <c r="O689" i="2"/>
  <c r="O687" i="2"/>
  <c r="O685" i="2"/>
  <c r="O683" i="2"/>
  <c r="O681" i="2"/>
  <c r="O679" i="2"/>
  <c r="O677" i="2"/>
  <c r="O675" i="2"/>
  <c r="O673" i="2"/>
  <c r="O671" i="2"/>
  <c r="O669" i="2"/>
  <c r="O667" i="2"/>
  <c r="O665" i="2"/>
  <c r="O663" i="2"/>
  <c r="O661" i="2"/>
  <c r="O659" i="2"/>
  <c r="O657" i="2"/>
  <c r="O655" i="2"/>
  <c r="O653" i="2"/>
  <c r="O651" i="2"/>
  <c r="O649" i="2"/>
  <c r="O647" i="2"/>
  <c r="O645" i="2"/>
  <c r="O643" i="2"/>
  <c r="O641" i="2"/>
  <c r="O639" i="2"/>
  <c r="O637" i="2"/>
  <c r="O635" i="2"/>
  <c r="O633" i="2"/>
  <c r="O631" i="2"/>
  <c r="O629" i="2"/>
  <c r="O627" i="2"/>
  <c r="O625" i="2"/>
  <c r="O623" i="2"/>
  <c r="O621" i="2"/>
  <c r="O619" i="2"/>
  <c r="O617" i="2"/>
  <c r="O615" i="2"/>
  <c r="O613" i="2"/>
  <c r="O611" i="2"/>
  <c r="O609" i="2"/>
  <c r="O607" i="2"/>
  <c r="O605" i="2"/>
  <c r="O603" i="2"/>
  <c r="O601" i="2"/>
  <c r="O599" i="2"/>
  <c r="O597" i="2"/>
  <c r="P597" i="2" s="1"/>
  <c r="R597" i="2" s="1"/>
  <c r="T597" i="2" s="1"/>
  <c r="V597" i="2" s="1"/>
  <c r="X597" i="2" s="1"/>
  <c r="P598" i="2"/>
  <c r="R598" i="2" s="1"/>
  <c r="T598" i="2" s="1"/>
  <c r="V598" i="2" s="1"/>
  <c r="X598" i="2" s="1"/>
  <c r="Z598" i="2" s="1"/>
  <c r="O596" i="2" l="1"/>
  <c r="P912" i="2"/>
  <c r="R912" i="2" s="1"/>
  <c r="T912" i="2" s="1"/>
  <c r="V912" i="2" s="1"/>
  <c r="X912" i="2" s="1"/>
  <c r="Z912" i="2" s="1"/>
  <c r="P911" i="2" l="1"/>
  <c r="R911" i="2" s="1"/>
  <c r="T911" i="2" s="1"/>
  <c r="V911" i="2" s="1"/>
  <c r="X911" i="2" s="1"/>
  <c r="P910" i="2" l="1"/>
  <c r="R910" i="2" s="1"/>
  <c r="T910" i="2" s="1"/>
  <c r="V910" i="2" s="1"/>
  <c r="X910" i="2" s="1"/>
  <c r="Z910" i="2" s="1"/>
  <c r="P909" i="2" l="1"/>
  <c r="R909" i="2" s="1"/>
  <c r="T909" i="2" s="1"/>
  <c r="V909" i="2" s="1"/>
  <c r="X909" i="2" s="1"/>
  <c r="P908" i="2" l="1"/>
  <c r="R908" i="2" s="1"/>
  <c r="T908" i="2" s="1"/>
  <c r="V908" i="2" s="1"/>
  <c r="X908" i="2" s="1"/>
  <c r="Z908" i="2" s="1"/>
  <c r="P907" i="2" l="1"/>
  <c r="R907" i="2" s="1"/>
  <c r="T907" i="2" s="1"/>
  <c r="V907" i="2" s="1"/>
  <c r="X907" i="2" s="1"/>
  <c r="O208" i="2"/>
  <c r="N208" i="2"/>
  <c r="N209" i="2"/>
  <c r="P209" i="2" s="1"/>
  <c r="R209" i="2" s="1"/>
  <c r="T209" i="2" s="1"/>
  <c r="V209" i="2" s="1"/>
  <c r="X209" i="2" s="1"/>
  <c r="Z209" i="2" s="1"/>
  <c r="N210" i="2"/>
  <c r="P210" i="2" s="1"/>
  <c r="R210" i="2" s="1"/>
  <c r="T210" i="2" s="1"/>
  <c r="V210" i="2" s="1"/>
  <c r="X210" i="2" s="1"/>
  <c r="Z210" i="2" s="1"/>
  <c r="P906" i="2" l="1"/>
  <c r="R906" i="2" s="1"/>
  <c r="T906" i="2" s="1"/>
  <c r="V906" i="2" s="1"/>
  <c r="X906" i="2" s="1"/>
  <c r="Z906" i="2" s="1"/>
  <c r="P208" i="2"/>
  <c r="R208" i="2" s="1"/>
  <c r="T208" i="2" s="1"/>
  <c r="V208" i="2" s="1"/>
  <c r="X208" i="2" s="1"/>
  <c r="O129" i="2"/>
  <c r="P905" i="2" l="1"/>
  <c r="R905" i="2" s="1"/>
  <c r="T905" i="2" s="1"/>
  <c r="V905" i="2" s="1"/>
  <c r="X905" i="2" s="1"/>
  <c r="O1137" i="2"/>
  <c r="O1135" i="2"/>
  <c r="O1477" i="2" s="1"/>
  <c r="O1144" i="2"/>
  <c r="O1482" i="2" s="1"/>
  <c r="O1224" i="2"/>
  <c r="P904" i="2" l="1"/>
  <c r="R904" i="2" s="1"/>
  <c r="T904" i="2" s="1"/>
  <c r="V904" i="2" s="1"/>
  <c r="X904" i="2" s="1"/>
  <c r="Z904" i="2" s="1"/>
  <c r="N1115" i="2"/>
  <c r="P1115" i="2" s="1"/>
  <c r="R1115" i="2" s="1"/>
  <c r="T1115" i="2" s="1"/>
  <c r="V1115" i="2" s="1"/>
  <c r="X1115" i="2" s="1"/>
  <c r="Z1115" i="2" s="1"/>
  <c r="N134" i="2"/>
  <c r="N136" i="2"/>
  <c r="P136" i="2" s="1"/>
  <c r="R136" i="2" s="1"/>
  <c r="T136" i="2" s="1"/>
  <c r="V136" i="2" s="1"/>
  <c r="X136" i="2" s="1"/>
  <c r="Z136" i="2" s="1"/>
  <c r="O1114" i="2"/>
  <c r="O1476" i="2" s="1"/>
  <c r="N1113" i="2"/>
  <c r="N1114" i="2"/>
  <c r="O1209" i="2"/>
  <c r="N1209" i="2"/>
  <c r="N1210" i="2"/>
  <c r="P1210" i="2" s="1"/>
  <c r="R1210" i="2" s="1"/>
  <c r="T1210" i="2" s="1"/>
  <c r="V1210" i="2" s="1"/>
  <c r="X1210" i="2" s="1"/>
  <c r="Z1210" i="2" s="1"/>
  <c r="O1060" i="2"/>
  <c r="N1060" i="2"/>
  <c r="N1065" i="2"/>
  <c r="P1065" i="2" s="1"/>
  <c r="R1065" i="2" s="1"/>
  <c r="T1065" i="2" s="1"/>
  <c r="V1065" i="2" s="1"/>
  <c r="X1065" i="2" s="1"/>
  <c r="Z1065" i="2" s="1"/>
  <c r="P1114" i="2" l="1"/>
  <c r="R1114" i="2" s="1"/>
  <c r="T1114" i="2" s="1"/>
  <c r="V1114" i="2" s="1"/>
  <c r="X1114" i="2" s="1"/>
  <c r="Z1114" i="2" s="1"/>
  <c r="P903" i="2"/>
  <c r="R903" i="2" s="1"/>
  <c r="T903" i="2" s="1"/>
  <c r="V903" i="2" s="1"/>
  <c r="X903" i="2" s="1"/>
  <c r="O1113" i="2"/>
  <c r="P1113" i="2" s="1"/>
  <c r="R1113" i="2" s="1"/>
  <c r="T1113" i="2" s="1"/>
  <c r="V1113" i="2" s="1"/>
  <c r="X1113" i="2" s="1"/>
  <c r="P1209" i="2"/>
  <c r="R1209" i="2" s="1"/>
  <c r="T1209" i="2" s="1"/>
  <c r="V1209" i="2" s="1"/>
  <c r="X1209" i="2" s="1"/>
  <c r="P134" i="2"/>
  <c r="R134" i="2" s="1"/>
  <c r="T134" i="2" s="1"/>
  <c r="V134" i="2" s="1"/>
  <c r="X134" i="2" s="1"/>
  <c r="P1060" i="2"/>
  <c r="R1060" i="2" s="1"/>
  <c r="T1060" i="2" s="1"/>
  <c r="V1060" i="2" s="1"/>
  <c r="X1060" i="2" s="1"/>
  <c r="P902" i="2" l="1"/>
  <c r="R902" i="2" s="1"/>
  <c r="T902" i="2" s="1"/>
  <c r="V902" i="2" s="1"/>
  <c r="X902" i="2" s="1"/>
  <c r="Z902" i="2" s="1"/>
  <c r="P901" i="2" l="1"/>
  <c r="R901" i="2" s="1"/>
  <c r="T901" i="2" s="1"/>
  <c r="V901" i="2" s="1"/>
  <c r="X901" i="2" s="1"/>
  <c r="P596" i="2"/>
  <c r="R596" i="2" s="1"/>
  <c r="T596" i="2" s="1"/>
  <c r="V596" i="2" s="1"/>
  <c r="X596" i="2" s="1"/>
  <c r="O1478" i="2"/>
  <c r="P900" i="2" l="1"/>
  <c r="R900" i="2" s="1"/>
  <c r="T900" i="2" s="1"/>
  <c r="V900" i="2" s="1"/>
  <c r="X900" i="2" s="1"/>
  <c r="Z900" i="2" s="1"/>
  <c r="O1475" i="2"/>
  <c r="P899" i="2" l="1"/>
  <c r="R899" i="2" s="1"/>
  <c r="T899" i="2" s="1"/>
  <c r="V899" i="2" s="1"/>
  <c r="X899" i="2" s="1"/>
  <c r="O1469" i="2"/>
  <c r="O1468" i="2" s="1"/>
  <c r="O1466" i="2"/>
  <c r="O1464" i="2"/>
  <c r="O1462" i="2"/>
  <c r="O1457" i="2"/>
  <c r="O1452" i="2"/>
  <c r="O1449" i="2"/>
  <c r="O1443" i="2"/>
  <c r="O1441" i="2"/>
  <c r="O1435" i="2"/>
  <c r="O1429" i="2"/>
  <c r="O1428" i="2" s="1"/>
  <c r="O1426" i="2"/>
  <c r="O1425" i="2" s="1"/>
  <c r="O1421" i="2"/>
  <c r="O1420" i="2" s="1"/>
  <c r="O1418" i="2"/>
  <c r="O1416" i="2"/>
  <c r="O1412" i="2"/>
  <c r="O1411" i="2" s="1"/>
  <c r="O1408" i="2"/>
  <c r="O1407" i="2" s="1"/>
  <c r="O1405" i="2"/>
  <c r="O1404" i="2" s="1"/>
  <c r="O1400" i="2"/>
  <c r="O1399" i="2" s="1"/>
  <c r="O1398" i="2" s="1"/>
  <c r="O1392" i="2"/>
  <c r="O1391" i="2" s="1"/>
  <c r="O1387" i="2"/>
  <c r="O1385" i="2"/>
  <c r="O1377" i="2"/>
  <c r="O1374" i="2"/>
  <c r="O1372" i="2"/>
  <c r="O1369" i="2"/>
  <c r="O1361" i="2"/>
  <c r="O1359" i="2"/>
  <c r="O1357" i="2"/>
  <c r="O1353" i="2"/>
  <c r="O1347" i="2"/>
  <c r="O1344" i="2"/>
  <c r="O1332" i="2"/>
  <c r="O1321" i="2"/>
  <c r="O1311" i="2"/>
  <c r="O1304" i="2" s="1"/>
  <c r="O1302" i="2"/>
  <c r="O1301" i="2" s="1"/>
  <c r="O1299" i="2"/>
  <c r="O1297" i="2"/>
  <c r="O1292" i="2"/>
  <c r="O1289" i="2"/>
  <c r="O1287" i="2"/>
  <c r="O1285" i="2"/>
  <c r="O1279" i="2"/>
  <c r="O1270" i="2"/>
  <c r="O1266" i="2"/>
  <c r="O1264" i="2"/>
  <c r="O1259" i="2"/>
  <c r="O1258" i="2" s="1"/>
  <c r="O1256" i="2"/>
  <c r="O1252" i="2"/>
  <c r="O1244" i="2"/>
  <c r="O1241" i="2" s="1"/>
  <c r="O1237" i="2"/>
  <c r="O1236" i="2" s="1"/>
  <c r="O1233" i="2"/>
  <c r="O1231" i="2"/>
  <c r="O1225" i="2"/>
  <c r="O1223" i="2"/>
  <c r="O1221" i="2"/>
  <c r="O1219" i="2"/>
  <c r="O1217" i="2"/>
  <c r="O1213" i="2"/>
  <c r="O1211" i="2"/>
  <c r="O1205" i="2"/>
  <c r="O1203" i="2"/>
  <c r="O1200" i="2"/>
  <c r="O1195" i="2"/>
  <c r="O1193" i="2"/>
  <c r="O1190" i="2"/>
  <c r="O1188" i="2"/>
  <c r="O1185" i="2"/>
  <c r="O1181" i="2"/>
  <c r="O1178" i="2" s="1"/>
  <c r="O1173" i="2"/>
  <c r="O1166" i="2" s="1"/>
  <c r="O1163" i="2"/>
  <c r="O1161" i="2"/>
  <c r="O1157" i="2"/>
  <c r="O1154" i="2"/>
  <c r="O1151" i="2"/>
  <c r="O1149" i="2"/>
  <c r="O1147" i="2"/>
  <c r="O1145" i="2"/>
  <c r="O1143" i="2"/>
  <c r="O1141" i="2"/>
  <c r="O1138" i="2"/>
  <c r="O1134" i="2"/>
  <c r="O1131" i="2"/>
  <c r="O1129" i="2"/>
  <c r="O1124" i="2"/>
  <c r="O1121" i="2"/>
  <c r="O1118" i="2"/>
  <c r="O1116" i="2"/>
  <c r="O1109" i="2"/>
  <c r="O1104" i="2"/>
  <c r="O1093" i="2"/>
  <c r="O1089" i="2"/>
  <c r="O1077" i="2"/>
  <c r="O1068" i="2"/>
  <c r="O1066" i="2"/>
  <c r="O1046" i="2"/>
  <c r="O1042" i="2" s="1"/>
  <c r="O1039" i="2"/>
  <c r="O594" i="2"/>
  <c r="O592" i="2"/>
  <c r="O588" i="2"/>
  <c r="O586" i="2"/>
  <c r="O583" i="2"/>
  <c r="O581" i="2"/>
  <c r="O579" i="2"/>
  <c r="O577" i="2"/>
  <c r="O575" i="2"/>
  <c r="O573" i="2"/>
  <c r="O571" i="2"/>
  <c r="O569" i="2"/>
  <c r="O565" i="2"/>
  <c r="O563" i="2"/>
  <c r="O561" i="2"/>
  <c r="O559" i="2"/>
  <c r="O557" i="2"/>
  <c r="O555" i="2"/>
  <c r="O553" i="2"/>
  <c r="O551" i="2"/>
  <c r="O549" i="2"/>
  <c r="O547" i="2"/>
  <c r="O545" i="2"/>
  <c r="O543" i="2"/>
  <c r="O541" i="2"/>
  <c r="O539" i="2"/>
  <c r="O537" i="2"/>
  <c r="O535" i="2"/>
  <c r="O533" i="2"/>
  <c r="O531" i="2"/>
  <c r="O529" i="2"/>
  <c r="O527" i="2"/>
  <c r="O525" i="2"/>
  <c r="O523" i="2"/>
  <c r="O521" i="2"/>
  <c r="O519" i="2"/>
  <c r="O517" i="2"/>
  <c r="O515" i="2"/>
  <c r="O513" i="2"/>
  <c r="O511" i="2"/>
  <c r="O509" i="2"/>
  <c r="O507" i="2"/>
  <c r="O505" i="2"/>
  <c r="O503" i="2"/>
  <c r="O501" i="2"/>
  <c r="O499" i="2"/>
  <c r="O497" i="2"/>
  <c r="O495" i="2"/>
  <c r="O493" i="2"/>
  <c r="O491" i="2"/>
  <c r="O489" i="2"/>
  <c r="O487" i="2"/>
  <c r="O485" i="2"/>
  <c r="O483" i="2"/>
  <c r="O481" i="2"/>
  <c r="O479" i="2"/>
  <c r="O473" i="2"/>
  <c r="O470" i="2"/>
  <c r="O462" i="2"/>
  <c r="O450" i="2"/>
  <c r="O442" i="2"/>
  <c r="O437" i="2"/>
  <c r="O436" i="2" s="1"/>
  <c r="O432" i="2"/>
  <c r="O430" i="2"/>
  <c r="O428" i="2"/>
  <c r="O426" i="2"/>
  <c r="O422" i="2"/>
  <c r="O420" i="2"/>
  <c r="O418" i="2"/>
  <c r="O416" i="2"/>
  <c r="O411" i="2"/>
  <c r="O410" i="2" s="1"/>
  <c r="O408" i="2"/>
  <c r="O407" i="2" s="1"/>
  <c r="O405" i="2"/>
  <c r="O404" i="2" s="1"/>
  <c r="O402" i="2"/>
  <c r="O399" i="2"/>
  <c r="O398" i="2" s="1"/>
  <c r="O396" i="2"/>
  <c r="O394" i="2"/>
  <c r="O389" i="2"/>
  <c r="O386" i="2"/>
  <c r="O384" i="2"/>
  <c r="O379" i="2"/>
  <c r="O377" i="2"/>
  <c r="O373" i="2"/>
  <c r="O372" i="2" s="1"/>
  <c r="O370" i="2"/>
  <c r="O369" i="2" s="1"/>
  <c r="O366" i="2"/>
  <c r="O361" i="2"/>
  <c r="O356" i="2"/>
  <c r="O355" i="2" s="1"/>
  <c r="O353" i="2"/>
  <c r="O352" i="2" s="1"/>
  <c r="O350" i="2"/>
  <c r="O349" i="2" s="1"/>
  <c r="O345" i="2"/>
  <c r="O344" i="2" s="1"/>
  <c r="O342" i="2"/>
  <c r="O341" i="2" s="1"/>
  <c r="O339" i="2"/>
  <c r="O336" i="2"/>
  <c r="O334" i="2"/>
  <c r="O330" i="2"/>
  <c r="O328" i="2"/>
  <c r="O324" i="2"/>
  <c r="O322" i="2"/>
  <c r="O320" i="2"/>
  <c r="O318" i="2"/>
  <c r="O316" i="2"/>
  <c r="O313" i="2"/>
  <c r="O310" i="2"/>
  <c r="O306" i="2"/>
  <c r="O303" i="2"/>
  <c r="O299" i="2"/>
  <c r="O297" i="2"/>
  <c r="O294" i="2"/>
  <c r="O293" i="2" s="1"/>
  <c r="O289" i="2"/>
  <c r="O286" i="2"/>
  <c r="O284" i="2"/>
  <c r="O282" i="2"/>
  <c r="O280" i="2"/>
  <c r="O277" i="2"/>
  <c r="O268" i="2"/>
  <c r="O261" i="2"/>
  <c r="O259" i="2"/>
  <c r="O257" i="2"/>
  <c r="O255" i="2"/>
  <c r="O251" i="2"/>
  <c r="O249" i="2"/>
  <c r="O247" i="2"/>
  <c r="O244" i="2"/>
  <c r="O242" i="2"/>
  <c r="O239" i="2"/>
  <c r="O237" i="2"/>
  <c r="O235" i="2"/>
  <c r="O233" i="2"/>
  <c r="O231" i="2"/>
  <c r="O229" i="2"/>
  <c r="O225" i="2"/>
  <c r="O222" i="2"/>
  <c r="O220" i="2"/>
  <c r="O218" i="2"/>
  <c r="O211" i="2"/>
  <c r="O200" i="2"/>
  <c r="O197" i="2"/>
  <c r="O194" i="2"/>
  <c r="O189" i="2"/>
  <c r="O187" i="2"/>
  <c r="O184" i="2"/>
  <c r="O183" i="2" s="1"/>
  <c r="O180" i="2"/>
  <c r="O177" i="2"/>
  <c r="O171" i="2"/>
  <c r="O168" i="2"/>
  <c r="O165" i="2"/>
  <c r="O162" i="2"/>
  <c r="O159" i="2"/>
  <c r="O156" i="2"/>
  <c r="O154" i="2"/>
  <c r="O144" i="2"/>
  <c r="O141" i="2"/>
  <c r="O139" i="2"/>
  <c r="O137" i="2"/>
  <c r="O130" i="2"/>
  <c r="O128" i="2"/>
  <c r="O122" i="2"/>
  <c r="O119" i="2"/>
  <c r="O111" i="2"/>
  <c r="O101" i="2"/>
  <c r="O100" i="2" s="1"/>
  <c r="O98" i="2"/>
  <c r="O97" i="2" s="1"/>
  <c r="O92" i="2"/>
  <c r="O90" i="2"/>
  <c r="O86" i="2"/>
  <c r="O82" i="2"/>
  <c r="O80" i="2"/>
  <c r="O77" i="2"/>
  <c r="O75" i="2"/>
  <c r="O68" i="2"/>
  <c r="O65" i="2"/>
  <c r="O64" i="2" s="1"/>
  <c r="O62" i="2"/>
  <c r="O58" i="2"/>
  <c r="O56" i="2"/>
  <c r="O54" i="2"/>
  <c r="O52" i="2"/>
  <c r="O47" i="2"/>
  <c r="O44" i="2"/>
  <c r="O40" i="2"/>
  <c r="O37" i="2"/>
  <c r="O34" i="2"/>
  <c r="O31" i="2"/>
  <c r="O24" i="2"/>
  <c r="O21" i="2"/>
  <c r="O590" i="2" l="1"/>
  <c r="O475" i="2"/>
  <c r="P898" i="2"/>
  <c r="R898" i="2" s="1"/>
  <c r="T898" i="2" s="1"/>
  <c r="V898" i="2" s="1"/>
  <c r="X898" i="2" s="1"/>
  <c r="Z898" i="2" s="1"/>
  <c r="O193" i="2"/>
  <c r="O192" i="2" s="1"/>
  <c r="O1057" i="2"/>
  <c r="O1041" i="2" s="1"/>
  <c r="O1376" i="2"/>
  <c r="O1112" i="2"/>
  <c r="O1403" i="2"/>
  <c r="O1371" i="2"/>
  <c r="O96" i="2"/>
  <c r="O393" i="2"/>
  <c r="O1424" i="2"/>
  <c r="O333" i="2"/>
  <c r="O332" i="2" s="1"/>
  <c r="O1263" i="2"/>
  <c r="O1415" i="2"/>
  <c r="O1410" i="2" s="1"/>
  <c r="O1085" i="2"/>
  <c r="O444" i="2"/>
  <c r="O18" i="2"/>
  <c r="O27" i="2"/>
  <c r="O585" i="2"/>
  <c r="O1296" i="2"/>
  <c r="O125" i="2"/>
  <c r="O61" i="2"/>
  <c r="O85" i="2"/>
  <c r="O264" i="2"/>
  <c r="O254" i="2"/>
  <c r="O215" i="2"/>
  <c r="O228" i="2"/>
  <c r="O176" i="2"/>
  <c r="O302" i="2"/>
  <c r="O301" i="2" s="1"/>
  <c r="O1199" i="2"/>
  <c r="O1278" i="2"/>
  <c r="O1314" i="2"/>
  <c r="O1431" i="2"/>
  <c r="O360" i="2"/>
  <c r="O348" i="2"/>
  <c r="O376" i="2"/>
  <c r="O425" i="2"/>
  <c r="O51" i="2"/>
  <c r="O72" i="2"/>
  <c r="O107" i="2"/>
  <c r="O149" i="2"/>
  <c r="O133" i="2" s="1"/>
  <c r="O296" i="2"/>
  <c r="O1208" i="2"/>
  <c r="O1207" i="2" s="1"/>
  <c r="O1240" i="2"/>
  <c r="O1251" i="2"/>
  <c r="O401" i="2"/>
  <c r="O415" i="2"/>
  <c r="O441" i="2"/>
  <c r="O1235" i="2"/>
  <c r="O1184" i="2"/>
  <c r="O1229" i="2"/>
  <c r="O1192" i="2"/>
  <c r="O567" i="2"/>
  <c r="N1381" i="2"/>
  <c r="P1381" i="2" s="1"/>
  <c r="R1381" i="2" s="1"/>
  <c r="T1381" i="2" s="1"/>
  <c r="V1381" i="2" s="1"/>
  <c r="X1381" i="2" s="1"/>
  <c r="Z1381" i="2" s="1"/>
  <c r="M1377" i="2"/>
  <c r="M177" i="2"/>
  <c r="N179" i="2"/>
  <c r="P179" i="2" s="1"/>
  <c r="R179" i="2" s="1"/>
  <c r="T179" i="2" s="1"/>
  <c r="V179" i="2" s="1"/>
  <c r="X179" i="2" s="1"/>
  <c r="Z179" i="2" s="1"/>
  <c r="M1435" i="2"/>
  <c r="N1436" i="2"/>
  <c r="P1436" i="2" s="1"/>
  <c r="R1436" i="2" s="1"/>
  <c r="T1436" i="2" s="1"/>
  <c r="V1436" i="2" s="1"/>
  <c r="X1436" i="2" s="1"/>
  <c r="Z1436" i="2" s="1"/>
  <c r="O472" i="2" l="1"/>
  <c r="O469" i="2" s="1"/>
  <c r="P897" i="2"/>
  <c r="R897" i="2" s="1"/>
  <c r="T897" i="2" s="1"/>
  <c r="V897" i="2" s="1"/>
  <c r="X897" i="2" s="1"/>
  <c r="O392" i="2"/>
  <c r="O1295" i="2"/>
  <c r="O1294" i="2" s="1"/>
  <c r="O214" i="2"/>
  <c r="O17" i="2"/>
  <c r="O368" i="2"/>
  <c r="O359" i="2"/>
  <c r="O1228" i="2"/>
  <c r="O1250" i="2"/>
  <c r="O1084" i="2"/>
  <c r="O424" i="2"/>
  <c r="O292" i="2"/>
  <c r="O414" i="2"/>
  <c r="O71" i="2"/>
  <c r="N191" i="2"/>
  <c r="P191" i="2" s="1"/>
  <c r="R191" i="2" s="1"/>
  <c r="T191" i="2" s="1"/>
  <c r="V191" i="2" s="1"/>
  <c r="X191" i="2" s="1"/>
  <c r="Z191" i="2" s="1"/>
  <c r="P896" i="2" l="1"/>
  <c r="R896" i="2" s="1"/>
  <c r="T896" i="2" s="1"/>
  <c r="V896" i="2" s="1"/>
  <c r="X896" i="2" s="1"/>
  <c r="Z896" i="2" s="1"/>
  <c r="O1239" i="2"/>
  <c r="O413" i="2"/>
  <c r="O1227" i="2"/>
  <c r="O1083" i="2" s="1"/>
  <c r="O347" i="2"/>
  <c r="O106" i="2"/>
  <c r="O16" i="2" s="1"/>
  <c r="M157" i="2"/>
  <c r="M1337" i="2"/>
  <c r="M1158" i="2"/>
  <c r="M1482" i="2" s="1"/>
  <c r="M591" i="2"/>
  <c r="P895" i="2" l="1"/>
  <c r="R895" i="2" s="1"/>
  <c r="T895" i="2" s="1"/>
  <c r="V895" i="2" s="1"/>
  <c r="X895" i="2" s="1"/>
  <c r="O435" i="2"/>
  <c r="M148" i="2"/>
  <c r="P894" i="2" l="1"/>
  <c r="R894" i="2" s="1"/>
  <c r="T894" i="2" s="1"/>
  <c r="V894" i="2" s="1"/>
  <c r="X894" i="2" s="1"/>
  <c r="Z894" i="2" s="1"/>
  <c r="O1472" i="2"/>
  <c r="O1471" i="2"/>
  <c r="M317" i="2"/>
  <c r="M236" i="2"/>
  <c r="M1160" i="2"/>
  <c r="M170" i="2"/>
  <c r="M169" i="2"/>
  <c r="M161" i="2"/>
  <c r="M159" i="2" s="1"/>
  <c r="M152" i="2"/>
  <c r="M149" i="2" s="1"/>
  <c r="M1182" i="2"/>
  <c r="M1181" i="2" s="1"/>
  <c r="M1200" i="2"/>
  <c r="N1201" i="2"/>
  <c r="P1201" i="2" s="1"/>
  <c r="R1201" i="2" s="1"/>
  <c r="T1201" i="2" s="1"/>
  <c r="V1201" i="2" s="1"/>
  <c r="X1201" i="2" s="1"/>
  <c r="Z1201" i="2" s="1"/>
  <c r="M1137" i="2"/>
  <c r="M1135" i="2"/>
  <c r="M1224" i="2"/>
  <c r="M1218" i="2"/>
  <c r="M1189" i="2"/>
  <c r="M1370" i="2"/>
  <c r="M1326" i="2"/>
  <c r="M268" i="2"/>
  <c r="N272" i="2"/>
  <c r="P272" i="2" s="1"/>
  <c r="R272" i="2" s="1"/>
  <c r="T272" i="2" s="1"/>
  <c r="V272" i="2" s="1"/>
  <c r="X272" i="2" s="1"/>
  <c r="Z272" i="2" s="1"/>
  <c r="N160" i="2"/>
  <c r="P160" i="2" s="1"/>
  <c r="R160" i="2" s="1"/>
  <c r="T160" i="2" s="1"/>
  <c r="V160" i="2" s="1"/>
  <c r="X160" i="2" s="1"/>
  <c r="Z160" i="2" s="1"/>
  <c r="N153" i="2"/>
  <c r="P153" i="2" s="1"/>
  <c r="R153" i="2" s="1"/>
  <c r="T153" i="2" s="1"/>
  <c r="V153" i="2" s="1"/>
  <c r="X153" i="2" s="1"/>
  <c r="Z153" i="2" s="1"/>
  <c r="N1040" i="2"/>
  <c r="P1040" i="2" s="1"/>
  <c r="R1040" i="2" s="1"/>
  <c r="T1040" i="2" s="1"/>
  <c r="V1040" i="2" s="1"/>
  <c r="X1040" i="2" s="1"/>
  <c r="Z1040" i="2" s="1"/>
  <c r="M1039" i="2"/>
  <c r="N1039" i="2" s="1"/>
  <c r="P1039" i="2" s="1"/>
  <c r="R1039" i="2" s="1"/>
  <c r="T1039" i="2" s="1"/>
  <c r="V1039" i="2" s="1"/>
  <c r="X1039" i="2" s="1"/>
  <c r="M588" i="2"/>
  <c r="N588" i="2" s="1"/>
  <c r="P588" i="2" s="1"/>
  <c r="R588" i="2" s="1"/>
  <c r="T588" i="2" s="1"/>
  <c r="V588" i="2" s="1"/>
  <c r="X588" i="2" s="1"/>
  <c r="N589" i="2"/>
  <c r="P589" i="2" s="1"/>
  <c r="R589" i="2" s="1"/>
  <c r="T589" i="2" s="1"/>
  <c r="V589" i="2" s="1"/>
  <c r="X589" i="2" s="1"/>
  <c r="Z589" i="2" s="1"/>
  <c r="M1173" i="2"/>
  <c r="N1175" i="2"/>
  <c r="P1175" i="2" s="1"/>
  <c r="R1175" i="2" s="1"/>
  <c r="T1175" i="2" s="1"/>
  <c r="V1175" i="2" s="1"/>
  <c r="X1175" i="2" s="1"/>
  <c r="Z1175" i="2" s="1"/>
  <c r="N1177" i="2"/>
  <c r="P1177" i="2" s="1"/>
  <c r="R1177" i="2" s="1"/>
  <c r="T1177" i="2" s="1"/>
  <c r="V1177" i="2" s="1"/>
  <c r="X1177" i="2" s="1"/>
  <c r="Z1177" i="2" s="1"/>
  <c r="M1109" i="2"/>
  <c r="N1111" i="2"/>
  <c r="P1111" i="2" s="1"/>
  <c r="R1111" i="2" s="1"/>
  <c r="T1111" i="2" s="1"/>
  <c r="V1111" i="2" s="1"/>
  <c r="X1111" i="2" s="1"/>
  <c r="Z1111" i="2" s="1"/>
  <c r="N1232" i="2"/>
  <c r="P1232" i="2" s="1"/>
  <c r="R1232" i="2" s="1"/>
  <c r="T1232" i="2" s="1"/>
  <c r="V1232" i="2" s="1"/>
  <c r="X1232" i="2" s="1"/>
  <c r="Z1232" i="2" s="1"/>
  <c r="M1231" i="2"/>
  <c r="N1231" i="2" s="1"/>
  <c r="P1231" i="2" s="1"/>
  <c r="R1231" i="2" s="1"/>
  <c r="T1231" i="2" s="1"/>
  <c r="V1231" i="2" s="1"/>
  <c r="X1231" i="2" s="1"/>
  <c r="M1190" i="2"/>
  <c r="P893" i="2" l="1"/>
  <c r="R893" i="2" s="1"/>
  <c r="T893" i="2" s="1"/>
  <c r="V893" i="2" s="1"/>
  <c r="X893" i="2" s="1"/>
  <c r="N1182" i="2"/>
  <c r="P1182" i="2" s="1"/>
  <c r="R1182" i="2" s="1"/>
  <c r="T1182" i="2" s="1"/>
  <c r="V1182" i="2" s="1"/>
  <c r="X1182" i="2" s="1"/>
  <c r="Z1182" i="2" s="1"/>
  <c r="M1480" i="2"/>
  <c r="N1190" i="2"/>
  <c r="P1190" i="2" s="1"/>
  <c r="R1190" i="2" s="1"/>
  <c r="T1190" i="2" s="1"/>
  <c r="V1190" i="2" s="1"/>
  <c r="X1190" i="2" s="1"/>
  <c r="N1191" i="2"/>
  <c r="P1191" i="2" s="1"/>
  <c r="R1191" i="2" s="1"/>
  <c r="T1191" i="2" s="1"/>
  <c r="V1191" i="2" s="1"/>
  <c r="X1191" i="2" s="1"/>
  <c r="Z1191" i="2" s="1"/>
  <c r="N1362" i="2"/>
  <c r="P1362" i="2" s="1"/>
  <c r="R1362" i="2" s="1"/>
  <c r="T1362" i="2" s="1"/>
  <c r="V1362" i="2" s="1"/>
  <c r="X1362" i="2" s="1"/>
  <c r="Z1362" i="2" s="1"/>
  <c r="N1364" i="2"/>
  <c r="P1364" i="2" s="1"/>
  <c r="R1364" i="2" s="1"/>
  <c r="T1364" i="2" s="1"/>
  <c r="V1364" i="2" s="1"/>
  <c r="X1364" i="2" s="1"/>
  <c r="Z1364" i="2" s="1"/>
  <c r="N1366" i="2"/>
  <c r="P1366" i="2" s="1"/>
  <c r="R1366" i="2" s="1"/>
  <c r="T1366" i="2" s="1"/>
  <c r="V1366" i="2" s="1"/>
  <c r="X1366" i="2" s="1"/>
  <c r="Z1366" i="2" s="1"/>
  <c r="N1367" i="2"/>
  <c r="P1367" i="2" s="1"/>
  <c r="R1367" i="2" s="1"/>
  <c r="T1367" i="2" s="1"/>
  <c r="V1367" i="2" s="1"/>
  <c r="X1367" i="2" s="1"/>
  <c r="Z1367" i="2" s="1"/>
  <c r="N1368" i="2"/>
  <c r="P1368" i="2" s="1"/>
  <c r="R1368" i="2" s="1"/>
  <c r="T1368" i="2" s="1"/>
  <c r="V1368" i="2" s="1"/>
  <c r="X1368" i="2" s="1"/>
  <c r="Z1368" i="2" s="1"/>
  <c r="M1363" i="2"/>
  <c r="M1361" i="2" s="1"/>
  <c r="P892" i="2" l="1"/>
  <c r="R892" i="2" s="1"/>
  <c r="T892" i="2" s="1"/>
  <c r="V892" i="2" s="1"/>
  <c r="X892" i="2" s="1"/>
  <c r="Z892" i="2" s="1"/>
  <c r="N1363" i="2"/>
  <c r="P1363" i="2" s="1"/>
  <c r="R1363" i="2" s="1"/>
  <c r="T1363" i="2" s="1"/>
  <c r="V1363" i="2" s="1"/>
  <c r="X1363" i="2" s="1"/>
  <c r="Z1363" i="2" s="1"/>
  <c r="M1118" i="2"/>
  <c r="N1119" i="2"/>
  <c r="P1119" i="2" s="1"/>
  <c r="R1119" i="2" s="1"/>
  <c r="T1119" i="2" s="1"/>
  <c r="V1119" i="2" s="1"/>
  <c r="X1119" i="2" s="1"/>
  <c r="Z1119" i="2" s="1"/>
  <c r="P891" i="2" l="1"/>
  <c r="R891" i="2" s="1"/>
  <c r="T891" i="2" s="1"/>
  <c r="V891" i="2" s="1"/>
  <c r="X891" i="2" s="1"/>
  <c r="N365" i="2"/>
  <c r="P365" i="2" s="1"/>
  <c r="R365" i="2" s="1"/>
  <c r="T365" i="2" s="1"/>
  <c r="V365" i="2" s="1"/>
  <c r="X365" i="2" s="1"/>
  <c r="Z365" i="2" s="1"/>
  <c r="N383" i="2"/>
  <c r="P383" i="2" s="1"/>
  <c r="R383" i="2" s="1"/>
  <c r="T383" i="2" s="1"/>
  <c r="V383" i="2" s="1"/>
  <c r="X383" i="2" s="1"/>
  <c r="Z383" i="2" s="1"/>
  <c r="M381" i="2"/>
  <c r="M380" i="2"/>
  <c r="M363" i="2"/>
  <c r="M362" i="2"/>
  <c r="M361" i="2" l="1"/>
  <c r="P890" i="2"/>
  <c r="R890" i="2" s="1"/>
  <c r="T890" i="2" s="1"/>
  <c r="V890" i="2" s="1"/>
  <c r="X890" i="2" s="1"/>
  <c r="Z890" i="2" s="1"/>
  <c r="M379" i="2"/>
  <c r="M189" i="2"/>
  <c r="N189" i="2" s="1"/>
  <c r="P189" i="2" s="1"/>
  <c r="R189" i="2" s="1"/>
  <c r="T189" i="2" s="1"/>
  <c r="V189" i="2" s="1"/>
  <c r="X189" i="2" s="1"/>
  <c r="P889" i="2" l="1"/>
  <c r="R889" i="2" s="1"/>
  <c r="T889" i="2" s="1"/>
  <c r="V889" i="2" s="1"/>
  <c r="X889" i="2" s="1"/>
  <c r="M422" i="2"/>
  <c r="N422" i="2" s="1"/>
  <c r="P422" i="2" s="1"/>
  <c r="R422" i="2" s="1"/>
  <c r="T422" i="2" s="1"/>
  <c r="V422" i="2" s="1"/>
  <c r="X422" i="2" s="1"/>
  <c r="N423" i="2"/>
  <c r="P423" i="2" s="1"/>
  <c r="R423" i="2" s="1"/>
  <c r="T423" i="2" s="1"/>
  <c r="V423" i="2" s="1"/>
  <c r="X423" i="2" s="1"/>
  <c r="Z423" i="2" s="1"/>
  <c r="P888" i="2" l="1"/>
  <c r="R888" i="2" s="1"/>
  <c r="T888" i="2" s="1"/>
  <c r="V888" i="2" s="1"/>
  <c r="X888" i="2" s="1"/>
  <c r="Z888" i="2" s="1"/>
  <c r="M1253" i="2"/>
  <c r="M1478" i="2" s="1"/>
  <c r="P887" i="2" l="1"/>
  <c r="R887" i="2" s="1"/>
  <c r="T887" i="2" s="1"/>
  <c r="V887" i="2" s="1"/>
  <c r="X887" i="2" s="1"/>
  <c r="N1360" i="2"/>
  <c r="P1360" i="2" s="1"/>
  <c r="R1360" i="2" s="1"/>
  <c r="T1360" i="2" s="1"/>
  <c r="V1360" i="2" s="1"/>
  <c r="X1360" i="2" s="1"/>
  <c r="Z1360" i="2" s="1"/>
  <c r="M1369" i="2"/>
  <c r="N1361" i="2"/>
  <c r="P1361" i="2" s="1"/>
  <c r="R1361" i="2" s="1"/>
  <c r="T1361" i="2" s="1"/>
  <c r="V1361" i="2" s="1"/>
  <c r="X1361" i="2" s="1"/>
  <c r="M1359" i="2"/>
  <c r="N1359" i="2" s="1"/>
  <c r="P1359" i="2" s="1"/>
  <c r="R1359" i="2" s="1"/>
  <c r="T1359" i="2" s="1"/>
  <c r="V1359" i="2" s="1"/>
  <c r="X1359" i="2" s="1"/>
  <c r="P886" i="2" l="1"/>
  <c r="R886" i="2" s="1"/>
  <c r="T886" i="2" s="1"/>
  <c r="V886" i="2" s="1"/>
  <c r="X886" i="2" s="1"/>
  <c r="Z886" i="2" s="1"/>
  <c r="N471" i="2"/>
  <c r="P471" i="2" s="1"/>
  <c r="R471" i="2" s="1"/>
  <c r="T471" i="2" s="1"/>
  <c r="V471" i="2" s="1"/>
  <c r="X471" i="2" s="1"/>
  <c r="Z471" i="2" s="1"/>
  <c r="M470" i="2"/>
  <c r="N470" i="2" s="1"/>
  <c r="P470" i="2" s="1"/>
  <c r="R470" i="2" s="1"/>
  <c r="T470" i="2" s="1"/>
  <c r="V470" i="2" s="1"/>
  <c r="X470" i="2" s="1"/>
  <c r="P885" i="2" l="1"/>
  <c r="R885" i="2" s="1"/>
  <c r="T885" i="2" s="1"/>
  <c r="V885" i="2" s="1"/>
  <c r="X885" i="2" s="1"/>
  <c r="K152" i="2"/>
  <c r="P884" i="2" l="1"/>
  <c r="R884" i="2" s="1"/>
  <c r="T884" i="2" s="1"/>
  <c r="V884" i="2" s="1"/>
  <c r="X884" i="2" s="1"/>
  <c r="Z884" i="2" s="1"/>
  <c r="M1462" i="2"/>
  <c r="N1462" i="2" s="1"/>
  <c r="P1462" i="2" s="1"/>
  <c r="R1462" i="2" s="1"/>
  <c r="T1462" i="2" s="1"/>
  <c r="V1462" i="2" s="1"/>
  <c r="X1462" i="2" s="1"/>
  <c r="N1463" i="2"/>
  <c r="P1463" i="2" s="1"/>
  <c r="R1463" i="2" s="1"/>
  <c r="T1463" i="2" s="1"/>
  <c r="V1463" i="2" s="1"/>
  <c r="X1463" i="2" s="1"/>
  <c r="Z1463" i="2" s="1"/>
  <c r="P883" i="2" l="1"/>
  <c r="R883" i="2" s="1"/>
  <c r="T883" i="2" s="1"/>
  <c r="V883" i="2" s="1"/>
  <c r="X883" i="2" s="1"/>
  <c r="M297" i="2"/>
  <c r="N297" i="2" s="1"/>
  <c r="P297" i="2" s="1"/>
  <c r="R297" i="2" s="1"/>
  <c r="T297" i="2" s="1"/>
  <c r="V297" i="2" s="1"/>
  <c r="X297" i="2" s="1"/>
  <c r="N298" i="2"/>
  <c r="P298" i="2" s="1"/>
  <c r="R298" i="2" s="1"/>
  <c r="T298" i="2" s="1"/>
  <c r="V298" i="2" s="1"/>
  <c r="X298" i="2" s="1"/>
  <c r="Z298" i="2" s="1"/>
  <c r="P882" i="2" l="1"/>
  <c r="R882" i="2" s="1"/>
  <c r="T882" i="2" s="1"/>
  <c r="V882" i="2" s="1"/>
  <c r="X882" i="2" s="1"/>
  <c r="Z882" i="2" s="1"/>
  <c r="M1230" i="2"/>
  <c r="P881" i="2" l="1"/>
  <c r="R881" i="2" s="1"/>
  <c r="T881" i="2" s="1"/>
  <c r="V881" i="2" s="1"/>
  <c r="X881" i="2" s="1"/>
  <c r="M123" i="2"/>
  <c r="M124" i="2"/>
  <c r="P880" i="2" l="1"/>
  <c r="R880" i="2" s="1"/>
  <c r="T880" i="2" s="1"/>
  <c r="V880" i="2" s="1"/>
  <c r="X880" i="2" s="1"/>
  <c r="Z880" i="2" s="1"/>
  <c r="M1477" i="2"/>
  <c r="M1475" i="2" s="1"/>
  <c r="M1257" i="2"/>
  <c r="P879" i="2" l="1"/>
  <c r="R879" i="2" s="1"/>
  <c r="T879" i="2" s="1"/>
  <c r="V879" i="2" s="1"/>
  <c r="X879" i="2" s="1"/>
  <c r="M1481" i="2"/>
  <c r="P878" i="2" l="1"/>
  <c r="R878" i="2" s="1"/>
  <c r="T878" i="2" s="1"/>
  <c r="V878" i="2" s="1"/>
  <c r="X878" i="2" s="1"/>
  <c r="Z878" i="2" s="1"/>
  <c r="M1479" i="2"/>
  <c r="P877" i="2" l="1"/>
  <c r="R877" i="2" s="1"/>
  <c r="T877" i="2" s="1"/>
  <c r="V877" i="2" s="1"/>
  <c r="X877" i="2" s="1"/>
  <c r="N91" i="2"/>
  <c r="P91" i="2" s="1"/>
  <c r="R91" i="2" s="1"/>
  <c r="T91" i="2" s="1"/>
  <c r="V91" i="2" s="1"/>
  <c r="X91" i="2" s="1"/>
  <c r="Z91" i="2" s="1"/>
  <c r="M90" i="2"/>
  <c r="N90" i="2" s="1"/>
  <c r="P90" i="2" s="1"/>
  <c r="R90" i="2" s="1"/>
  <c r="T90" i="2" s="1"/>
  <c r="V90" i="2" s="1"/>
  <c r="X90" i="2" s="1"/>
  <c r="P876" i="2" l="1"/>
  <c r="R876" i="2" s="1"/>
  <c r="T876" i="2" s="1"/>
  <c r="V876" i="2" s="1"/>
  <c r="X876" i="2" s="1"/>
  <c r="Z876" i="2" s="1"/>
  <c r="M1469" i="2"/>
  <c r="M1468" i="2" s="1"/>
  <c r="M1466" i="2"/>
  <c r="M1464" i="2"/>
  <c r="M1457" i="2"/>
  <c r="M1452" i="2"/>
  <c r="M1449" i="2"/>
  <c r="M1443" i="2"/>
  <c r="M1441" i="2"/>
  <c r="M1429" i="2"/>
  <c r="M1428" i="2" s="1"/>
  <c r="M1426" i="2"/>
  <c r="M1425" i="2" s="1"/>
  <c r="M1421" i="2"/>
  <c r="M1420" i="2" s="1"/>
  <c r="M1418" i="2"/>
  <c r="M1416" i="2"/>
  <c r="M1412" i="2"/>
  <c r="M1408" i="2"/>
  <c r="M1407" i="2" s="1"/>
  <c r="M1405" i="2"/>
  <c r="M1404" i="2" s="1"/>
  <c r="M1400" i="2"/>
  <c r="M1399" i="2" s="1"/>
  <c r="M1392" i="2"/>
  <c r="M1391" i="2" s="1"/>
  <c r="M1387" i="2"/>
  <c r="M1385" i="2"/>
  <c r="M1374" i="2"/>
  <c r="M1372" i="2"/>
  <c r="M1357" i="2"/>
  <c r="M1353" i="2"/>
  <c r="M1347" i="2"/>
  <c r="M1344" i="2"/>
  <c r="M1332" i="2"/>
  <c r="M1321" i="2"/>
  <c r="M1311" i="2"/>
  <c r="M1304" i="2" s="1"/>
  <c r="M1302" i="2"/>
  <c r="M1299" i="2"/>
  <c r="M1297" i="2"/>
  <c r="M1292" i="2"/>
  <c r="M1289" i="2"/>
  <c r="M1287" i="2"/>
  <c r="M1285" i="2"/>
  <c r="M1279" i="2"/>
  <c r="M1270" i="2"/>
  <c r="M1266" i="2"/>
  <c r="M1264" i="2"/>
  <c r="M1259" i="2"/>
  <c r="M1256" i="2"/>
  <c r="M1252" i="2"/>
  <c r="M1244" i="2"/>
  <c r="M1241" i="2" s="1"/>
  <c r="M1237" i="2"/>
  <c r="M1233" i="2"/>
  <c r="M1229" i="2"/>
  <c r="M1225" i="2"/>
  <c r="M1223" i="2"/>
  <c r="M1221" i="2"/>
  <c r="M1219" i="2"/>
  <c r="M1217" i="2"/>
  <c r="M1213" i="2"/>
  <c r="M1211" i="2"/>
  <c r="M1205" i="2"/>
  <c r="M1203" i="2"/>
  <c r="M1195" i="2"/>
  <c r="M1193" i="2"/>
  <c r="M1188" i="2"/>
  <c r="M1185" i="2"/>
  <c r="M1166" i="2"/>
  <c r="M1163" i="2"/>
  <c r="M1161" i="2"/>
  <c r="M1157" i="2"/>
  <c r="M1151" i="2"/>
  <c r="M1149" i="2"/>
  <c r="M1147" i="2"/>
  <c r="M1145" i="2"/>
  <c r="M1143" i="2"/>
  <c r="M1141" i="2"/>
  <c r="M1138" i="2"/>
  <c r="M1134" i="2"/>
  <c r="M1131" i="2"/>
  <c r="M1129" i="2"/>
  <c r="M1124" i="2"/>
  <c r="M1121" i="2"/>
  <c r="M1116" i="2"/>
  <c r="M1104" i="2"/>
  <c r="M1093" i="2"/>
  <c r="M1089" i="2"/>
  <c r="M1077" i="2"/>
  <c r="M1068" i="2"/>
  <c r="M1066" i="2"/>
  <c r="M1046" i="2"/>
  <c r="M1042" i="2" s="1"/>
  <c r="M594" i="2"/>
  <c r="M592" i="2"/>
  <c r="M583" i="2"/>
  <c r="M581" i="2"/>
  <c r="M579" i="2"/>
  <c r="M577" i="2"/>
  <c r="M575" i="2"/>
  <c r="M573" i="2"/>
  <c r="M571" i="2"/>
  <c r="M569" i="2"/>
  <c r="M565" i="2"/>
  <c r="M563" i="2"/>
  <c r="M561" i="2"/>
  <c r="M559" i="2"/>
  <c r="M557" i="2"/>
  <c r="M555" i="2"/>
  <c r="M553" i="2"/>
  <c r="M551" i="2"/>
  <c r="M549" i="2"/>
  <c r="M545" i="2"/>
  <c r="M543" i="2"/>
  <c r="M541" i="2"/>
  <c r="M539" i="2"/>
  <c r="M537" i="2"/>
  <c r="M535" i="2"/>
  <c r="M533" i="2"/>
  <c r="M531" i="2"/>
  <c r="M529" i="2"/>
  <c r="M527" i="2"/>
  <c r="M525" i="2"/>
  <c r="M523" i="2"/>
  <c r="M521" i="2"/>
  <c r="M519" i="2"/>
  <c r="M517" i="2"/>
  <c r="M515" i="2"/>
  <c r="M513" i="2"/>
  <c r="M511" i="2"/>
  <c r="M509" i="2"/>
  <c r="M507" i="2"/>
  <c r="M505" i="2"/>
  <c r="M503" i="2"/>
  <c r="M501" i="2"/>
  <c r="M499" i="2"/>
  <c r="M497" i="2"/>
  <c r="M495" i="2"/>
  <c r="M493" i="2"/>
  <c r="M491" i="2"/>
  <c r="M489" i="2"/>
  <c r="M487" i="2"/>
  <c r="M485" i="2"/>
  <c r="M483" i="2"/>
  <c r="M481" i="2"/>
  <c r="M479" i="2"/>
  <c r="M476" i="2"/>
  <c r="M473" i="2"/>
  <c r="M462" i="2"/>
  <c r="M442" i="2"/>
  <c r="M441" i="2" s="1"/>
  <c r="M437" i="2"/>
  <c r="M436" i="2" s="1"/>
  <c r="M432" i="2"/>
  <c r="M430" i="2"/>
  <c r="M428" i="2"/>
  <c r="M426" i="2"/>
  <c r="M420" i="2"/>
  <c r="M418" i="2"/>
  <c r="M416" i="2"/>
  <c r="M411" i="2"/>
  <c r="M408" i="2"/>
  <c r="M407" i="2" s="1"/>
  <c r="M405" i="2"/>
  <c r="M402" i="2"/>
  <c r="M401" i="2" s="1"/>
  <c r="M399" i="2"/>
  <c r="M398" i="2" s="1"/>
  <c r="M396" i="2"/>
  <c r="M394" i="2"/>
  <c r="M389" i="2"/>
  <c r="M384" i="2"/>
  <c r="M377" i="2"/>
  <c r="M373" i="2"/>
  <c r="M372" i="2" s="1"/>
  <c r="M370" i="2"/>
  <c r="M366" i="2"/>
  <c r="M356" i="2"/>
  <c r="M355" i="2" s="1"/>
  <c r="M353" i="2"/>
  <c r="M350" i="2"/>
  <c r="M349" i="2" s="1"/>
  <c r="M345" i="2"/>
  <c r="M344" i="2" s="1"/>
  <c r="M342" i="2"/>
  <c r="M341" i="2" s="1"/>
  <c r="M339" i="2"/>
  <c r="M336" i="2"/>
  <c r="M334" i="2"/>
  <c r="M330" i="2"/>
  <c r="M328" i="2"/>
  <c r="M324" i="2"/>
  <c r="M322" i="2"/>
  <c r="M320" i="2"/>
  <c r="M318" i="2"/>
  <c r="M313" i="2"/>
  <c r="M310" i="2"/>
  <c r="M306" i="2"/>
  <c r="M303" i="2"/>
  <c r="M299" i="2"/>
  <c r="M296" i="2" s="1"/>
  <c r="M294" i="2"/>
  <c r="M289" i="2"/>
  <c r="M286" i="2"/>
  <c r="M284" i="2"/>
  <c r="M282" i="2"/>
  <c r="M280" i="2"/>
  <c r="M277" i="2"/>
  <c r="M261" i="2"/>
  <c r="M259" i="2"/>
  <c r="M257" i="2"/>
  <c r="M255" i="2"/>
  <c r="M251" i="2"/>
  <c r="M249" i="2"/>
  <c r="M247" i="2"/>
  <c r="M244" i="2"/>
  <c r="M242" i="2"/>
  <c r="M239" i="2"/>
  <c r="M237" i="2"/>
  <c r="M235" i="2"/>
  <c r="M233" i="2"/>
  <c r="M231" i="2"/>
  <c r="M229" i="2"/>
  <c r="M225" i="2"/>
  <c r="M222" i="2"/>
  <c r="M220" i="2"/>
  <c r="M218" i="2"/>
  <c r="M211" i="2"/>
  <c r="M200" i="2"/>
  <c r="M197" i="2"/>
  <c r="M194" i="2"/>
  <c r="M187" i="2"/>
  <c r="M184" i="2"/>
  <c r="M183" i="2" s="1"/>
  <c r="M180" i="2"/>
  <c r="M171" i="2"/>
  <c r="M168" i="2"/>
  <c r="M165" i="2"/>
  <c r="M162" i="2"/>
  <c r="M156" i="2"/>
  <c r="M154" i="2"/>
  <c r="M144" i="2"/>
  <c r="M141" i="2"/>
  <c r="M139" i="2"/>
  <c r="M137" i="2"/>
  <c r="M130" i="2"/>
  <c r="M122" i="2"/>
  <c r="M119" i="2"/>
  <c r="M111" i="2"/>
  <c r="M101" i="2"/>
  <c r="M100" i="2" s="1"/>
  <c r="M98" i="2"/>
  <c r="M97" i="2" s="1"/>
  <c r="M92" i="2"/>
  <c r="M86" i="2"/>
  <c r="M82" i="2"/>
  <c r="M80" i="2"/>
  <c r="M77" i="2"/>
  <c r="M75" i="2"/>
  <c r="M68" i="2"/>
  <c r="M65" i="2"/>
  <c r="M64" i="2" s="1"/>
  <c r="M62" i="2"/>
  <c r="M61" i="2" s="1"/>
  <c r="M58" i="2"/>
  <c r="M56" i="2"/>
  <c r="M54" i="2"/>
  <c r="M52" i="2"/>
  <c r="M47" i="2"/>
  <c r="M44" i="2"/>
  <c r="M40" i="2"/>
  <c r="M37" i="2"/>
  <c r="M34" i="2"/>
  <c r="M31" i="2"/>
  <c r="M24" i="2"/>
  <c r="M21" i="2"/>
  <c r="P875" i="2" l="1"/>
  <c r="R875" i="2" s="1"/>
  <c r="T875" i="2" s="1"/>
  <c r="V875" i="2" s="1"/>
  <c r="X875" i="2" s="1"/>
  <c r="M1228" i="2"/>
  <c r="M1227" i="2" s="1"/>
  <c r="M1192" i="2"/>
  <c r="M96" i="2"/>
  <c r="M1184" i="2"/>
  <c r="M415" i="2"/>
  <c r="M414" i="2" s="1"/>
  <c r="M85" i="2"/>
  <c r="M176" i="2"/>
  <c r="M1314" i="2"/>
  <c r="M1431" i="2"/>
  <c r="M1263" i="2"/>
  <c r="M1199" i="2"/>
  <c r="M1251" i="2"/>
  <c r="M360" i="2"/>
  <c r="M359" i="2" s="1"/>
  <c r="M264" i="2"/>
  <c r="M1376" i="2"/>
  <c r="M1415" i="2"/>
  <c r="M1085" i="2"/>
  <c r="M1278" i="2"/>
  <c r="M18" i="2"/>
  <c r="M1057" i="2"/>
  <c r="M1041" i="2" s="1"/>
  <c r="M107" i="2"/>
  <c r="M215" i="2"/>
  <c r="M193" i="2"/>
  <c r="M192" i="2" s="1"/>
  <c r="M410" i="2"/>
  <c r="M27" i="2"/>
  <c r="M51" i="2"/>
  <c r="M72" i="2"/>
  <c r="M393" i="2"/>
  <c r="M333" i="2"/>
  <c r="M332" i="2" s="1"/>
  <c r="M1371" i="2"/>
  <c r="M254" i="2"/>
  <c r="M133" i="2"/>
  <c r="M128" i="2"/>
  <c r="M228" i="2"/>
  <c r="M293" i="2"/>
  <c r="M316" i="2"/>
  <c r="M352" i="2"/>
  <c r="M369" i="2"/>
  <c r="M404" i="2"/>
  <c r="M425" i="2"/>
  <c r="M547" i="2"/>
  <c r="M475" i="2" s="1"/>
  <c r="M1424" i="2"/>
  <c r="M450" i="2"/>
  <c r="M567" i="2"/>
  <c r="M590" i="2"/>
  <c r="M1240" i="2"/>
  <c r="M1208" i="2"/>
  <c r="M1398" i="2"/>
  <c r="M1403" i="2"/>
  <c r="M386" i="2"/>
  <c r="M586" i="2"/>
  <c r="M585" i="2" s="1"/>
  <c r="M1154" i="2"/>
  <c r="M1178" i="2"/>
  <c r="M1236" i="2"/>
  <c r="M1258" i="2"/>
  <c r="M1296" i="2"/>
  <c r="M1301" i="2"/>
  <c r="M1411" i="2"/>
  <c r="K1337" i="2"/>
  <c r="K245" i="2"/>
  <c r="P874" i="2" l="1"/>
  <c r="R874" i="2" s="1"/>
  <c r="T874" i="2" s="1"/>
  <c r="V874" i="2" s="1"/>
  <c r="X874" i="2" s="1"/>
  <c r="Z874" i="2" s="1"/>
  <c r="M71" i="2"/>
  <c r="M302" i="2"/>
  <c r="M301" i="2" s="1"/>
  <c r="M17" i="2"/>
  <c r="M1410" i="2"/>
  <c r="M1250" i="2"/>
  <c r="M376" i="2"/>
  <c r="M368" i="2" s="1"/>
  <c r="M1207" i="2"/>
  <c r="M444" i="2"/>
  <c r="M1112" i="2"/>
  <c r="M424" i="2"/>
  <c r="M392" i="2"/>
  <c r="M292" i="2"/>
  <c r="M1295" i="2"/>
  <c r="M1235" i="2"/>
  <c r="M125" i="2"/>
  <c r="M106" i="2" s="1"/>
  <c r="M348" i="2"/>
  <c r="M214" i="2"/>
  <c r="K1459" i="2"/>
  <c r="K1458" i="2"/>
  <c r="K1370" i="2"/>
  <c r="K1348" i="2"/>
  <c r="K1331" i="2"/>
  <c r="K1224" i="2"/>
  <c r="K1158" i="2"/>
  <c r="K1155" i="2"/>
  <c r="K1135" i="2"/>
  <c r="K317" i="2"/>
  <c r="K236" i="2"/>
  <c r="K234" i="2"/>
  <c r="K232" i="2"/>
  <c r="K172" i="2"/>
  <c r="K147" i="2"/>
  <c r="P873" i="2" l="1"/>
  <c r="R873" i="2" s="1"/>
  <c r="T873" i="2" s="1"/>
  <c r="V873" i="2" s="1"/>
  <c r="X873" i="2" s="1"/>
  <c r="M347" i="2"/>
  <c r="M1084" i="2"/>
  <c r="M16" i="2"/>
  <c r="M472" i="2"/>
  <c r="M469" i="2" s="1"/>
  <c r="M1294" i="2"/>
  <c r="M413" i="2"/>
  <c r="M1239" i="2"/>
  <c r="L151" i="2"/>
  <c r="K149" i="2"/>
  <c r="L337" i="2"/>
  <c r="K336" i="2"/>
  <c r="P872" i="2" l="1"/>
  <c r="R872" i="2" s="1"/>
  <c r="T872" i="2" s="1"/>
  <c r="V872" i="2" s="1"/>
  <c r="X872" i="2" s="1"/>
  <c r="Z872" i="2" s="1"/>
  <c r="N151" i="2"/>
  <c r="P151" i="2" s="1"/>
  <c r="R151" i="2" s="1"/>
  <c r="T151" i="2" s="1"/>
  <c r="V151" i="2" s="1"/>
  <c r="X151" i="2" s="1"/>
  <c r="Z151" i="2" s="1"/>
  <c r="N337" i="2"/>
  <c r="P337" i="2" s="1"/>
  <c r="R337" i="2" s="1"/>
  <c r="T337" i="2" s="1"/>
  <c r="V337" i="2" s="1"/>
  <c r="X337" i="2" s="1"/>
  <c r="Z337" i="2" s="1"/>
  <c r="M435" i="2"/>
  <c r="M1083" i="2"/>
  <c r="K58" i="2"/>
  <c r="L60" i="2"/>
  <c r="P871" i="2" l="1"/>
  <c r="R871" i="2" s="1"/>
  <c r="T871" i="2" s="1"/>
  <c r="V871" i="2" s="1"/>
  <c r="X871" i="2" s="1"/>
  <c r="N60" i="2"/>
  <c r="P60" i="2" s="1"/>
  <c r="R60" i="2" s="1"/>
  <c r="T60" i="2" s="1"/>
  <c r="V60" i="2" s="1"/>
  <c r="X60" i="2" s="1"/>
  <c r="Z60" i="2" s="1"/>
  <c r="L258" i="2"/>
  <c r="K257" i="2"/>
  <c r="L257" i="2" s="1"/>
  <c r="N257" i="2" s="1"/>
  <c r="P257" i="2" s="1"/>
  <c r="R257" i="2" s="1"/>
  <c r="T257" i="2" s="1"/>
  <c r="V257" i="2" s="1"/>
  <c r="X257" i="2" s="1"/>
  <c r="L568" i="2"/>
  <c r="K1457" i="2"/>
  <c r="L1458" i="2"/>
  <c r="L456" i="2"/>
  <c r="L1139" i="2"/>
  <c r="K1138" i="2"/>
  <c r="L1138" i="2" s="1"/>
  <c r="N1138" i="2" s="1"/>
  <c r="P1138" i="2" s="1"/>
  <c r="R1138" i="2" s="1"/>
  <c r="T1138" i="2" s="1"/>
  <c r="V1138" i="2" s="1"/>
  <c r="X1138" i="2" s="1"/>
  <c r="K1270" i="2"/>
  <c r="L1277" i="2"/>
  <c r="P870" i="2" l="1"/>
  <c r="R870" i="2" s="1"/>
  <c r="T870" i="2" s="1"/>
  <c r="V870" i="2" s="1"/>
  <c r="X870" i="2" s="1"/>
  <c r="Z870" i="2" s="1"/>
  <c r="N456" i="2"/>
  <c r="P456" i="2" s="1"/>
  <c r="R456" i="2" s="1"/>
  <c r="T456" i="2" s="1"/>
  <c r="V456" i="2" s="1"/>
  <c r="X456" i="2" s="1"/>
  <c r="Z456" i="2" s="1"/>
  <c r="N1458" i="2"/>
  <c r="P1458" i="2" s="1"/>
  <c r="R1458" i="2" s="1"/>
  <c r="T1458" i="2" s="1"/>
  <c r="V1458" i="2" s="1"/>
  <c r="X1458" i="2" s="1"/>
  <c r="Z1458" i="2" s="1"/>
  <c r="N258" i="2"/>
  <c r="P258" i="2" s="1"/>
  <c r="R258" i="2" s="1"/>
  <c r="T258" i="2" s="1"/>
  <c r="V258" i="2" s="1"/>
  <c r="X258" i="2" s="1"/>
  <c r="Z258" i="2" s="1"/>
  <c r="N1277" i="2"/>
  <c r="P1277" i="2" s="1"/>
  <c r="R1277" i="2" s="1"/>
  <c r="T1277" i="2" s="1"/>
  <c r="V1277" i="2" s="1"/>
  <c r="X1277" i="2" s="1"/>
  <c r="Z1277" i="2" s="1"/>
  <c r="N1139" i="2"/>
  <c r="P1139" i="2" s="1"/>
  <c r="R1139" i="2" s="1"/>
  <c r="T1139" i="2" s="1"/>
  <c r="V1139" i="2" s="1"/>
  <c r="X1139" i="2" s="1"/>
  <c r="Z1139" i="2" s="1"/>
  <c r="N568" i="2"/>
  <c r="P568" i="2" s="1"/>
  <c r="R568" i="2" s="1"/>
  <c r="T568" i="2" s="1"/>
  <c r="V568" i="2" s="1"/>
  <c r="X568" i="2" s="1"/>
  <c r="Z568" i="2" s="1"/>
  <c r="M1472" i="2"/>
  <c r="M1471" i="2"/>
  <c r="K239" i="2"/>
  <c r="L240" i="2"/>
  <c r="P869" i="2" l="1"/>
  <c r="R869" i="2" s="1"/>
  <c r="T869" i="2" s="1"/>
  <c r="V869" i="2" s="1"/>
  <c r="X869" i="2" s="1"/>
  <c r="N240" i="2"/>
  <c r="P240" i="2" s="1"/>
  <c r="R240" i="2" s="1"/>
  <c r="T240" i="2" s="1"/>
  <c r="V240" i="2" s="1"/>
  <c r="X240" i="2" s="1"/>
  <c r="Z240" i="2" s="1"/>
  <c r="K303" i="2"/>
  <c r="L138" i="2"/>
  <c r="K137" i="2"/>
  <c r="L137" i="2" s="1"/>
  <c r="N137" i="2" s="1"/>
  <c r="P137" i="2" s="1"/>
  <c r="R137" i="2" s="1"/>
  <c r="T137" i="2" s="1"/>
  <c r="V137" i="2" s="1"/>
  <c r="X137" i="2" s="1"/>
  <c r="P868" i="2" l="1"/>
  <c r="R868" i="2" s="1"/>
  <c r="T868" i="2" s="1"/>
  <c r="V868" i="2" s="1"/>
  <c r="X868" i="2" s="1"/>
  <c r="Z868" i="2" s="1"/>
  <c r="N138" i="2"/>
  <c r="P138" i="2" s="1"/>
  <c r="R138" i="2" s="1"/>
  <c r="T138" i="2" s="1"/>
  <c r="V138" i="2" s="1"/>
  <c r="X138" i="2" s="1"/>
  <c r="Z138" i="2" s="1"/>
  <c r="K591" i="2"/>
  <c r="P867" i="2" l="1"/>
  <c r="R867" i="2" s="1"/>
  <c r="T867" i="2" s="1"/>
  <c r="V867" i="2" s="1"/>
  <c r="X867" i="2" s="1"/>
  <c r="K1144" i="2"/>
  <c r="K1151" i="2"/>
  <c r="L1153" i="2"/>
  <c r="K1163" i="2"/>
  <c r="L1164" i="2"/>
  <c r="K388" i="2"/>
  <c r="P866" i="2" l="1"/>
  <c r="R866" i="2" s="1"/>
  <c r="T866" i="2" s="1"/>
  <c r="V866" i="2" s="1"/>
  <c r="X866" i="2" s="1"/>
  <c r="Z866" i="2" s="1"/>
  <c r="N1153" i="2"/>
  <c r="P1153" i="2" s="1"/>
  <c r="R1153" i="2" s="1"/>
  <c r="T1153" i="2" s="1"/>
  <c r="V1153" i="2" s="1"/>
  <c r="X1153" i="2" s="1"/>
  <c r="Z1153" i="2" s="1"/>
  <c r="N1164" i="2"/>
  <c r="P1164" i="2" s="1"/>
  <c r="R1164" i="2" s="1"/>
  <c r="T1164" i="2" s="1"/>
  <c r="V1164" i="2" s="1"/>
  <c r="X1164" i="2" s="1"/>
  <c r="Z1164" i="2" s="1"/>
  <c r="L1345" i="2"/>
  <c r="K1344" i="2"/>
  <c r="L1344" i="2" s="1"/>
  <c r="N1344" i="2" s="1"/>
  <c r="P1344" i="2" s="1"/>
  <c r="R1344" i="2" s="1"/>
  <c r="T1344" i="2" s="1"/>
  <c r="V1344" i="2" s="1"/>
  <c r="X1344" i="2" s="1"/>
  <c r="P865" i="2" l="1"/>
  <c r="R865" i="2" s="1"/>
  <c r="T865" i="2" s="1"/>
  <c r="V865" i="2" s="1"/>
  <c r="X865" i="2" s="1"/>
  <c r="N1345" i="2"/>
  <c r="P1345" i="2" s="1"/>
  <c r="R1345" i="2" s="1"/>
  <c r="T1345" i="2" s="1"/>
  <c r="V1345" i="2" s="1"/>
  <c r="X1345" i="2" s="1"/>
  <c r="Z1345" i="2" s="1"/>
  <c r="K129" i="2"/>
  <c r="K1480" i="2" s="1"/>
  <c r="P864" i="2" l="1"/>
  <c r="R864" i="2" s="1"/>
  <c r="T864" i="2" s="1"/>
  <c r="V864" i="2" s="1"/>
  <c r="X864" i="2" s="1"/>
  <c r="Z864" i="2" s="1"/>
  <c r="K1479" i="2"/>
  <c r="L129" i="2"/>
  <c r="K128" i="2"/>
  <c r="L128" i="2" s="1"/>
  <c r="N128" i="2" s="1"/>
  <c r="P128" i="2" s="1"/>
  <c r="R128" i="2" s="1"/>
  <c r="T128" i="2" s="1"/>
  <c r="V128" i="2" s="1"/>
  <c r="X128" i="2" s="1"/>
  <c r="P863" i="2" l="1"/>
  <c r="R863" i="2" s="1"/>
  <c r="T863" i="2" s="1"/>
  <c r="V863" i="2" s="1"/>
  <c r="X863" i="2" s="1"/>
  <c r="N129" i="2"/>
  <c r="P129" i="2" s="1"/>
  <c r="R129" i="2" s="1"/>
  <c r="T129" i="2" s="1"/>
  <c r="V129" i="2" s="1"/>
  <c r="X129" i="2" s="1"/>
  <c r="Z129" i="2" s="1"/>
  <c r="K584" i="2"/>
  <c r="K582" i="2"/>
  <c r="K580" i="2"/>
  <c r="K578" i="2"/>
  <c r="K576" i="2"/>
  <c r="K574" i="2"/>
  <c r="K572" i="2"/>
  <c r="K570" i="2"/>
  <c r="P862" i="2" l="1"/>
  <c r="R862" i="2" s="1"/>
  <c r="T862" i="2" s="1"/>
  <c r="V862" i="2" s="1"/>
  <c r="X862" i="2" s="1"/>
  <c r="Z862" i="2" s="1"/>
  <c r="K587" i="2"/>
  <c r="L591" i="2"/>
  <c r="K443" i="2"/>
  <c r="L307" i="2"/>
  <c r="K306" i="2"/>
  <c r="L306" i="2" s="1"/>
  <c r="N306" i="2" s="1"/>
  <c r="P306" i="2" s="1"/>
  <c r="R306" i="2" s="1"/>
  <c r="T306" i="2" s="1"/>
  <c r="V306" i="2" s="1"/>
  <c r="X306" i="2" s="1"/>
  <c r="P861" i="2" l="1"/>
  <c r="R861" i="2" s="1"/>
  <c r="T861" i="2" s="1"/>
  <c r="V861" i="2" s="1"/>
  <c r="X861" i="2" s="1"/>
  <c r="N307" i="2"/>
  <c r="P307" i="2" s="1"/>
  <c r="R307" i="2" s="1"/>
  <c r="T307" i="2" s="1"/>
  <c r="V307" i="2" s="1"/>
  <c r="X307" i="2" s="1"/>
  <c r="Z307" i="2" s="1"/>
  <c r="N591" i="2"/>
  <c r="P591" i="2" s="1"/>
  <c r="R591" i="2" s="1"/>
  <c r="T591" i="2" s="1"/>
  <c r="V591" i="2" s="1"/>
  <c r="X591" i="2" s="1"/>
  <c r="Z591" i="2" s="1"/>
  <c r="L1165" i="2"/>
  <c r="L1163" i="2"/>
  <c r="N1163" i="2" s="1"/>
  <c r="P1163" i="2" s="1"/>
  <c r="R1163" i="2" s="1"/>
  <c r="T1163" i="2" s="1"/>
  <c r="V1163" i="2" s="1"/>
  <c r="X1163" i="2" s="1"/>
  <c r="P860" i="2" l="1"/>
  <c r="R860" i="2" s="1"/>
  <c r="T860" i="2" s="1"/>
  <c r="V860" i="2" s="1"/>
  <c r="X860" i="2" s="1"/>
  <c r="Z860" i="2" s="1"/>
  <c r="N1165" i="2"/>
  <c r="P1165" i="2" s="1"/>
  <c r="R1165" i="2" s="1"/>
  <c r="T1165" i="2" s="1"/>
  <c r="V1165" i="2" s="1"/>
  <c r="X1165" i="2" s="1"/>
  <c r="Z1165" i="2" s="1"/>
  <c r="K569" i="2"/>
  <c r="K571" i="2"/>
  <c r="K573" i="2"/>
  <c r="K575" i="2"/>
  <c r="K577" i="2"/>
  <c r="K579" i="2"/>
  <c r="K581" i="2"/>
  <c r="K583" i="2"/>
  <c r="P859" i="2" l="1"/>
  <c r="R859" i="2" s="1"/>
  <c r="T859" i="2" s="1"/>
  <c r="V859" i="2" s="1"/>
  <c r="X859" i="2" s="1"/>
  <c r="K567" i="2"/>
  <c r="L567" i="2" s="1"/>
  <c r="N567" i="2" s="1"/>
  <c r="P567" i="2" s="1"/>
  <c r="R567" i="2" s="1"/>
  <c r="T567" i="2" s="1"/>
  <c r="V567" i="2" s="1"/>
  <c r="X567" i="2" s="1"/>
  <c r="L569" i="2"/>
  <c r="N569" i="2" s="1"/>
  <c r="P569" i="2" s="1"/>
  <c r="R569" i="2" s="1"/>
  <c r="T569" i="2" s="1"/>
  <c r="V569" i="2" s="1"/>
  <c r="X569" i="2" s="1"/>
  <c r="L570" i="2"/>
  <c r="L571" i="2"/>
  <c r="N571" i="2" s="1"/>
  <c r="P571" i="2" s="1"/>
  <c r="R571" i="2" s="1"/>
  <c r="T571" i="2" s="1"/>
  <c r="V571" i="2" s="1"/>
  <c r="X571" i="2" s="1"/>
  <c r="L572" i="2"/>
  <c r="L573" i="2"/>
  <c r="N573" i="2" s="1"/>
  <c r="P573" i="2" s="1"/>
  <c r="R573" i="2" s="1"/>
  <c r="T573" i="2" s="1"/>
  <c r="V573" i="2" s="1"/>
  <c r="X573" i="2" s="1"/>
  <c r="L574" i="2"/>
  <c r="L575" i="2"/>
  <c r="N575" i="2" s="1"/>
  <c r="P575" i="2" s="1"/>
  <c r="R575" i="2" s="1"/>
  <c r="T575" i="2" s="1"/>
  <c r="V575" i="2" s="1"/>
  <c r="X575" i="2" s="1"/>
  <c r="L576" i="2"/>
  <c r="L577" i="2"/>
  <c r="N577" i="2" s="1"/>
  <c r="P577" i="2" s="1"/>
  <c r="R577" i="2" s="1"/>
  <c r="T577" i="2" s="1"/>
  <c r="V577" i="2" s="1"/>
  <c r="X577" i="2" s="1"/>
  <c r="L578" i="2"/>
  <c r="L579" i="2"/>
  <c r="N579" i="2" s="1"/>
  <c r="P579" i="2" s="1"/>
  <c r="R579" i="2" s="1"/>
  <c r="T579" i="2" s="1"/>
  <c r="V579" i="2" s="1"/>
  <c r="X579" i="2" s="1"/>
  <c r="L580" i="2"/>
  <c r="L581" i="2"/>
  <c r="N581" i="2" s="1"/>
  <c r="P581" i="2" s="1"/>
  <c r="R581" i="2" s="1"/>
  <c r="T581" i="2" s="1"/>
  <c r="V581" i="2" s="1"/>
  <c r="X581" i="2" s="1"/>
  <c r="L582" i="2"/>
  <c r="L583" i="2"/>
  <c r="N583" i="2" s="1"/>
  <c r="P583" i="2" s="1"/>
  <c r="R583" i="2" s="1"/>
  <c r="T583" i="2" s="1"/>
  <c r="V583" i="2" s="1"/>
  <c r="X583" i="2" s="1"/>
  <c r="L584" i="2"/>
  <c r="P858" i="2" l="1"/>
  <c r="R858" i="2" s="1"/>
  <c r="T858" i="2" s="1"/>
  <c r="V858" i="2" s="1"/>
  <c r="X858" i="2" s="1"/>
  <c r="Z858" i="2" s="1"/>
  <c r="N582" i="2"/>
  <c r="P582" i="2" s="1"/>
  <c r="R582" i="2" s="1"/>
  <c r="T582" i="2" s="1"/>
  <c r="V582" i="2" s="1"/>
  <c r="X582" i="2" s="1"/>
  <c r="Z582" i="2" s="1"/>
  <c r="N578" i="2"/>
  <c r="P578" i="2" s="1"/>
  <c r="R578" i="2" s="1"/>
  <c r="T578" i="2" s="1"/>
  <c r="V578" i="2" s="1"/>
  <c r="X578" i="2" s="1"/>
  <c r="Z578" i="2" s="1"/>
  <c r="N574" i="2"/>
  <c r="P574" i="2" s="1"/>
  <c r="R574" i="2" s="1"/>
  <c r="T574" i="2" s="1"/>
  <c r="V574" i="2" s="1"/>
  <c r="X574" i="2" s="1"/>
  <c r="Z574" i="2" s="1"/>
  <c r="N570" i="2"/>
  <c r="P570" i="2" s="1"/>
  <c r="R570" i="2" s="1"/>
  <c r="T570" i="2" s="1"/>
  <c r="V570" i="2" s="1"/>
  <c r="X570" i="2" s="1"/>
  <c r="Z570" i="2" s="1"/>
  <c r="N584" i="2"/>
  <c r="P584" i="2" s="1"/>
  <c r="R584" i="2" s="1"/>
  <c r="T584" i="2" s="1"/>
  <c r="V584" i="2" s="1"/>
  <c r="X584" i="2" s="1"/>
  <c r="Z584" i="2" s="1"/>
  <c r="N580" i="2"/>
  <c r="P580" i="2" s="1"/>
  <c r="R580" i="2" s="1"/>
  <c r="T580" i="2" s="1"/>
  <c r="V580" i="2" s="1"/>
  <c r="X580" i="2" s="1"/>
  <c r="Z580" i="2" s="1"/>
  <c r="N576" i="2"/>
  <c r="P576" i="2" s="1"/>
  <c r="R576" i="2" s="1"/>
  <c r="T576" i="2" s="1"/>
  <c r="V576" i="2" s="1"/>
  <c r="X576" i="2" s="1"/>
  <c r="Z576" i="2" s="1"/>
  <c r="N572" i="2"/>
  <c r="P572" i="2" s="1"/>
  <c r="R572" i="2" s="1"/>
  <c r="T572" i="2" s="1"/>
  <c r="V572" i="2" s="1"/>
  <c r="X572" i="2" s="1"/>
  <c r="Z572" i="2" s="1"/>
  <c r="K473" i="2"/>
  <c r="K586" i="2"/>
  <c r="K585" i="2" s="1"/>
  <c r="L585" i="2" s="1"/>
  <c r="N585" i="2" s="1"/>
  <c r="P585" i="2" s="1"/>
  <c r="R585" i="2" s="1"/>
  <c r="T585" i="2" s="1"/>
  <c r="V585" i="2" s="1"/>
  <c r="X585" i="2" s="1"/>
  <c r="L587" i="2"/>
  <c r="P857" i="2" l="1"/>
  <c r="R857" i="2" s="1"/>
  <c r="T857" i="2" s="1"/>
  <c r="V857" i="2" s="1"/>
  <c r="X857" i="2" s="1"/>
  <c r="N587" i="2"/>
  <c r="P587" i="2" s="1"/>
  <c r="R587" i="2" s="1"/>
  <c r="T587" i="2" s="1"/>
  <c r="V587" i="2" s="1"/>
  <c r="X587" i="2" s="1"/>
  <c r="Z587" i="2" s="1"/>
  <c r="L586" i="2"/>
  <c r="N586" i="2" s="1"/>
  <c r="P586" i="2" s="1"/>
  <c r="R586" i="2" s="1"/>
  <c r="T586" i="2" s="1"/>
  <c r="V586" i="2" s="1"/>
  <c r="X586" i="2" s="1"/>
  <c r="P856" i="2" l="1"/>
  <c r="R856" i="2" s="1"/>
  <c r="T856" i="2" s="1"/>
  <c r="V856" i="2" s="1"/>
  <c r="X856" i="2" s="1"/>
  <c r="Z856" i="2" s="1"/>
  <c r="K476" i="2"/>
  <c r="P855" i="2" l="1"/>
  <c r="R855" i="2" s="1"/>
  <c r="T855" i="2" s="1"/>
  <c r="V855" i="2" s="1"/>
  <c r="X855" i="2" s="1"/>
  <c r="K595" i="2"/>
  <c r="P854" i="2" l="1"/>
  <c r="R854" i="2" s="1"/>
  <c r="T854" i="2" s="1"/>
  <c r="V854" i="2" s="1"/>
  <c r="X854" i="2" s="1"/>
  <c r="Z854" i="2" s="1"/>
  <c r="K1218" i="2"/>
  <c r="K161" i="2"/>
  <c r="P853" i="2" l="1"/>
  <c r="R853" i="2" s="1"/>
  <c r="T853" i="2" s="1"/>
  <c r="V853" i="2" s="1"/>
  <c r="X853" i="2" s="1"/>
  <c r="L1152" i="2"/>
  <c r="L1151" i="2"/>
  <c r="N1151" i="2" s="1"/>
  <c r="P1151" i="2" s="1"/>
  <c r="R1151" i="2" s="1"/>
  <c r="T1151" i="2" s="1"/>
  <c r="V1151" i="2" s="1"/>
  <c r="X1151" i="2" s="1"/>
  <c r="P852" i="2" l="1"/>
  <c r="R852" i="2" s="1"/>
  <c r="T852" i="2" s="1"/>
  <c r="V852" i="2" s="1"/>
  <c r="X852" i="2" s="1"/>
  <c r="Z852" i="2" s="1"/>
  <c r="N1152" i="2"/>
  <c r="P1152" i="2" s="1"/>
  <c r="R1152" i="2" s="1"/>
  <c r="T1152" i="2" s="1"/>
  <c r="V1152" i="2" s="1"/>
  <c r="X1152" i="2" s="1"/>
  <c r="Z1152" i="2" s="1"/>
  <c r="L1269" i="2"/>
  <c r="P851" i="2" l="1"/>
  <c r="R851" i="2" s="1"/>
  <c r="T851" i="2" s="1"/>
  <c r="V851" i="2" s="1"/>
  <c r="X851" i="2" s="1"/>
  <c r="N1269" i="2"/>
  <c r="P1269" i="2" s="1"/>
  <c r="R1269" i="2" s="1"/>
  <c r="T1269" i="2" s="1"/>
  <c r="V1269" i="2" s="1"/>
  <c r="X1269" i="2" s="1"/>
  <c r="Z1269" i="2" s="1"/>
  <c r="K1266" i="2"/>
  <c r="K262" i="2"/>
  <c r="P850" i="2" l="1"/>
  <c r="R850" i="2" s="1"/>
  <c r="T850" i="2" s="1"/>
  <c r="V850" i="2" s="1"/>
  <c r="X850" i="2" s="1"/>
  <c r="Z850" i="2" s="1"/>
  <c r="L232" i="2"/>
  <c r="K231" i="2"/>
  <c r="L231" i="2" s="1"/>
  <c r="N231" i="2" s="1"/>
  <c r="P231" i="2" s="1"/>
  <c r="R231" i="2" s="1"/>
  <c r="T231" i="2" s="1"/>
  <c r="V231" i="2" s="1"/>
  <c r="X231" i="2" s="1"/>
  <c r="K454" i="2"/>
  <c r="P849" i="2" l="1"/>
  <c r="R849" i="2" s="1"/>
  <c r="T849" i="2" s="1"/>
  <c r="V849" i="2" s="1"/>
  <c r="X849" i="2" s="1"/>
  <c r="N232" i="2"/>
  <c r="P232" i="2" s="1"/>
  <c r="R232" i="2" s="1"/>
  <c r="T232" i="2" s="1"/>
  <c r="V232" i="2" s="1"/>
  <c r="X232" i="2" s="1"/>
  <c r="Z232" i="2" s="1"/>
  <c r="K450" i="2"/>
  <c r="L1218" i="2"/>
  <c r="K1217" i="2"/>
  <c r="L1217" i="2" s="1"/>
  <c r="N1217" i="2" s="1"/>
  <c r="P1217" i="2" s="1"/>
  <c r="R1217" i="2" s="1"/>
  <c r="T1217" i="2" s="1"/>
  <c r="V1217" i="2" s="1"/>
  <c r="X1217" i="2" s="1"/>
  <c r="L1144" i="2"/>
  <c r="K1143" i="2"/>
  <c r="P848" i="2" l="1"/>
  <c r="R848" i="2" s="1"/>
  <c r="T848" i="2" s="1"/>
  <c r="V848" i="2" s="1"/>
  <c r="X848" i="2" s="1"/>
  <c r="Z848" i="2" s="1"/>
  <c r="N1218" i="2"/>
  <c r="P1218" i="2" s="1"/>
  <c r="R1218" i="2" s="1"/>
  <c r="T1218" i="2" s="1"/>
  <c r="V1218" i="2" s="1"/>
  <c r="X1218" i="2" s="1"/>
  <c r="Z1218" i="2" s="1"/>
  <c r="N1144" i="2"/>
  <c r="P1144" i="2" s="1"/>
  <c r="R1144" i="2" s="1"/>
  <c r="T1144" i="2" s="1"/>
  <c r="V1144" i="2" s="1"/>
  <c r="X1144" i="2" s="1"/>
  <c r="Z1144" i="2" s="1"/>
  <c r="L1143" i="2"/>
  <c r="N1143" i="2" s="1"/>
  <c r="P1143" i="2" s="1"/>
  <c r="R1143" i="2" s="1"/>
  <c r="T1143" i="2" s="1"/>
  <c r="V1143" i="2" s="1"/>
  <c r="X1143" i="2" s="1"/>
  <c r="L161" i="2"/>
  <c r="K159" i="2"/>
  <c r="L159" i="2" s="1"/>
  <c r="N159" i="2" s="1"/>
  <c r="P159" i="2" s="1"/>
  <c r="R159" i="2" s="1"/>
  <c r="T159" i="2" s="1"/>
  <c r="V159" i="2" s="1"/>
  <c r="X159" i="2" s="1"/>
  <c r="L236" i="2"/>
  <c r="K235" i="2"/>
  <c r="L235" i="2" s="1"/>
  <c r="N235" i="2" s="1"/>
  <c r="P235" i="2" s="1"/>
  <c r="R235" i="2" s="1"/>
  <c r="T235" i="2" s="1"/>
  <c r="V235" i="2" s="1"/>
  <c r="X235" i="2" s="1"/>
  <c r="P847" i="2" l="1"/>
  <c r="R847" i="2" s="1"/>
  <c r="T847" i="2" s="1"/>
  <c r="V847" i="2" s="1"/>
  <c r="X847" i="2" s="1"/>
  <c r="N236" i="2"/>
  <c r="P236" i="2" s="1"/>
  <c r="R236" i="2" s="1"/>
  <c r="T236" i="2" s="1"/>
  <c r="V236" i="2" s="1"/>
  <c r="X236" i="2" s="1"/>
  <c r="Z236" i="2" s="1"/>
  <c r="N161" i="2"/>
  <c r="P161" i="2" s="1"/>
  <c r="R161" i="2" s="1"/>
  <c r="T161" i="2" s="1"/>
  <c r="V161" i="2" s="1"/>
  <c r="X161" i="2" s="1"/>
  <c r="Z161" i="2" s="1"/>
  <c r="L317" i="2"/>
  <c r="K316" i="2"/>
  <c r="L316" i="2" s="1"/>
  <c r="N316" i="2" s="1"/>
  <c r="P316" i="2" s="1"/>
  <c r="R316" i="2" s="1"/>
  <c r="T316" i="2" s="1"/>
  <c r="V316" i="2" s="1"/>
  <c r="X316" i="2" s="1"/>
  <c r="J478" i="2"/>
  <c r="K548" i="2"/>
  <c r="P846" i="2" l="1"/>
  <c r="R846" i="2" s="1"/>
  <c r="T846" i="2" s="1"/>
  <c r="V846" i="2" s="1"/>
  <c r="X846" i="2" s="1"/>
  <c r="Z846" i="2" s="1"/>
  <c r="N317" i="2"/>
  <c r="P317" i="2" s="1"/>
  <c r="R317" i="2" s="1"/>
  <c r="T317" i="2" s="1"/>
  <c r="V317" i="2" s="1"/>
  <c r="X317" i="2" s="1"/>
  <c r="Z317" i="2" s="1"/>
  <c r="K493" i="2"/>
  <c r="P845" i="2" l="1"/>
  <c r="R845" i="2" s="1"/>
  <c r="T845" i="2" s="1"/>
  <c r="V845" i="2" s="1"/>
  <c r="X845" i="2" s="1"/>
  <c r="K427" i="2"/>
  <c r="P844" i="2" l="1"/>
  <c r="R844" i="2" s="1"/>
  <c r="T844" i="2" s="1"/>
  <c r="V844" i="2" s="1"/>
  <c r="X844" i="2" s="1"/>
  <c r="Z844" i="2" s="1"/>
  <c r="L290" i="2"/>
  <c r="L291" i="2"/>
  <c r="K289" i="2"/>
  <c r="L289" i="2" s="1"/>
  <c r="N289" i="2" s="1"/>
  <c r="P289" i="2" s="1"/>
  <c r="R289" i="2" s="1"/>
  <c r="T289" i="2" s="1"/>
  <c r="V289" i="2" s="1"/>
  <c r="X289" i="2" s="1"/>
  <c r="L431" i="2"/>
  <c r="L433" i="2"/>
  <c r="L434" i="2"/>
  <c r="K432" i="2"/>
  <c r="L432" i="2" s="1"/>
  <c r="N432" i="2" s="1"/>
  <c r="P432" i="2" s="1"/>
  <c r="R432" i="2" s="1"/>
  <c r="T432" i="2" s="1"/>
  <c r="V432" i="2" s="1"/>
  <c r="X432" i="2" s="1"/>
  <c r="K430" i="2"/>
  <c r="L430" i="2" s="1"/>
  <c r="N430" i="2" s="1"/>
  <c r="P430" i="2" s="1"/>
  <c r="R430" i="2" s="1"/>
  <c r="T430" i="2" s="1"/>
  <c r="V430" i="2" s="1"/>
  <c r="X430" i="2" s="1"/>
  <c r="P843" i="2" l="1"/>
  <c r="R843" i="2" s="1"/>
  <c r="T843" i="2" s="1"/>
  <c r="V843" i="2" s="1"/>
  <c r="X843" i="2" s="1"/>
  <c r="N431" i="2"/>
  <c r="P431" i="2" s="1"/>
  <c r="R431" i="2" s="1"/>
  <c r="T431" i="2" s="1"/>
  <c r="V431" i="2" s="1"/>
  <c r="X431" i="2" s="1"/>
  <c r="Z431" i="2" s="1"/>
  <c r="N291" i="2"/>
  <c r="P291" i="2" s="1"/>
  <c r="R291" i="2" s="1"/>
  <c r="T291" i="2" s="1"/>
  <c r="V291" i="2" s="1"/>
  <c r="X291" i="2" s="1"/>
  <c r="Z291" i="2" s="1"/>
  <c r="N434" i="2"/>
  <c r="P434" i="2" s="1"/>
  <c r="R434" i="2" s="1"/>
  <c r="T434" i="2" s="1"/>
  <c r="V434" i="2" s="1"/>
  <c r="X434" i="2" s="1"/>
  <c r="Z434" i="2" s="1"/>
  <c r="N433" i="2"/>
  <c r="P433" i="2" s="1"/>
  <c r="R433" i="2" s="1"/>
  <c r="T433" i="2" s="1"/>
  <c r="V433" i="2" s="1"/>
  <c r="X433" i="2" s="1"/>
  <c r="Z433" i="2" s="1"/>
  <c r="N290" i="2"/>
  <c r="P290" i="2" s="1"/>
  <c r="R290" i="2" s="1"/>
  <c r="T290" i="2" s="1"/>
  <c r="V290" i="2" s="1"/>
  <c r="X290" i="2" s="1"/>
  <c r="Z290" i="2" s="1"/>
  <c r="L35" i="2"/>
  <c r="K34" i="2"/>
  <c r="L34" i="2" s="1"/>
  <c r="N34" i="2" s="1"/>
  <c r="P34" i="2" s="1"/>
  <c r="R34" i="2" s="1"/>
  <c r="T34" i="2" s="1"/>
  <c r="V34" i="2" s="1"/>
  <c r="X34" i="2" s="1"/>
  <c r="L304" i="2"/>
  <c r="L1467" i="2"/>
  <c r="K1466" i="2"/>
  <c r="L1466" i="2" s="1"/>
  <c r="N1466" i="2" s="1"/>
  <c r="P1466" i="2" s="1"/>
  <c r="R1466" i="2" s="1"/>
  <c r="T1466" i="2" s="1"/>
  <c r="V1466" i="2" s="1"/>
  <c r="X1466" i="2" s="1"/>
  <c r="P842" i="2" l="1"/>
  <c r="R842" i="2" s="1"/>
  <c r="T842" i="2" s="1"/>
  <c r="V842" i="2" s="1"/>
  <c r="X842" i="2" s="1"/>
  <c r="Z842" i="2" s="1"/>
  <c r="N35" i="2"/>
  <c r="P35" i="2" s="1"/>
  <c r="R35" i="2" s="1"/>
  <c r="T35" i="2" s="1"/>
  <c r="V35" i="2" s="1"/>
  <c r="X35" i="2" s="1"/>
  <c r="Z35" i="2" s="1"/>
  <c r="N1467" i="2"/>
  <c r="P1467" i="2" s="1"/>
  <c r="R1467" i="2" s="1"/>
  <c r="T1467" i="2" s="1"/>
  <c r="V1467" i="2" s="1"/>
  <c r="X1467" i="2" s="1"/>
  <c r="Z1467" i="2" s="1"/>
  <c r="N304" i="2"/>
  <c r="P304" i="2" s="1"/>
  <c r="R304" i="2" s="1"/>
  <c r="T304" i="2" s="1"/>
  <c r="V304" i="2" s="1"/>
  <c r="X304" i="2" s="1"/>
  <c r="Z304" i="2" s="1"/>
  <c r="K1120" i="2"/>
  <c r="K1117" i="2"/>
  <c r="P841" i="2" l="1"/>
  <c r="R841" i="2" s="1"/>
  <c r="T841" i="2" s="1"/>
  <c r="V841" i="2" s="1"/>
  <c r="X841" i="2" s="1"/>
  <c r="L1267" i="2"/>
  <c r="L1268" i="2"/>
  <c r="L1266" i="2"/>
  <c r="N1266" i="2" s="1"/>
  <c r="P1266" i="2" s="1"/>
  <c r="R1266" i="2" s="1"/>
  <c r="T1266" i="2" s="1"/>
  <c r="V1266" i="2" s="1"/>
  <c r="X1266" i="2" s="1"/>
  <c r="P840" i="2" l="1"/>
  <c r="R840" i="2" s="1"/>
  <c r="T840" i="2" s="1"/>
  <c r="V840" i="2" s="1"/>
  <c r="X840" i="2" s="1"/>
  <c r="Z840" i="2" s="1"/>
  <c r="N1268" i="2"/>
  <c r="P1268" i="2" s="1"/>
  <c r="R1268" i="2" s="1"/>
  <c r="T1268" i="2" s="1"/>
  <c r="V1268" i="2" s="1"/>
  <c r="X1268" i="2" s="1"/>
  <c r="Z1268" i="2" s="1"/>
  <c r="N1267" i="2"/>
  <c r="P1267" i="2" s="1"/>
  <c r="R1267" i="2" s="1"/>
  <c r="T1267" i="2" s="1"/>
  <c r="V1267" i="2" s="1"/>
  <c r="X1267" i="2" s="1"/>
  <c r="Z1267" i="2" s="1"/>
  <c r="K1477" i="2"/>
  <c r="K1475" i="2" s="1"/>
  <c r="L287" i="2"/>
  <c r="L288" i="2"/>
  <c r="K286" i="2"/>
  <c r="L286" i="2" s="1"/>
  <c r="N286" i="2" s="1"/>
  <c r="P286" i="2" s="1"/>
  <c r="R286" i="2" s="1"/>
  <c r="T286" i="2" s="1"/>
  <c r="V286" i="2" s="1"/>
  <c r="X286" i="2" s="1"/>
  <c r="L1465" i="2"/>
  <c r="K1464" i="2"/>
  <c r="L1464" i="2" s="1"/>
  <c r="N1464" i="2" s="1"/>
  <c r="P1464" i="2" s="1"/>
  <c r="R1464" i="2" s="1"/>
  <c r="T1464" i="2" s="1"/>
  <c r="V1464" i="2" s="1"/>
  <c r="X1464" i="2" s="1"/>
  <c r="K1469" i="2"/>
  <c r="K1468" i="2" s="1"/>
  <c r="K1452" i="2"/>
  <c r="K1449" i="2"/>
  <c r="K1443" i="2"/>
  <c r="K1441" i="2"/>
  <c r="K1435" i="2"/>
  <c r="K1429" i="2"/>
  <c r="K1428" i="2" s="1"/>
  <c r="K1426" i="2"/>
  <c r="K1425" i="2" s="1"/>
  <c r="K1421" i="2"/>
  <c r="K1420" i="2" s="1"/>
  <c r="K1418" i="2"/>
  <c r="K1416" i="2"/>
  <c r="K1412" i="2"/>
  <c r="K1408" i="2"/>
  <c r="K1407" i="2" s="1"/>
  <c r="K1405" i="2"/>
  <c r="K1400" i="2"/>
  <c r="K1392" i="2"/>
  <c r="K1391" i="2" s="1"/>
  <c r="K1387" i="2"/>
  <c r="K1385" i="2"/>
  <c r="K1377" i="2"/>
  <c r="K1374" i="2"/>
  <c r="K1372" i="2"/>
  <c r="K1369" i="2"/>
  <c r="K1357" i="2"/>
  <c r="K1353" i="2"/>
  <c r="K1347" i="2"/>
  <c r="K1332" i="2"/>
  <c r="K1321" i="2"/>
  <c r="K1311" i="2"/>
  <c r="K1304" i="2" s="1"/>
  <c r="K1302" i="2"/>
  <c r="K1299" i="2"/>
  <c r="K1297" i="2"/>
  <c r="K1292" i="2"/>
  <c r="K1289" i="2"/>
  <c r="K1287" i="2"/>
  <c r="K1285" i="2"/>
  <c r="K1279" i="2"/>
  <c r="K1264" i="2"/>
  <c r="K1259" i="2"/>
  <c r="K1256" i="2"/>
  <c r="K1252" i="2"/>
  <c r="K1244" i="2"/>
  <c r="K1241" i="2" s="1"/>
  <c r="K1240" i="2" s="1"/>
  <c r="K1237" i="2"/>
  <c r="K1236" i="2" s="1"/>
  <c r="K1233" i="2"/>
  <c r="K1229" i="2"/>
  <c r="K1225" i="2"/>
  <c r="K1223" i="2"/>
  <c r="K1221" i="2"/>
  <c r="K1219" i="2"/>
  <c r="K1213" i="2"/>
  <c r="K1211" i="2"/>
  <c r="K1203" i="2"/>
  <c r="K1200" i="2"/>
  <c r="K1195" i="2"/>
  <c r="K1193" i="2"/>
  <c r="K1188" i="2"/>
  <c r="K1185" i="2"/>
  <c r="K1205" i="2"/>
  <c r="K1181" i="2"/>
  <c r="K1173" i="2"/>
  <c r="K1166" i="2" s="1"/>
  <c r="K1161" i="2"/>
  <c r="K1157" i="2"/>
  <c r="K1154" i="2"/>
  <c r="K1149" i="2"/>
  <c r="K1147" i="2"/>
  <c r="K1145" i="2"/>
  <c r="K1141" i="2"/>
  <c r="K1131" i="2"/>
  <c r="K1129" i="2"/>
  <c r="K1124" i="2"/>
  <c r="K1121" i="2"/>
  <c r="K1118" i="2"/>
  <c r="K1116" i="2"/>
  <c r="K1109" i="2"/>
  <c r="K1104" i="2"/>
  <c r="K1093" i="2"/>
  <c r="K1089" i="2"/>
  <c r="K1077" i="2"/>
  <c r="K1068" i="2"/>
  <c r="K1066" i="2"/>
  <c r="K1046" i="2"/>
  <c r="K594" i="2"/>
  <c r="K592" i="2"/>
  <c r="K565" i="2"/>
  <c r="K563" i="2"/>
  <c r="K561" i="2"/>
  <c r="K559" i="2"/>
  <c r="K557" i="2"/>
  <c r="K555" i="2"/>
  <c r="K553" i="2"/>
  <c r="K551" i="2"/>
  <c r="K549" i="2"/>
  <c r="K547" i="2"/>
  <c r="K545" i="2"/>
  <c r="K543" i="2"/>
  <c r="K541" i="2"/>
  <c r="K539" i="2"/>
  <c r="K537" i="2"/>
  <c r="K535" i="2"/>
  <c r="K533" i="2"/>
  <c r="K531" i="2"/>
  <c r="K529" i="2"/>
  <c r="K527" i="2"/>
  <c r="K525" i="2"/>
  <c r="K523" i="2"/>
  <c r="K521" i="2"/>
  <c r="K519" i="2"/>
  <c r="K517" i="2"/>
  <c r="K515" i="2"/>
  <c r="K513" i="2"/>
  <c r="K511" i="2"/>
  <c r="K509" i="2"/>
  <c r="K507" i="2"/>
  <c r="K505" i="2"/>
  <c r="K503" i="2"/>
  <c r="K501" i="2"/>
  <c r="K499" i="2"/>
  <c r="K497" i="2"/>
  <c r="K495" i="2"/>
  <c r="K491" i="2"/>
  <c r="K489" i="2"/>
  <c r="K487" i="2"/>
  <c r="K485" i="2"/>
  <c r="K483" i="2"/>
  <c r="K481" i="2"/>
  <c r="K479" i="2"/>
  <c r="K462" i="2"/>
  <c r="K442" i="2"/>
  <c r="K437" i="2"/>
  <c r="K436" i="2" s="1"/>
  <c r="K428" i="2"/>
  <c r="K426" i="2"/>
  <c r="K420" i="2"/>
  <c r="K418" i="2"/>
  <c r="K416" i="2"/>
  <c r="K411" i="2"/>
  <c r="K410" i="2" s="1"/>
  <c r="K408" i="2"/>
  <c r="K407" i="2" s="1"/>
  <c r="K405" i="2"/>
  <c r="K404" i="2" s="1"/>
  <c r="K402" i="2"/>
  <c r="K399" i="2"/>
  <c r="K398" i="2" s="1"/>
  <c r="K396" i="2"/>
  <c r="K394" i="2"/>
  <c r="K389" i="2"/>
  <c r="K386" i="2"/>
  <c r="K384" i="2"/>
  <c r="K379" i="2"/>
  <c r="K377" i="2"/>
  <c r="K373" i="2"/>
  <c r="K372" i="2" s="1"/>
  <c r="K370" i="2"/>
  <c r="K369" i="2" s="1"/>
  <c r="K366" i="2"/>
  <c r="K361" i="2"/>
  <c r="K356" i="2"/>
  <c r="K355" i="2" s="1"/>
  <c r="K353" i="2"/>
  <c r="K352" i="2" s="1"/>
  <c r="K350" i="2"/>
  <c r="K345" i="2"/>
  <c r="K342" i="2"/>
  <c r="K341" i="2" s="1"/>
  <c r="K339" i="2"/>
  <c r="K334" i="2"/>
  <c r="K330" i="2"/>
  <c r="K328" i="2"/>
  <c r="K324" i="2"/>
  <c r="K322" i="2"/>
  <c r="K320" i="2"/>
  <c r="K318" i="2"/>
  <c r="K313" i="2"/>
  <c r="K310" i="2"/>
  <c r="K299" i="2"/>
  <c r="K294" i="2"/>
  <c r="K293" i="2" s="1"/>
  <c r="K284" i="2"/>
  <c r="K282" i="2"/>
  <c r="K280" i="2"/>
  <c r="K277" i="2"/>
  <c r="K268" i="2"/>
  <c r="K261" i="2"/>
  <c r="K259" i="2"/>
  <c r="K255" i="2"/>
  <c r="K251" i="2"/>
  <c r="K249" i="2"/>
  <c r="K247" i="2"/>
  <c r="K244" i="2"/>
  <c r="K242" i="2"/>
  <c r="K237" i="2"/>
  <c r="K233" i="2"/>
  <c r="K229" i="2"/>
  <c r="K225" i="2"/>
  <c r="K222" i="2"/>
  <c r="K220" i="2"/>
  <c r="K218" i="2"/>
  <c r="K211" i="2"/>
  <c r="K200" i="2"/>
  <c r="K197" i="2"/>
  <c r="K194" i="2"/>
  <c r="K187" i="2"/>
  <c r="K184" i="2"/>
  <c r="K183" i="2" s="1"/>
  <c r="K180" i="2"/>
  <c r="K177" i="2"/>
  <c r="K171" i="2"/>
  <c r="K168" i="2"/>
  <c r="K165" i="2"/>
  <c r="K162" i="2"/>
  <c r="K156" i="2"/>
  <c r="K154" i="2"/>
  <c r="K144" i="2"/>
  <c r="K141" i="2"/>
  <c r="K139" i="2"/>
  <c r="K130" i="2"/>
  <c r="K125" i="2" s="1"/>
  <c r="K122" i="2"/>
  <c r="K119" i="2"/>
  <c r="K111" i="2"/>
  <c r="K101" i="2"/>
  <c r="K100" i="2" s="1"/>
  <c r="K98" i="2"/>
  <c r="K97" i="2" s="1"/>
  <c r="K92" i="2"/>
  <c r="K86" i="2"/>
  <c r="K82" i="2"/>
  <c r="K80" i="2"/>
  <c r="K77" i="2"/>
  <c r="K75" i="2"/>
  <c r="K68" i="2"/>
  <c r="K65" i="2"/>
  <c r="K64" i="2" s="1"/>
  <c r="K62" i="2"/>
  <c r="K61" i="2" s="1"/>
  <c r="K56" i="2"/>
  <c r="K54" i="2"/>
  <c r="K52" i="2"/>
  <c r="K47" i="2"/>
  <c r="K44" i="2"/>
  <c r="K40" i="2"/>
  <c r="K37" i="2"/>
  <c r="K31" i="2"/>
  <c r="K24" i="2"/>
  <c r="K21" i="2"/>
  <c r="P839" i="2" l="1"/>
  <c r="R839" i="2" s="1"/>
  <c r="T839" i="2" s="1"/>
  <c r="V839" i="2" s="1"/>
  <c r="X839" i="2" s="1"/>
  <c r="N288" i="2"/>
  <c r="P288" i="2" s="1"/>
  <c r="R288" i="2" s="1"/>
  <c r="T288" i="2" s="1"/>
  <c r="V288" i="2" s="1"/>
  <c r="X288" i="2" s="1"/>
  <c r="Z288" i="2" s="1"/>
  <c r="N287" i="2"/>
  <c r="P287" i="2" s="1"/>
  <c r="R287" i="2" s="1"/>
  <c r="T287" i="2" s="1"/>
  <c r="V287" i="2" s="1"/>
  <c r="X287" i="2" s="1"/>
  <c r="Z287" i="2" s="1"/>
  <c r="N1465" i="2"/>
  <c r="P1465" i="2" s="1"/>
  <c r="R1465" i="2" s="1"/>
  <c r="T1465" i="2" s="1"/>
  <c r="V1465" i="2" s="1"/>
  <c r="X1465" i="2" s="1"/>
  <c r="Z1465" i="2" s="1"/>
  <c r="K475" i="2"/>
  <c r="K254" i="2"/>
  <c r="K133" i="2"/>
  <c r="K590" i="2"/>
  <c r="K1314" i="2"/>
  <c r="K302" i="2"/>
  <c r="K228" i="2"/>
  <c r="K1208" i="2"/>
  <c r="K1207" i="2" s="1"/>
  <c r="K1371" i="2"/>
  <c r="K360" i="2"/>
  <c r="K359" i="2" s="1"/>
  <c r="K425" i="2"/>
  <c r="K424" i="2" s="1"/>
  <c r="K1415" i="2"/>
  <c r="K1424" i="2"/>
  <c r="K27" i="2"/>
  <c r="K85" i="2"/>
  <c r="K107" i="2"/>
  <c r="K18" i="2"/>
  <c r="K51" i="2"/>
  <c r="K1263" i="2"/>
  <c r="K1431" i="2"/>
  <c r="K393" i="2"/>
  <c r="K444" i="2"/>
  <c r="K1228" i="2"/>
  <c r="K1227" i="2" s="1"/>
  <c r="K72" i="2"/>
  <c r="K1192" i="2"/>
  <c r="K193" i="2"/>
  <c r="K192" i="2" s="1"/>
  <c r="K264" i="2"/>
  <c r="K1199" i="2"/>
  <c r="K1258" i="2"/>
  <c r="K1278" i="2"/>
  <c r="K1184" i="2"/>
  <c r="K1057" i="2"/>
  <c r="K441" i="2"/>
  <c r="K215" i="2"/>
  <c r="K176" i="2"/>
  <c r="K96" i="2"/>
  <c r="K1296" i="2"/>
  <c r="K401" i="2"/>
  <c r="K1178" i="2"/>
  <c r="K1301" i="2"/>
  <c r="K333" i="2"/>
  <c r="K415" i="2"/>
  <c r="K296" i="2"/>
  <c r="K1235" i="2"/>
  <c r="K1251" i="2"/>
  <c r="K344" i="2"/>
  <c r="K1042" i="2"/>
  <c r="K1134" i="2"/>
  <c r="K1112" i="2" s="1"/>
  <c r="K349" i="2"/>
  <c r="K376" i="2"/>
  <c r="K1085" i="2"/>
  <c r="K1399" i="2"/>
  <c r="K1404" i="2"/>
  <c r="K1411" i="2"/>
  <c r="K1376" i="2"/>
  <c r="I474" i="2"/>
  <c r="I473" i="2" s="1"/>
  <c r="I1459" i="2"/>
  <c r="I1135" i="2"/>
  <c r="I1185" i="2"/>
  <c r="J1187" i="2"/>
  <c r="I1289" i="2"/>
  <c r="J1291" i="2"/>
  <c r="J1354" i="2"/>
  <c r="I1353" i="2"/>
  <c r="J1353" i="2" s="1"/>
  <c r="L1353" i="2" s="1"/>
  <c r="N1353" i="2" s="1"/>
  <c r="P1353" i="2" s="1"/>
  <c r="R1353" i="2" s="1"/>
  <c r="T1353" i="2" s="1"/>
  <c r="V1353" i="2" s="1"/>
  <c r="X1353" i="2" s="1"/>
  <c r="I1332" i="2"/>
  <c r="J1340" i="2"/>
  <c r="I476" i="2"/>
  <c r="J476" i="2" s="1"/>
  <c r="L476" i="2" s="1"/>
  <c r="N476" i="2" s="1"/>
  <c r="P476" i="2" s="1"/>
  <c r="R476" i="2" s="1"/>
  <c r="T476" i="2" s="1"/>
  <c r="V476" i="2" s="1"/>
  <c r="X476" i="2" s="1"/>
  <c r="J477" i="2"/>
  <c r="J388" i="2"/>
  <c r="I386" i="2"/>
  <c r="J1390" i="2"/>
  <c r="I1387" i="2"/>
  <c r="J1078" i="2"/>
  <c r="J1079" i="2"/>
  <c r="J1080" i="2"/>
  <c r="J1082" i="2"/>
  <c r="I1077" i="2"/>
  <c r="J1077" i="2" s="1"/>
  <c r="L1077" i="2" s="1"/>
  <c r="N1077" i="2" s="1"/>
  <c r="P1077" i="2" s="1"/>
  <c r="R1077" i="2" s="1"/>
  <c r="T1077" i="2" s="1"/>
  <c r="V1077" i="2" s="1"/>
  <c r="X1077" i="2" s="1"/>
  <c r="L478" i="2"/>
  <c r="J439" i="2"/>
  <c r="I437" i="2"/>
  <c r="J438" i="2"/>
  <c r="I251" i="2"/>
  <c r="J253" i="2"/>
  <c r="I234" i="2"/>
  <c r="I233" i="2" s="1"/>
  <c r="J233" i="2" s="1"/>
  <c r="L233" i="2" s="1"/>
  <c r="N233" i="2" s="1"/>
  <c r="P233" i="2" s="1"/>
  <c r="R233" i="2" s="1"/>
  <c r="T233" i="2" s="1"/>
  <c r="V233" i="2" s="1"/>
  <c r="X233" i="2" s="1"/>
  <c r="I172" i="2"/>
  <c r="I180" i="2"/>
  <c r="J182" i="2"/>
  <c r="I147" i="2"/>
  <c r="I144" i="2" s="1"/>
  <c r="J146" i="2"/>
  <c r="P838" i="2" l="1"/>
  <c r="R838" i="2" s="1"/>
  <c r="T838" i="2" s="1"/>
  <c r="V838" i="2" s="1"/>
  <c r="X838" i="2" s="1"/>
  <c r="Z838" i="2" s="1"/>
  <c r="N478" i="2"/>
  <c r="P478" i="2" s="1"/>
  <c r="R478" i="2" s="1"/>
  <c r="T478" i="2" s="1"/>
  <c r="V478" i="2" s="1"/>
  <c r="X478" i="2" s="1"/>
  <c r="Z478" i="2" s="1"/>
  <c r="K472" i="2"/>
  <c r="K469" i="2" s="1"/>
  <c r="K435" i="2" s="1"/>
  <c r="L1082" i="2"/>
  <c r="L477" i="2"/>
  <c r="L1187" i="2"/>
  <c r="L182" i="2"/>
  <c r="L253" i="2"/>
  <c r="L439" i="2"/>
  <c r="L1080" i="2"/>
  <c r="L1390" i="2"/>
  <c r="L1354" i="2"/>
  <c r="L1079" i="2"/>
  <c r="L1340" i="2"/>
  <c r="L1291" i="2"/>
  <c r="L146" i="2"/>
  <c r="L438" i="2"/>
  <c r="L1078" i="2"/>
  <c r="L388" i="2"/>
  <c r="K17" i="2"/>
  <c r="K71" i="2"/>
  <c r="K392" i="2"/>
  <c r="K214" i="2"/>
  <c r="J234" i="2"/>
  <c r="I1477" i="2"/>
  <c r="K106" i="2"/>
  <c r="K414" i="2"/>
  <c r="K1403" i="2"/>
  <c r="K1250" i="2"/>
  <c r="K1398" i="2"/>
  <c r="K1041" i="2"/>
  <c r="K301" i="2"/>
  <c r="K368" i="2"/>
  <c r="K348" i="2"/>
  <c r="K332" i="2"/>
  <c r="K1410" i="2"/>
  <c r="K1084" i="2"/>
  <c r="K1295" i="2"/>
  <c r="K292" i="2"/>
  <c r="I475" i="2"/>
  <c r="I1122" i="2"/>
  <c r="I1230" i="2"/>
  <c r="J102" i="2"/>
  <c r="J103" i="2"/>
  <c r="I101" i="2"/>
  <c r="I100" i="2" s="1"/>
  <c r="J100" i="2" s="1"/>
  <c r="L100" i="2" s="1"/>
  <c r="N100" i="2" s="1"/>
  <c r="P100" i="2" s="1"/>
  <c r="R100" i="2" s="1"/>
  <c r="T100" i="2" s="1"/>
  <c r="V100" i="2" s="1"/>
  <c r="X100" i="2" s="1"/>
  <c r="J69" i="2"/>
  <c r="J70" i="2"/>
  <c r="I68" i="2"/>
  <c r="J68" i="2" s="1"/>
  <c r="L68" i="2" s="1"/>
  <c r="N68" i="2" s="1"/>
  <c r="P68" i="2" s="1"/>
  <c r="R68" i="2" s="1"/>
  <c r="T68" i="2" s="1"/>
  <c r="V68" i="2" s="1"/>
  <c r="X68" i="2" s="1"/>
  <c r="P837" i="2" l="1"/>
  <c r="R837" i="2" s="1"/>
  <c r="T837" i="2" s="1"/>
  <c r="V837" i="2" s="1"/>
  <c r="X837" i="2" s="1"/>
  <c r="N1354" i="2"/>
  <c r="P1354" i="2" s="1"/>
  <c r="R1354" i="2" s="1"/>
  <c r="T1354" i="2" s="1"/>
  <c r="V1354" i="2" s="1"/>
  <c r="X1354" i="2" s="1"/>
  <c r="Z1354" i="2" s="1"/>
  <c r="N253" i="2"/>
  <c r="P253" i="2" s="1"/>
  <c r="R253" i="2" s="1"/>
  <c r="T253" i="2" s="1"/>
  <c r="V253" i="2" s="1"/>
  <c r="X253" i="2" s="1"/>
  <c r="Z253" i="2" s="1"/>
  <c r="N388" i="2"/>
  <c r="P388" i="2" s="1"/>
  <c r="R388" i="2" s="1"/>
  <c r="T388" i="2" s="1"/>
  <c r="V388" i="2" s="1"/>
  <c r="X388" i="2" s="1"/>
  <c r="Z388" i="2" s="1"/>
  <c r="N1291" i="2"/>
  <c r="P1291" i="2" s="1"/>
  <c r="R1291" i="2" s="1"/>
  <c r="T1291" i="2" s="1"/>
  <c r="V1291" i="2" s="1"/>
  <c r="X1291" i="2" s="1"/>
  <c r="Z1291" i="2" s="1"/>
  <c r="N1390" i="2"/>
  <c r="P1390" i="2" s="1"/>
  <c r="R1390" i="2" s="1"/>
  <c r="T1390" i="2" s="1"/>
  <c r="V1390" i="2" s="1"/>
  <c r="X1390" i="2" s="1"/>
  <c r="Z1390" i="2" s="1"/>
  <c r="N182" i="2"/>
  <c r="P182" i="2" s="1"/>
  <c r="R182" i="2" s="1"/>
  <c r="T182" i="2" s="1"/>
  <c r="V182" i="2" s="1"/>
  <c r="X182" i="2" s="1"/>
  <c r="Z182" i="2" s="1"/>
  <c r="N1078" i="2"/>
  <c r="P1078" i="2" s="1"/>
  <c r="R1078" i="2" s="1"/>
  <c r="T1078" i="2" s="1"/>
  <c r="V1078" i="2" s="1"/>
  <c r="X1078" i="2" s="1"/>
  <c r="Z1078" i="2" s="1"/>
  <c r="N1340" i="2"/>
  <c r="P1340" i="2" s="1"/>
  <c r="R1340" i="2" s="1"/>
  <c r="T1340" i="2" s="1"/>
  <c r="V1340" i="2" s="1"/>
  <c r="X1340" i="2" s="1"/>
  <c r="Z1340" i="2" s="1"/>
  <c r="N1080" i="2"/>
  <c r="P1080" i="2" s="1"/>
  <c r="R1080" i="2" s="1"/>
  <c r="T1080" i="2" s="1"/>
  <c r="V1080" i="2" s="1"/>
  <c r="X1080" i="2" s="1"/>
  <c r="Z1080" i="2" s="1"/>
  <c r="N1187" i="2"/>
  <c r="P1187" i="2" s="1"/>
  <c r="R1187" i="2" s="1"/>
  <c r="T1187" i="2" s="1"/>
  <c r="V1187" i="2" s="1"/>
  <c r="X1187" i="2" s="1"/>
  <c r="Z1187" i="2" s="1"/>
  <c r="N146" i="2"/>
  <c r="P146" i="2" s="1"/>
  <c r="R146" i="2" s="1"/>
  <c r="T146" i="2" s="1"/>
  <c r="V146" i="2" s="1"/>
  <c r="X146" i="2" s="1"/>
  <c r="Z146" i="2" s="1"/>
  <c r="N1082" i="2"/>
  <c r="P1082" i="2" s="1"/>
  <c r="R1082" i="2" s="1"/>
  <c r="T1082" i="2" s="1"/>
  <c r="V1082" i="2" s="1"/>
  <c r="X1082" i="2" s="1"/>
  <c r="Z1082" i="2" s="1"/>
  <c r="N438" i="2"/>
  <c r="P438" i="2" s="1"/>
  <c r="R438" i="2" s="1"/>
  <c r="T438" i="2" s="1"/>
  <c r="V438" i="2" s="1"/>
  <c r="X438" i="2" s="1"/>
  <c r="Z438" i="2" s="1"/>
  <c r="N1079" i="2"/>
  <c r="P1079" i="2" s="1"/>
  <c r="R1079" i="2" s="1"/>
  <c r="T1079" i="2" s="1"/>
  <c r="V1079" i="2" s="1"/>
  <c r="X1079" i="2" s="1"/>
  <c r="Z1079" i="2" s="1"/>
  <c r="N439" i="2"/>
  <c r="P439" i="2" s="1"/>
  <c r="R439" i="2" s="1"/>
  <c r="T439" i="2" s="1"/>
  <c r="V439" i="2" s="1"/>
  <c r="X439" i="2" s="1"/>
  <c r="Z439" i="2" s="1"/>
  <c r="N477" i="2"/>
  <c r="P477" i="2" s="1"/>
  <c r="R477" i="2" s="1"/>
  <c r="T477" i="2" s="1"/>
  <c r="V477" i="2" s="1"/>
  <c r="X477" i="2" s="1"/>
  <c r="Z477" i="2" s="1"/>
  <c r="L103" i="2"/>
  <c r="L234" i="2"/>
  <c r="L69" i="2"/>
  <c r="L70" i="2"/>
  <c r="L102" i="2"/>
  <c r="I1229" i="2"/>
  <c r="J1229" i="2" s="1"/>
  <c r="L1229" i="2" s="1"/>
  <c r="N1229" i="2" s="1"/>
  <c r="P1229" i="2" s="1"/>
  <c r="R1229" i="2" s="1"/>
  <c r="T1229" i="2" s="1"/>
  <c r="V1229" i="2" s="1"/>
  <c r="X1229" i="2" s="1"/>
  <c r="K1083" i="2"/>
  <c r="K16" i="2"/>
  <c r="K1294" i="2"/>
  <c r="K347" i="2"/>
  <c r="K1239" i="2"/>
  <c r="K413" i="2"/>
  <c r="J1230" i="2"/>
  <c r="J101" i="2"/>
  <c r="L101" i="2" s="1"/>
  <c r="N101" i="2" s="1"/>
  <c r="P101" i="2" s="1"/>
  <c r="R101" i="2" s="1"/>
  <c r="T101" i="2" s="1"/>
  <c r="V101" i="2" s="1"/>
  <c r="X101" i="2" s="1"/>
  <c r="I592" i="2"/>
  <c r="J593" i="2"/>
  <c r="J595" i="2"/>
  <c r="I594" i="2"/>
  <c r="J594" i="2" s="1"/>
  <c r="L594" i="2" s="1"/>
  <c r="N594" i="2" s="1"/>
  <c r="P594" i="2" s="1"/>
  <c r="R594" i="2" s="1"/>
  <c r="T594" i="2" s="1"/>
  <c r="V594" i="2" s="1"/>
  <c r="X594" i="2" s="1"/>
  <c r="P836" i="2" l="1"/>
  <c r="R836" i="2" s="1"/>
  <c r="T836" i="2" s="1"/>
  <c r="V836" i="2" s="1"/>
  <c r="X836" i="2" s="1"/>
  <c r="Z836" i="2" s="1"/>
  <c r="N69" i="2"/>
  <c r="P69" i="2" s="1"/>
  <c r="R69" i="2" s="1"/>
  <c r="T69" i="2" s="1"/>
  <c r="V69" i="2" s="1"/>
  <c r="X69" i="2" s="1"/>
  <c r="Z69" i="2" s="1"/>
  <c r="N234" i="2"/>
  <c r="P234" i="2" s="1"/>
  <c r="R234" i="2" s="1"/>
  <c r="T234" i="2" s="1"/>
  <c r="V234" i="2" s="1"/>
  <c r="X234" i="2" s="1"/>
  <c r="Z234" i="2" s="1"/>
  <c r="N70" i="2"/>
  <c r="P70" i="2" s="1"/>
  <c r="R70" i="2" s="1"/>
  <c r="T70" i="2" s="1"/>
  <c r="V70" i="2" s="1"/>
  <c r="X70" i="2" s="1"/>
  <c r="Z70" i="2" s="1"/>
  <c r="N102" i="2"/>
  <c r="P102" i="2" s="1"/>
  <c r="R102" i="2" s="1"/>
  <c r="T102" i="2" s="1"/>
  <c r="V102" i="2" s="1"/>
  <c r="X102" i="2" s="1"/>
  <c r="Z102" i="2" s="1"/>
  <c r="N103" i="2"/>
  <c r="P103" i="2" s="1"/>
  <c r="R103" i="2" s="1"/>
  <c r="T103" i="2" s="1"/>
  <c r="V103" i="2" s="1"/>
  <c r="X103" i="2" s="1"/>
  <c r="Z103" i="2" s="1"/>
  <c r="L595" i="2"/>
  <c r="L1230" i="2"/>
  <c r="L593" i="2"/>
  <c r="K1472" i="2"/>
  <c r="I590" i="2"/>
  <c r="K1471" i="2"/>
  <c r="J592" i="2"/>
  <c r="L592" i="2" s="1"/>
  <c r="N592" i="2" s="1"/>
  <c r="P592" i="2" s="1"/>
  <c r="R592" i="2" s="1"/>
  <c r="T592" i="2" s="1"/>
  <c r="V592" i="2" s="1"/>
  <c r="X592" i="2" s="1"/>
  <c r="J323" i="2"/>
  <c r="I322" i="2"/>
  <c r="J322" i="2" s="1"/>
  <c r="L322" i="2" s="1"/>
  <c r="N322" i="2" s="1"/>
  <c r="P322" i="2" s="1"/>
  <c r="R322" i="2" s="1"/>
  <c r="T322" i="2" s="1"/>
  <c r="V322" i="2" s="1"/>
  <c r="X322" i="2" s="1"/>
  <c r="J188" i="2"/>
  <c r="I187" i="2"/>
  <c r="J187" i="2" s="1"/>
  <c r="L187" i="2" s="1"/>
  <c r="N187" i="2" s="1"/>
  <c r="P187" i="2" s="1"/>
  <c r="R187" i="2" s="1"/>
  <c r="T187" i="2" s="1"/>
  <c r="V187" i="2" s="1"/>
  <c r="X187" i="2" s="1"/>
  <c r="P835" i="2" l="1"/>
  <c r="R835" i="2" s="1"/>
  <c r="T835" i="2" s="1"/>
  <c r="V835" i="2" s="1"/>
  <c r="X835" i="2" s="1"/>
  <c r="N595" i="2"/>
  <c r="P595" i="2" s="1"/>
  <c r="R595" i="2" s="1"/>
  <c r="T595" i="2" s="1"/>
  <c r="V595" i="2" s="1"/>
  <c r="X595" i="2" s="1"/>
  <c r="Z595" i="2" s="1"/>
  <c r="N1230" i="2"/>
  <c r="P1230" i="2" s="1"/>
  <c r="R1230" i="2" s="1"/>
  <c r="T1230" i="2" s="1"/>
  <c r="V1230" i="2" s="1"/>
  <c r="X1230" i="2" s="1"/>
  <c r="Z1230" i="2" s="1"/>
  <c r="N593" i="2"/>
  <c r="P593" i="2" s="1"/>
  <c r="R593" i="2" s="1"/>
  <c r="T593" i="2" s="1"/>
  <c r="V593" i="2" s="1"/>
  <c r="X593" i="2" s="1"/>
  <c r="Z593" i="2" s="1"/>
  <c r="L323" i="2"/>
  <c r="L188" i="2"/>
  <c r="J590" i="2"/>
  <c r="L590" i="2" s="1"/>
  <c r="N590" i="2" s="1"/>
  <c r="P590" i="2" s="1"/>
  <c r="R590" i="2" s="1"/>
  <c r="T590" i="2" s="1"/>
  <c r="V590" i="2" s="1"/>
  <c r="X590" i="2" s="1"/>
  <c r="I472" i="2"/>
  <c r="I469" i="2" s="1"/>
  <c r="J226" i="2"/>
  <c r="J227" i="2"/>
  <c r="I225" i="2"/>
  <c r="J225" i="2" s="1"/>
  <c r="L225" i="2" s="1"/>
  <c r="N225" i="2" s="1"/>
  <c r="P225" i="2" s="1"/>
  <c r="R225" i="2" s="1"/>
  <c r="T225" i="2" s="1"/>
  <c r="V225" i="2" s="1"/>
  <c r="X225" i="2" s="1"/>
  <c r="J230" i="2"/>
  <c r="I229" i="2"/>
  <c r="J229" i="2" s="1"/>
  <c r="L229" i="2" s="1"/>
  <c r="N229" i="2" s="1"/>
  <c r="P229" i="2" s="1"/>
  <c r="R229" i="2" s="1"/>
  <c r="T229" i="2" s="1"/>
  <c r="V229" i="2" s="1"/>
  <c r="X229" i="2" s="1"/>
  <c r="P834" i="2" l="1"/>
  <c r="R834" i="2" s="1"/>
  <c r="T834" i="2" s="1"/>
  <c r="V834" i="2" s="1"/>
  <c r="X834" i="2" s="1"/>
  <c r="Z834" i="2" s="1"/>
  <c r="N323" i="2"/>
  <c r="P323" i="2" s="1"/>
  <c r="R323" i="2" s="1"/>
  <c r="T323" i="2" s="1"/>
  <c r="V323" i="2" s="1"/>
  <c r="X323" i="2" s="1"/>
  <c r="Z323" i="2" s="1"/>
  <c r="N188" i="2"/>
  <c r="P188" i="2" s="1"/>
  <c r="R188" i="2" s="1"/>
  <c r="T188" i="2" s="1"/>
  <c r="V188" i="2" s="1"/>
  <c r="X188" i="2" s="1"/>
  <c r="Z188" i="2" s="1"/>
  <c r="L226" i="2"/>
  <c r="L230" i="2"/>
  <c r="L227" i="2"/>
  <c r="J142" i="2"/>
  <c r="J143" i="2"/>
  <c r="I141" i="2"/>
  <c r="J141" i="2" s="1"/>
  <c r="L141" i="2" s="1"/>
  <c r="N141" i="2" s="1"/>
  <c r="P141" i="2" s="1"/>
  <c r="R141" i="2" s="1"/>
  <c r="T141" i="2" s="1"/>
  <c r="V141" i="2" s="1"/>
  <c r="X141" i="2" s="1"/>
  <c r="J1130" i="2"/>
  <c r="I1129" i="2"/>
  <c r="J1129" i="2" s="1"/>
  <c r="L1129" i="2" s="1"/>
  <c r="N1129" i="2" s="1"/>
  <c r="P1129" i="2" s="1"/>
  <c r="R1129" i="2" s="1"/>
  <c r="T1129" i="2" s="1"/>
  <c r="V1129" i="2" s="1"/>
  <c r="X1129" i="2" s="1"/>
  <c r="I389" i="2"/>
  <c r="J390" i="2"/>
  <c r="P833" i="2" l="1"/>
  <c r="R833" i="2" s="1"/>
  <c r="T833" i="2" s="1"/>
  <c r="V833" i="2" s="1"/>
  <c r="X833" i="2" s="1"/>
  <c r="N227" i="2"/>
  <c r="P227" i="2" s="1"/>
  <c r="R227" i="2" s="1"/>
  <c r="T227" i="2" s="1"/>
  <c r="V227" i="2" s="1"/>
  <c r="X227" i="2" s="1"/>
  <c r="Z227" i="2" s="1"/>
  <c r="N230" i="2"/>
  <c r="P230" i="2" s="1"/>
  <c r="R230" i="2" s="1"/>
  <c r="T230" i="2" s="1"/>
  <c r="V230" i="2" s="1"/>
  <c r="X230" i="2" s="1"/>
  <c r="Z230" i="2" s="1"/>
  <c r="N226" i="2"/>
  <c r="P226" i="2" s="1"/>
  <c r="R226" i="2" s="1"/>
  <c r="T226" i="2" s="1"/>
  <c r="V226" i="2" s="1"/>
  <c r="X226" i="2" s="1"/>
  <c r="Z226" i="2" s="1"/>
  <c r="L142" i="2"/>
  <c r="L1130" i="2"/>
  <c r="L143" i="2"/>
  <c r="L390" i="2"/>
  <c r="I1478" i="2"/>
  <c r="I1475" i="2" s="1"/>
  <c r="I1134" i="2"/>
  <c r="J1137" i="2"/>
  <c r="P832" i="2" l="1"/>
  <c r="R832" i="2" s="1"/>
  <c r="T832" i="2" s="1"/>
  <c r="V832" i="2" s="1"/>
  <c r="X832" i="2" s="1"/>
  <c r="Z832" i="2" s="1"/>
  <c r="N1130" i="2"/>
  <c r="P1130" i="2" s="1"/>
  <c r="R1130" i="2" s="1"/>
  <c r="T1130" i="2" s="1"/>
  <c r="V1130" i="2" s="1"/>
  <c r="X1130" i="2" s="1"/>
  <c r="Z1130" i="2" s="1"/>
  <c r="N142" i="2"/>
  <c r="P142" i="2" s="1"/>
  <c r="R142" i="2" s="1"/>
  <c r="T142" i="2" s="1"/>
  <c r="V142" i="2" s="1"/>
  <c r="X142" i="2" s="1"/>
  <c r="Z142" i="2" s="1"/>
  <c r="N390" i="2"/>
  <c r="P390" i="2" s="1"/>
  <c r="R390" i="2" s="1"/>
  <c r="T390" i="2" s="1"/>
  <c r="V390" i="2" s="1"/>
  <c r="X390" i="2" s="1"/>
  <c r="Z390" i="2" s="1"/>
  <c r="N143" i="2"/>
  <c r="P143" i="2" s="1"/>
  <c r="R143" i="2" s="1"/>
  <c r="T143" i="2" s="1"/>
  <c r="V143" i="2" s="1"/>
  <c r="X143" i="2" s="1"/>
  <c r="Z143" i="2" s="1"/>
  <c r="L1137" i="2"/>
  <c r="I551" i="2"/>
  <c r="I1469" i="2"/>
  <c r="I1468" i="2" s="1"/>
  <c r="I1457" i="2"/>
  <c r="I1452" i="2"/>
  <c r="I1449" i="2"/>
  <c r="I1443" i="2"/>
  <c r="I1441" i="2"/>
  <c r="I1435" i="2"/>
  <c r="I1429" i="2"/>
  <c r="I1428" i="2" s="1"/>
  <c r="I1426" i="2"/>
  <c r="I1425" i="2" s="1"/>
  <c r="I1421" i="2"/>
  <c r="I1420" i="2" s="1"/>
  <c r="I1418" i="2"/>
  <c r="I1416" i="2"/>
  <c r="I1412" i="2"/>
  <c r="I1408" i="2"/>
  <c r="I1407" i="2" s="1"/>
  <c r="I1405" i="2"/>
  <c r="I1400" i="2"/>
  <c r="I1392" i="2"/>
  <c r="I1391" i="2" s="1"/>
  <c r="I1385" i="2"/>
  <c r="I1377" i="2"/>
  <c r="I1374" i="2"/>
  <c r="I1372" i="2"/>
  <c r="I1369" i="2"/>
  <c r="I1357" i="2"/>
  <c r="I1347" i="2"/>
  <c r="I1321" i="2"/>
  <c r="I1311" i="2"/>
  <c r="I1304" i="2" s="1"/>
  <c r="I1302" i="2"/>
  <c r="I1299" i="2"/>
  <c r="I1297" i="2"/>
  <c r="I1292" i="2"/>
  <c r="I1287" i="2"/>
  <c r="I1285" i="2"/>
  <c r="I1279" i="2"/>
  <c r="I1270" i="2"/>
  <c r="I1264" i="2"/>
  <c r="I1259" i="2"/>
  <c r="I1258" i="2" s="1"/>
  <c r="I1256" i="2"/>
  <c r="I1252" i="2"/>
  <c r="I1244" i="2"/>
  <c r="I1237" i="2"/>
  <c r="I1236" i="2" s="1"/>
  <c r="I1233" i="2"/>
  <c r="I1228" i="2" s="1"/>
  <c r="I1225" i="2"/>
  <c r="I1223" i="2"/>
  <c r="I1221" i="2"/>
  <c r="I1219" i="2"/>
  <c r="I1213" i="2"/>
  <c r="I1211" i="2"/>
  <c r="I1203" i="2"/>
  <c r="I1200" i="2"/>
  <c r="I1195" i="2"/>
  <c r="I1193" i="2"/>
  <c r="I1188" i="2"/>
  <c r="I1184" i="2" s="1"/>
  <c r="I1205" i="2"/>
  <c r="I1181" i="2"/>
  <c r="I1178" i="2" s="1"/>
  <c r="I1173" i="2"/>
  <c r="I1166" i="2" s="1"/>
  <c r="I1161" i="2"/>
  <c r="I1157" i="2"/>
  <c r="I1154" i="2"/>
  <c r="I1149" i="2"/>
  <c r="I1147" i="2"/>
  <c r="I1145" i="2"/>
  <c r="I1141" i="2"/>
  <c r="I1131" i="2"/>
  <c r="I1124" i="2"/>
  <c r="I1121" i="2"/>
  <c r="I1118" i="2"/>
  <c r="I1116" i="2"/>
  <c r="I1109" i="2"/>
  <c r="I1104" i="2"/>
  <c r="I1093" i="2"/>
  <c r="I1089" i="2"/>
  <c r="I1068" i="2"/>
  <c r="I1066" i="2"/>
  <c r="I1046" i="2"/>
  <c r="I565" i="2"/>
  <c r="I563" i="2"/>
  <c r="I561" i="2"/>
  <c r="I559" i="2"/>
  <c r="I557" i="2"/>
  <c r="I555" i="2"/>
  <c r="I553" i="2"/>
  <c r="I549" i="2"/>
  <c r="I547" i="2"/>
  <c r="I545" i="2"/>
  <c r="I543" i="2"/>
  <c r="I541" i="2"/>
  <c r="I539" i="2"/>
  <c r="I537" i="2"/>
  <c r="I535" i="2"/>
  <c r="I533" i="2"/>
  <c r="I531" i="2"/>
  <c r="I529" i="2"/>
  <c r="I527" i="2"/>
  <c r="I525" i="2"/>
  <c r="I523" i="2"/>
  <c r="I521" i="2"/>
  <c r="I519" i="2"/>
  <c r="I517" i="2"/>
  <c r="I515" i="2"/>
  <c r="I513" i="2"/>
  <c r="I511" i="2"/>
  <c r="I509" i="2"/>
  <c r="I507" i="2"/>
  <c r="I505" i="2"/>
  <c r="I503" i="2"/>
  <c r="I501" i="2"/>
  <c r="I499" i="2"/>
  <c r="I497" i="2"/>
  <c r="I495" i="2"/>
  <c r="I493" i="2"/>
  <c r="I491" i="2"/>
  <c r="I489" i="2"/>
  <c r="I487" i="2"/>
  <c r="I485" i="2"/>
  <c r="I483" i="2"/>
  <c r="I481" i="2"/>
  <c r="I479" i="2"/>
  <c r="I462" i="2"/>
  <c r="I450" i="2"/>
  <c r="I442" i="2"/>
  <c r="I436" i="2"/>
  <c r="I428" i="2"/>
  <c r="I426" i="2"/>
  <c r="I420" i="2"/>
  <c r="I418" i="2"/>
  <c r="I416" i="2"/>
  <c r="I411" i="2"/>
  <c r="I410" i="2" s="1"/>
  <c r="I408" i="2"/>
  <c r="I407" i="2" s="1"/>
  <c r="I405" i="2"/>
  <c r="I404" i="2" s="1"/>
  <c r="I402" i="2"/>
  <c r="I399" i="2"/>
  <c r="I398" i="2" s="1"/>
  <c r="I396" i="2"/>
  <c r="I394" i="2"/>
  <c r="I384" i="2"/>
  <c r="I379" i="2"/>
  <c r="I377" i="2"/>
  <c r="I373" i="2"/>
  <c r="I370" i="2"/>
  <c r="I369" i="2" s="1"/>
  <c r="I366" i="2"/>
  <c r="I361" i="2"/>
  <c r="I356" i="2"/>
  <c r="I353" i="2"/>
  <c r="I352" i="2" s="1"/>
  <c r="I350" i="2"/>
  <c r="I349" i="2" s="1"/>
  <c r="I345" i="2"/>
  <c r="I342" i="2"/>
  <c r="I341" i="2" s="1"/>
  <c r="I339" i="2"/>
  <c r="I336" i="2"/>
  <c r="I334" i="2"/>
  <c r="I330" i="2"/>
  <c r="I328" i="2"/>
  <c r="I324" i="2"/>
  <c r="I320" i="2"/>
  <c r="I318" i="2"/>
  <c r="I313" i="2"/>
  <c r="I310" i="2"/>
  <c r="I303" i="2"/>
  <c r="I299" i="2"/>
  <c r="I296" i="2" s="1"/>
  <c r="I294" i="2"/>
  <c r="I293" i="2" s="1"/>
  <c r="I284" i="2"/>
  <c r="I282" i="2"/>
  <c r="I280" i="2"/>
  <c r="I277" i="2"/>
  <c r="I268" i="2"/>
  <c r="I261" i="2"/>
  <c r="I259" i="2"/>
  <c r="I255" i="2"/>
  <c r="I249" i="2"/>
  <c r="I247" i="2"/>
  <c r="I244" i="2"/>
  <c r="I242" i="2"/>
  <c r="I239" i="2"/>
  <c r="I237" i="2"/>
  <c r="I222" i="2"/>
  <c r="I220" i="2"/>
  <c r="I218" i="2"/>
  <c r="I211" i="2"/>
  <c r="I200" i="2"/>
  <c r="I197" i="2"/>
  <c r="I194" i="2"/>
  <c r="I184" i="2"/>
  <c r="I183" i="2" s="1"/>
  <c r="I177" i="2"/>
  <c r="I171" i="2"/>
  <c r="I168" i="2"/>
  <c r="I165" i="2"/>
  <c r="I162" i="2"/>
  <c r="I156" i="2"/>
  <c r="I154" i="2"/>
  <c r="I149" i="2"/>
  <c r="I139" i="2"/>
  <c r="I130" i="2"/>
  <c r="I125" i="2" s="1"/>
  <c r="I122" i="2"/>
  <c r="I119" i="2"/>
  <c r="I111" i="2"/>
  <c r="I98" i="2"/>
  <c r="I97" i="2" s="1"/>
  <c r="I96" i="2" s="1"/>
  <c r="I92" i="2"/>
  <c r="I86" i="2"/>
  <c r="I82" i="2"/>
  <c r="I80" i="2"/>
  <c r="I77" i="2"/>
  <c r="I75" i="2"/>
  <c r="I65" i="2"/>
  <c r="I64" i="2" s="1"/>
  <c r="I62" i="2"/>
  <c r="I61" i="2" s="1"/>
  <c r="I58" i="2"/>
  <c r="I56" i="2"/>
  <c r="I54" i="2"/>
  <c r="I52" i="2"/>
  <c r="I47" i="2"/>
  <c r="I44" i="2"/>
  <c r="I40" i="2"/>
  <c r="I37" i="2"/>
  <c r="I31" i="2"/>
  <c r="I24" i="2"/>
  <c r="I21" i="2"/>
  <c r="P831" i="2" l="1"/>
  <c r="R831" i="2" s="1"/>
  <c r="T831" i="2" s="1"/>
  <c r="V831" i="2" s="1"/>
  <c r="X831" i="2" s="1"/>
  <c r="N1137" i="2"/>
  <c r="P1137" i="2" s="1"/>
  <c r="R1137" i="2" s="1"/>
  <c r="T1137" i="2" s="1"/>
  <c r="V1137" i="2" s="1"/>
  <c r="X1137" i="2" s="1"/>
  <c r="Z1137" i="2" s="1"/>
  <c r="I85" i="2"/>
  <c r="I228" i="2"/>
  <c r="I72" i="2"/>
  <c r="I425" i="2"/>
  <c r="I424" i="2" s="1"/>
  <c r="I444" i="2"/>
  <c r="I1057" i="2"/>
  <c r="I292" i="2"/>
  <c r="I1192" i="2"/>
  <c r="I1263" i="2"/>
  <c r="I1314" i="2"/>
  <c r="I1251" i="2"/>
  <c r="I18" i="2"/>
  <c r="I1376" i="2"/>
  <c r="I1415" i="2"/>
  <c r="I333" i="2"/>
  <c r="I264" i="2"/>
  <c r="I376" i="2"/>
  <c r="I393" i="2"/>
  <c r="I1085" i="2"/>
  <c r="I1112" i="2"/>
  <c r="I215" i="2"/>
  <c r="I1371" i="2"/>
  <c r="I133" i="2"/>
  <c r="I302" i="2"/>
  <c r="I301" i="2" s="1"/>
  <c r="I193" i="2"/>
  <c r="I176" i="2"/>
  <c r="I27" i="2"/>
  <c r="I401" i="2"/>
  <c r="I1296" i="2"/>
  <c r="I51" i="2"/>
  <c r="I254" i="2"/>
  <c r="I344" i="2"/>
  <c r="I441" i="2"/>
  <c r="I1042" i="2"/>
  <c r="I1404" i="2"/>
  <c r="I360" i="2"/>
  <c r="I1399" i="2"/>
  <c r="I1199" i="2"/>
  <c r="I1208" i="2"/>
  <c r="I1235" i="2"/>
  <c r="I1241" i="2"/>
  <c r="I1301" i="2"/>
  <c r="I1411" i="2"/>
  <c r="I415" i="2"/>
  <c r="I107" i="2"/>
  <c r="I355" i="2"/>
  <c r="I348" i="2" s="1"/>
  <c r="I372" i="2"/>
  <c r="I1278" i="2"/>
  <c r="I1424" i="2"/>
  <c r="I1431" i="2"/>
  <c r="G1259" i="2"/>
  <c r="H1262" i="2"/>
  <c r="J1262" i="2" s="1"/>
  <c r="P830" i="2" l="1"/>
  <c r="R830" i="2" s="1"/>
  <c r="T830" i="2" s="1"/>
  <c r="V830" i="2" s="1"/>
  <c r="X830" i="2" s="1"/>
  <c r="Z830" i="2" s="1"/>
  <c r="L1262" i="2"/>
  <c r="I1041" i="2"/>
  <c r="I332" i="2"/>
  <c r="I71" i="2"/>
  <c r="I1084" i="2"/>
  <c r="I1250" i="2"/>
  <c r="I17" i="2"/>
  <c r="I106" i="2"/>
  <c r="I192" i="2"/>
  <c r="I1410" i="2"/>
  <c r="I368" i="2"/>
  <c r="I1240" i="2"/>
  <c r="I359" i="2"/>
  <c r="I1295" i="2"/>
  <c r="I414" i="2"/>
  <c r="I1207" i="2"/>
  <c r="I1398" i="2"/>
  <c r="I1403" i="2"/>
  <c r="I1227" i="2"/>
  <c r="I392" i="2"/>
  <c r="I214" i="2"/>
  <c r="H314" i="2"/>
  <c r="J314" i="2" s="1"/>
  <c r="G313" i="2"/>
  <c r="H313" i="2" s="1"/>
  <c r="J313" i="2" s="1"/>
  <c r="L313" i="2" s="1"/>
  <c r="N313" i="2" s="1"/>
  <c r="P313" i="2" s="1"/>
  <c r="R313" i="2" s="1"/>
  <c r="T313" i="2" s="1"/>
  <c r="V313" i="2" s="1"/>
  <c r="X313" i="2" s="1"/>
  <c r="P829" i="2" l="1"/>
  <c r="R829" i="2" s="1"/>
  <c r="T829" i="2" s="1"/>
  <c r="V829" i="2" s="1"/>
  <c r="X829" i="2" s="1"/>
  <c r="N1262" i="2"/>
  <c r="P1262" i="2" s="1"/>
  <c r="R1262" i="2" s="1"/>
  <c r="T1262" i="2" s="1"/>
  <c r="V1262" i="2" s="1"/>
  <c r="X1262" i="2" s="1"/>
  <c r="Z1262" i="2" s="1"/>
  <c r="L314" i="2"/>
  <c r="I347" i="2"/>
  <c r="I1083" i="2"/>
  <c r="I413" i="2"/>
  <c r="I435" i="2"/>
  <c r="I1239" i="2"/>
  <c r="I16" i="2"/>
  <c r="I1294" i="2"/>
  <c r="P828" i="2" l="1"/>
  <c r="R828" i="2" s="1"/>
  <c r="T828" i="2" s="1"/>
  <c r="V828" i="2" s="1"/>
  <c r="X828" i="2" s="1"/>
  <c r="Z828" i="2" s="1"/>
  <c r="N314" i="2"/>
  <c r="P314" i="2" s="1"/>
  <c r="R314" i="2" s="1"/>
  <c r="T314" i="2" s="1"/>
  <c r="V314" i="2" s="1"/>
  <c r="X314" i="2" s="1"/>
  <c r="Z314" i="2" s="1"/>
  <c r="I1472" i="2"/>
  <c r="I1471" i="2"/>
  <c r="H480" i="2"/>
  <c r="J480" i="2" s="1"/>
  <c r="H482" i="2"/>
  <c r="J482" i="2" s="1"/>
  <c r="H484" i="2"/>
  <c r="J484" i="2" s="1"/>
  <c r="H486" i="2"/>
  <c r="J486" i="2" s="1"/>
  <c r="H488" i="2"/>
  <c r="J488" i="2" s="1"/>
  <c r="H490" i="2"/>
  <c r="J490" i="2" s="1"/>
  <c r="H492" i="2"/>
  <c r="J492" i="2" s="1"/>
  <c r="H494" i="2"/>
  <c r="J494" i="2" s="1"/>
  <c r="H496" i="2"/>
  <c r="J496" i="2" s="1"/>
  <c r="H498" i="2"/>
  <c r="J498" i="2" s="1"/>
  <c r="H500" i="2"/>
  <c r="J500" i="2" s="1"/>
  <c r="H502" i="2"/>
  <c r="J502" i="2" s="1"/>
  <c r="H504" i="2"/>
  <c r="J504" i="2" s="1"/>
  <c r="H506" i="2"/>
  <c r="J506" i="2" s="1"/>
  <c r="H508" i="2"/>
  <c r="J508" i="2" s="1"/>
  <c r="H510" i="2"/>
  <c r="J510" i="2" s="1"/>
  <c r="H512" i="2"/>
  <c r="J512" i="2" s="1"/>
  <c r="H514" i="2"/>
  <c r="J514" i="2" s="1"/>
  <c r="H516" i="2"/>
  <c r="J516" i="2" s="1"/>
  <c r="H518" i="2"/>
  <c r="J518" i="2" s="1"/>
  <c r="H520" i="2"/>
  <c r="J520" i="2" s="1"/>
  <c r="H522" i="2"/>
  <c r="J522" i="2" s="1"/>
  <c r="H524" i="2"/>
  <c r="J524" i="2" s="1"/>
  <c r="H526" i="2"/>
  <c r="J526" i="2" s="1"/>
  <c r="H528" i="2"/>
  <c r="J528" i="2" s="1"/>
  <c r="H530" i="2"/>
  <c r="J530" i="2" s="1"/>
  <c r="H532" i="2"/>
  <c r="J532" i="2" s="1"/>
  <c r="H534" i="2"/>
  <c r="J534" i="2" s="1"/>
  <c r="H536" i="2"/>
  <c r="J536" i="2" s="1"/>
  <c r="H538" i="2"/>
  <c r="J538" i="2" s="1"/>
  <c r="H540" i="2"/>
  <c r="J540" i="2" s="1"/>
  <c r="H542" i="2"/>
  <c r="J542" i="2" s="1"/>
  <c r="H544" i="2"/>
  <c r="J544" i="2" s="1"/>
  <c r="H546" i="2"/>
  <c r="J546" i="2" s="1"/>
  <c r="H548" i="2"/>
  <c r="J548" i="2" s="1"/>
  <c r="H550" i="2"/>
  <c r="J550" i="2" s="1"/>
  <c r="H552" i="2"/>
  <c r="J552" i="2" s="1"/>
  <c r="H554" i="2"/>
  <c r="J554" i="2" s="1"/>
  <c r="H556" i="2"/>
  <c r="J556" i="2" s="1"/>
  <c r="H558" i="2"/>
  <c r="J558" i="2" s="1"/>
  <c r="H560" i="2"/>
  <c r="J560" i="2" s="1"/>
  <c r="H562" i="2"/>
  <c r="J562" i="2" s="1"/>
  <c r="H564" i="2"/>
  <c r="J564" i="2" s="1"/>
  <c r="H566" i="2"/>
  <c r="J566" i="2" s="1"/>
  <c r="G479" i="2"/>
  <c r="G481" i="2"/>
  <c r="H481" i="2" s="1"/>
  <c r="J481" i="2" s="1"/>
  <c r="L481" i="2" s="1"/>
  <c r="N481" i="2" s="1"/>
  <c r="P481" i="2" s="1"/>
  <c r="R481" i="2" s="1"/>
  <c r="T481" i="2" s="1"/>
  <c r="V481" i="2" s="1"/>
  <c r="X481" i="2" s="1"/>
  <c r="G483" i="2"/>
  <c r="H483" i="2" s="1"/>
  <c r="J483" i="2" s="1"/>
  <c r="L483" i="2" s="1"/>
  <c r="N483" i="2" s="1"/>
  <c r="P483" i="2" s="1"/>
  <c r="R483" i="2" s="1"/>
  <c r="T483" i="2" s="1"/>
  <c r="V483" i="2" s="1"/>
  <c r="X483" i="2" s="1"/>
  <c r="G485" i="2"/>
  <c r="H485" i="2" s="1"/>
  <c r="J485" i="2" s="1"/>
  <c r="L485" i="2" s="1"/>
  <c r="N485" i="2" s="1"/>
  <c r="P485" i="2" s="1"/>
  <c r="R485" i="2" s="1"/>
  <c r="T485" i="2" s="1"/>
  <c r="V485" i="2" s="1"/>
  <c r="X485" i="2" s="1"/>
  <c r="G487" i="2"/>
  <c r="H487" i="2" s="1"/>
  <c r="J487" i="2" s="1"/>
  <c r="L487" i="2" s="1"/>
  <c r="N487" i="2" s="1"/>
  <c r="P487" i="2" s="1"/>
  <c r="R487" i="2" s="1"/>
  <c r="T487" i="2" s="1"/>
  <c r="V487" i="2" s="1"/>
  <c r="X487" i="2" s="1"/>
  <c r="G489" i="2"/>
  <c r="H489" i="2" s="1"/>
  <c r="J489" i="2" s="1"/>
  <c r="L489" i="2" s="1"/>
  <c r="N489" i="2" s="1"/>
  <c r="P489" i="2" s="1"/>
  <c r="R489" i="2" s="1"/>
  <c r="T489" i="2" s="1"/>
  <c r="V489" i="2" s="1"/>
  <c r="X489" i="2" s="1"/>
  <c r="G491" i="2"/>
  <c r="H491" i="2" s="1"/>
  <c r="J491" i="2" s="1"/>
  <c r="L491" i="2" s="1"/>
  <c r="N491" i="2" s="1"/>
  <c r="P491" i="2" s="1"/>
  <c r="R491" i="2" s="1"/>
  <c r="T491" i="2" s="1"/>
  <c r="V491" i="2" s="1"/>
  <c r="X491" i="2" s="1"/>
  <c r="G493" i="2"/>
  <c r="H493" i="2" s="1"/>
  <c r="J493" i="2" s="1"/>
  <c r="L493" i="2" s="1"/>
  <c r="N493" i="2" s="1"/>
  <c r="P493" i="2" s="1"/>
  <c r="R493" i="2" s="1"/>
  <c r="T493" i="2" s="1"/>
  <c r="V493" i="2" s="1"/>
  <c r="X493" i="2" s="1"/>
  <c r="G495" i="2"/>
  <c r="H495" i="2" s="1"/>
  <c r="J495" i="2" s="1"/>
  <c r="L495" i="2" s="1"/>
  <c r="N495" i="2" s="1"/>
  <c r="P495" i="2" s="1"/>
  <c r="R495" i="2" s="1"/>
  <c r="T495" i="2" s="1"/>
  <c r="V495" i="2" s="1"/>
  <c r="X495" i="2" s="1"/>
  <c r="G497" i="2"/>
  <c r="H497" i="2" s="1"/>
  <c r="J497" i="2" s="1"/>
  <c r="L497" i="2" s="1"/>
  <c r="N497" i="2" s="1"/>
  <c r="P497" i="2" s="1"/>
  <c r="R497" i="2" s="1"/>
  <c r="T497" i="2" s="1"/>
  <c r="V497" i="2" s="1"/>
  <c r="X497" i="2" s="1"/>
  <c r="G499" i="2"/>
  <c r="H499" i="2" s="1"/>
  <c r="J499" i="2" s="1"/>
  <c r="L499" i="2" s="1"/>
  <c r="N499" i="2" s="1"/>
  <c r="P499" i="2" s="1"/>
  <c r="R499" i="2" s="1"/>
  <c r="T499" i="2" s="1"/>
  <c r="V499" i="2" s="1"/>
  <c r="X499" i="2" s="1"/>
  <c r="G501" i="2"/>
  <c r="H501" i="2" s="1"/>
  <c r="J501" i="2" s="1"/>
  <c r="L501" i="2" s="1"/>
  <c r="N501" i="2" s="1"/>
  <c r="P501" i="2" s="1"/>
  <c r="R501" i="2" s="1"/>
  <c r="T501" i="2" s="1"/>
  <c r="V501" i="2" s="1"/>
  <c r="X501" i="2" s="1"/>
  <c r="G503" i="2"/>
  <c r="H503" i="2" s="1"/>
  <c r="J503" i="2" s="1"/>
  <c r="L503" i="2" s="1"/>
  <c r="N503" i="2" s="1"/>
  <c r="P503" i="2" s="1"/>
  <c r="R503" i="2" s="1"/>
  <c r="T503" i="2" s="1"/>
  <c r="V503" i="2" s="1"/>
  <c r="X503" i="2" s="1"/>
  <c r="G505" i="2"/>
  <c r="H505" i="2" s="1"/>
  <c r="J505" i="2" s="1"/>
  <c r="L505" i="2" s="1"/>
  <c r="N505" i="2" s="1"/>
  <c r="P505" i="2" s="1"/>
  <c r="R505" i="2" s="1"/>
  <c r="T505" i="2" s="1"/>
  <c r="V505" i="2" s="1"/>
  <c r="X505" i="2" s="1"/>
  <c r="G507" i="2"/>
  <c r="H507" i="2" s="1"/>
  <c r="J507" i="2" s="1"/>
  <c r="L507" i="2" s="1"/>
  <c r="N507" i="2" s="1"/>
  <c r="P507" i="2" s="1"/>
  <c r="R507" i="2" s="1"/>
  <c r="T507" i="2" s="1"/>
  <c r="V507" i="2" s="1"/>
  <c r="X507" i="2" s="1"/>
  <c r="G509" i="2"/>
  <c r="H509" i="2" s="1"/>
  <c r="J509" i="2" s="1"/>
  <c r="L509" i="2" s="1"/>
  <c r="N509" i="2" s="1"/>
  <c r="P509" i="2" s="1"/>
  <c r="R509" i="2" s="1"/>
  <c r="T509" i="2" s="1"/>
  <c r="V509" i="2" s="1"/>
  <c r="X509" i="2" s="1"/>
  <c r="G511" i="2"/>
  <c r="H511" i="2" s="1"/>
  <c r="J511" i="2" s="1"/>
  <c r="L511" i="2" s="1"/>
  <c r="N511" i="2" s="1"/>
  <c r="P511" i="2" s="1"/>
  <c r="R511" i="2" s="1"/>
  <c r="T511" i="2" s="1"/>
  <c r="V511" i="2" s="1"/>
  <c r="X511" i="2" s="1"/>
  <c r="G513" i="2"/>
  <c r="H513" i="2" s="1"/>
  <c r="J513" i="2" s="1"/>
  <c r="L513" i="2" s="1"/>
  <c r="N513" i="2" s="1"/>
  <c r="P513" i="2" s="1"/>
  <c r="R513" i="2" s="1"/>
  <c r="T513" i="2" s="1"/>
  <c r="V513" i="2" s="1"/>
  <c r="X513" i="2" s="1"/>
  <c r="G515" i="2"/>
  <c r="H515" i="2" s="1"/>
  <c r="J515" i="2" s="1"/>
  <c r="L515" i="2" s="1"/>
  <c r="N515" i="2" s="1"/>
  <c r="P515" i="2" s="1"/>
  <c r="R515" i="2" s="1"/>
  <c r="T515" i="2" s="1"/>
  <c r="V515" i="2" s="1"/>
  <c r="X515" i="2" s="1"/>
  <c r="G517" i="2"/>
  <c r="H517" i="2" s="1"/>
  <c r="J517" i="2" s="1"/>
  <c r="L517" i="2" s="1"/>
  <c r="N517" i="2" s="1"/>
  <c r="P517" i="2" s="1"/>
  <c r="R517" i="2" s="1"/>
  <c r="T517" i="2" s="1"/>
  <c r="V517" i="2" s="1"/>
  <c r="X517" i="2" s="1"/>
  <c r="G519" i="2"/>
  <c r="H519" i="2" s="1"/>
  <c r="J519" i="2" s="1"/>
  <c r="L519" i="2" s="1"/>
  <c r="N519" i="2" s="1"/>
  <c r="P519" i="2" s="1"/>
  <c r="R519" i="2" s="1"/>
  <c r="T519" i="2" s="1"/>
  <c r="V519" i="2" s="1"/>
  <c r="X519" i="2" s="1"/>
  <c r="G521" i="2"/>
  <c r="H521" i="2" s="1"/>
  <c r="J521" i="2" s="1"/>
  <c r="L521" i="2" s="1"/>
  <c r="N521" i="2" s="1"/>
  <c r="P521" i="2" s="1"/>
  <c r="R521" i="2" s="1"/>
  <c r="T521" i="2" s="1"/>
  <c r="V521" i="2" s="1"/>
  <c r="X521" i="2" s="1"/>
  <c r="G523" i="2"/>
  <c r="H523" i="2" s="1"/>
  <c r="J523" i="2" s="1"/>
  <c r="L523" i="2" s="1"/>
  <c r="N523" i="2" s="1"/>
  <c r="P523" i="2" s="1"/>
  <c r="R523" i="2" s="1"/>
  <c r="T523" i="2" s="1"/>
  <c r="V523" i="2" s="1"/>
  <c r="X523" i="2" s="1"/>
  <c r="G525" i="2"/>
  <c r="H525" i="2" s="1"/>
  <c r="J525" i="2" s="1"/>
  <c r="L525" i="2" s="1"/>
  <c r="N525" i="2" s="1"/>
  <c r="P525" i="2" s="1"/>
  <c r="R525" i="2" s="1"/>
  <c r="T525" i="2" s="1"/>
  <c r="V525" i="2" s="1"/>
  <c r="X525" i="2" s="1"/>
  <c r="G527" i="2"/>
  <c r="H527" i="2" s="1"/>
  <c r="J527" i="2" s="1"/>
  <c r="L527" i="2" s="1"/>
  <c r="N527" i="2" s="1"/>
  <c r="P527" i="2" s="1"/>
  <c r="R527" i="2" s="1"/>
  <c r="T527" i="2" s="1"/>
  <c r="V527" i="2" s="1"/>
  <c r="X527" i="2" s="1"/>
  <c r="G529" i="2"/>
  <c r="H529" i="2" s="1"/>
  <c r="J529" i="2" s="1"/>
  <c r="L529" i="2" s="1"/>
  <c r="N529" i="2" s="1"/>
  <c r="P529" i="2" s="1"/>
  <c r="R529" i="2" s="1"/>
  <c r="T529" i="2" s="1"/>
  <c r="V529" i="2" s="1"/>
  <c r="X529" i="2" s="1"/>
  <c r="G531" i="2"/>
  <c r="H531" i="2" s="1"/>
  <c r="J531" i="2" s="1"/>
  <c r="L531" i="2" s="1"/>
  <c r="N531" i="2" s="1"/>
  <c r="P531" i="2" s="1"/>
  <c r="R531" i="2" s="1"/>
  <c r="T531" i="2" s="1"/>
  <c r="V531" i="2" s="1"/>
  <c r="X531" i="2" s="1"/>
  <c r="G533" i="2"/>
  <c r="H533" i="2" s="1"/>
  <c r="J533" i="2" s="1"/>
  <c r="L533" i="2" s="1"/>
  <c r="N533" i="2" s="1"/>
  <c r="P533" i="2" s="1"/>
  <c r="R533" i="2" s="1"/>
  <c r="T533" i="2" s="1"/>
  <c r="V533" i="2" s="1"/>
  <c r="X533" i="2" s="1"/>
  <c r="G535" i="2"/>
  <c r="H535" i="2" s="1"/>
  <c r="J535" i="2" s="1"/>
  <c r="L535" i="2" s="1"/>
  <c r="N535" i="2" s="1"/>
  <c r="P535" i="2" s="1"/>
  <c r="R535" i="2" s="1"/>
  <c r="T535" i="2" s="1"/>
  <c r="V535" i="2" s="1"/>
  <c r="X535" i="2" s="1"/>
  <c r="G537" i="2"/>
  <c r="H537" i="2" s="1"/>
  <c r="J537" i="2" s="1"/>
  <c r="L537" i="2" s="1"/>
  <c r="N537" i="2" s="1"/>
  <c r="P537" i="2" s="1"/>
  <c r="R537" i="2" s="1"/>
  <c r="T537" i="2" s="1"/>
  <c r="V537" i="2" s="1"/>
  <c r="X537" i="2" s="1"/>
  <c r="G539" i="2"/>
  <c r="H539" i="2" s="1"/>
  <c r="J539" i="2" s="1"/>
  <c r="L539" i="2" s="1"/>
  <c r="N539" i="2" s="1"/>
  <c r="P539" i="2" s="1"/>
  <c r="R539" i="2" s="1"/>
  <c r="T539" i="2" s="1"/>
  <c r="V539" i="2" s="1"/>
  <c r="X539" i="2" s="1"/>
  <c r="G541" i="2"/>
  <c r="H541" i="2" s="1"/>
  <c r="J541" i="2" s="1"/>
  <c r="L541" i="2" s="1"/>
  <c r="N541" i="2" s="1"/>
  <c r="P541" i="2" s="1"/>
  <c r="R541" i="2" s="1"/>
  <c r="T541" i="2" s="1"/>
  <c r="V541" i="2" s="1"/>
  <c r="X541" i="2" s="1"/>
  <c r="G543" i="2"/>
  <c r="H543" i="2" s="1"/>
  <c r="J543" i="2" s="1"/>
  <c r="L543" i="2" s="1"/>
  <c r="N543" i="2" s="1"/>
  <c r="P543" i="2" s="1"/>
  <c r="R543" i="2" s="1"/>
  <c r="T543" i="2" s="1"/>
  <c r="V543" i="2" s="1"/>
  <c r="X543" i="2" s="1"/>
  <c r="G545" i="2"/>
  <c r="H545" i="2" s="1"/>
  <c r="J545" i="2" s="1"/>
  <c r="L545" i="2" s="1"/>
  <c r="N545" i="2" s="1"/>
  <c r="P545" i="2" s="1"/>
  <c r="R545" i="2" s="1"/>
  <c r="T545" i="2" s="1"/>
  <c r="V545" i="2" s="1"/>
  <c r="X545" i="2" s="1"/>
  <c r="G547" i="2"/>
  <c r="H547" i="2" s="1"/>
  <c r="J547" i="2" s="1"/>
  <c r="L547" i="2" s="1"/>
  <c r="N547" i="2" s="1"/>
  <c r="P547" i="2" s="1"/>
  <c r="R547" i="2" s="1"/>
  <c r="T547" i="2" s="1"/>
  <c r="V547" i="2" s="1"/>
  <c r="X547" i="2" s="1"/>
  <c r="G549" i="2"/>
  <c r="H549" i="2" s="1"/>
  <c r="J549" i="2" s="1"/>
  <c r="L549" i="2" s="1"/>
  <c r="N549" i="2" s="1"/>
  <c r="P549" i="2" s="1"/>
  <c r="R549" i="2" s="1"/>
  <c r="T549" i="2" s="1"/>
  <c r="V549" i="2" s="1"/>
  <c r="X549" i="2" s="1"/>
  <c r="G551" i="2"/>
  <c r="H551" i="2" s="1"/>
  <c r="J551" i="2" s="1"/>
  <c r="L551" i="2" s="1"/>
  <c r="N551" i="2" s="1"/>
  <c r="P551" i="2" s="1"/>
  <c r="R551" i="2" s="1"/>
  <c r="T551" i="2" s="1"/>
  <c r="V551" i="2" s="1"/>
  <c r="X551" i="2" s="1"/>
  <c r="G553" i="2"/>
  <c r="H553" i="2" s="1"/>
  <c r="J553" i="2" s="1"/>
  <c r="L553" i="2" s="1"/>
  <c r="N553" i="2" s="1"/>
  <c r="P553" i="2" s="1"/>
  <c r="R553" i="2" s="1"/>
  <c r="T553" i="2" s="1"/>
  <c r="V553" i="2" s="1"/>
  <c r="X553" i="2" s="1"/>
  <c r="G555" i="2"/>
  <c r="H555" i="2" s="1"/>
  <c r="J555" i="2" s="1"/>
  <c r="L555" i="2" s="1"/>
  <c r="N555" i="2" s="1"/>
  <c r="P555" i="2" s="1"/>
  <c r="R555" i="2" s="1"/>
  <c r="T555" i="2" s="1"/>
  <c r="V555" i="2" s="1"/>
  <c r="X555" i="2" s="1"/>
  <c r="G557" i="2"/>
  <c r="H557" i="2" s="1"/>
  <c r="J557" i="2" s="1"/>
  <c r="L557" i="2" s="1"/>
  <c r="N557" i="2" s="1"/>
  <c r="P557" i="2" s="1"/>
  <c r="R557" i="2" s="1"/>
  <c r="T557" i="2" s="1"/>
  <c r="V557" i="2" s="1"/>
  <c r="X557" i="2" s="1"/>
  <c r="G559" i="2"/>
  <c r="H559" i="2" s="1"/>
  <c r="J559" i="2" s="1"/>
  <c r="L559" i="2" s="1"/>
  <c r="N559" i="2" s="1"/>
  <c r="P559" i="2" s="1"/>
  <c r="R559" i="2" s="1"/>
  <c r="T559" i="2" s="1"/>
  <c r="V559" i="2" s="1"/>
  <c r="X559" i="2" s="1"/>
  <c r="G561" i="2"/>
  <c r="H561" i="2" s="1"/>
  <c r="J561" i="2" s="1"/>
  <c r="L561" i="2" s="1"/>
  <c r="N561" i="2" s="1"/>
  <c r="P561" i="2" s="1"/>
  <c r="R561" i="2" s="1"/>
  <c r="T561" i="2" s="1"/>
  <c r="V561" i="2" s="1"/>
  <c r="X561" i="2" s="1"/>
  <c r="G563" i="2"/>
  <c r="H563" i="2" s="1"/>
  <c r="J563" i="2" s="1"/>
  <c r="L563" i="2" s="1"/>
  <c r="N563" i="2" s="1"/>
  <c r="P563" i="2" s="1"/>
  <c r="R563" i="2" s="1"/>
  <c r="T563" i="2" s="1"/>
  <c r="V563" i="2" s="1"/>
  <c r="X563" i="2" s="1"/>
  <c r="G565" i="2"/>
  <c r="H565" i="2" s="1"/>
  <c r="J565" i="2" s="1"/>
  <c r="L565" i="2" s="1"/>
  <c r="N565" i="2" s="1"/>
  <c r="P565" i="2" s="1"/>
  <c r="R565" i="2" s="1"/>
  <c r="T565" i="2" s="1"/>
  <c r="V565" i="2" s="1"/>
  <c r="X565" i="2" s="1"/>
  <c r="P827" i="2" l="1"/>
  <c r="R827" i="2" s="1"/>
  <c r="T827" i="2" s="1"/>
  <c r="V827" i="2" s="1"/>
  <c r="X827" i="2" s="1"/>
  <c r="L562" i="2"/>
  <c r="L546" i="2"/>
  <c r="L538" i="2"/>
  <c r="L530" i="2"/>
  <c r="L522" i="2"/>
  <c r="L514" i="2"/>
  <c r="L506" i="2"/>
  <c r="L498" i="2"/>
  <c r="L490" i="2"/>
  <c r="L482" i="2"/>
  <c r="L560" i="2"/>
  <c r="L552" i="2"/>
  <c r="L544" i="2"/>
  <c r="L536" i="2"/>
  <c r="L528" i="2"/>
  <c r="L520" i="2"/>
  <c r="L512" i="2"/>
  <c r="L504" i="2"/>
  <c r="L496" i="2"/>
  <c r="L488" i="2"/>
  <c r="L480" i="2"/>
  <c r="L554" i="2"/>
  <c r="L566" i="2"/>
  <c r="L558" i="2"/>
  <c r="L550" i="2"/>
  <c r="L542" i="2"/>
  <c r="L534" i="2"/>
  <c r="L526" i="2"/>
  <c r="L518" i="2"/>
  <c r="L510" i="2"/>
  <c r="L502" i="2"/>
  <c r="L494" i="2"/>
  <c r="L486" i="2"/>
  <c r="L564" i="2"/>
  <c r="L556" i="2"/>
  <c r="L548" i="2"/>
  <c r="L540" i="2"/>
  <c r="L532" i="2"/>
  <c r="L524" i="2"/>
  <c r="L516" i="2"/>
  <c r="L508" i="2"/>
  <c r="L500" i="2"/>
  <c r="L492" i="2"/>
  <c r="L484" i="2"/>
  <c r="G475" i="2"/>
  <c r="H475" i="2" s="1"/>
  <c r="H479" i="2"/>
  <c r="J479" i="2" s="1"/>
  <c r="L479" i="2" s="1"/>
  <c r="N479" i="2" s="1"/>
  <c r="P479" i="2" s="1"/>
  <c r="R479" i="2" s="1"/>
  <c r="T479" i="2" s="1"/>
  <c r="V479" i="2" s="1"/>
  <c r="X479" i="2" s="1"/>
  <c r="G387" i="2"/>
  <c r="G1477" i="2" s="1"/>
  <c r="P826" i="2" l="1"/>
  <c r="R826" i="2" s="1"/>
  <c r="T826" i="2" s="1"/>
  <c r="V826" i="2" s="1"/>
  <c r="X826" i="2" s="1"/>
  <c r="Z826" i="2" s="1"/>
  <c r="N516" i="2"/>
  <c r="P516" i="2" s="1"/>
  <c r="R516" i="2" s="1"/>
  <c r="T516" i="2" s="1"/>
  <c r="V516" i="2" s="1"/>
  <c r="X516" i="2" s="1"/>
  <c r="Z516" i="2" s="1"/>
  <c r="N492" i="2"/>
  <c r="P492" i="2" s="1"/>
  <c r="R492" i="2" s="1"/>
  <c r="T492" i="2" s="1"/>
  <c r="V492" i="2" s="1"/>
  <c r="X492" i="2" s="1"/>
  <c r="Z492" i="2" s="1"/>
  <c r="N524" i="2"/>
  <c r="P524" i="2" s="1"/>
  <c r="R524" i="2" s="1"/>
  <c r="T524" i="2" s="1"/>
  <c r="V524" i="2" s="1"/>
  <c r="X524" i="2" s="1"/>
  <c r="Z524" i="2" s="1"/>
  <c r="N556" i="2"/>
  <c r="P556" i="2" s="1"/>
  <c r="R556" i="2" s="1"/>
  <c r="T556" i="2" s="1"/>
  <c r="V556" i="2" s="1"/>
  <c r="X556" i="2" s="1"/>
  <c r="Z556" i="2" s="1"/>
  <c r="N502" i="2"/>
  <c r="P502" i="2" s="1"/>
  <c r="R502" i="2" s="1"/>
  <c r="T502" i="2" s="1"/>
  <c r="V502" i="2" s="1"/>
  <c r="X502" i="2" s="1"/>
  <c r="Z502" i="2" s="1"/>
  <c r="N534" i="2"/>
  <c r="P534" i="2" s="1"/>
  <c r="R534" i="2" s="1"/>
  <c r="T534" i="2" s="1"/>
  <c r="V534" i="2" s="1"/>
  <c r="X534" i="2" s="1"/>
  <c r="Z534" i="2" s="1"/>
  <c r="N566" i="2"/>
  <c r="P566" i="2" s="1"/>
  <c r="R566" i="2" s="1"/>
  <c r="T566" i="2" s="1"/>
  <c r="V566" i="2" s="1"/>
  <c r="X566" i="2" s="1"/>
  <c r="Z566" i="2" s="1"/>
  <c r="N496" i="2"/>
  <c r="P496" i="2" s="1"/>
  <c r="R496" i="2" s="1"/>
  <c r="T496" i="2" s="1"/>
  <c r="V496" i="2" s="1"/>
  <c r="X496" i="2" s="1"/>
  <c r="Z496" i="2" s="1"/>
  <c r="N528" i="2"/>
  <c r="P528" i="2" s="1"/>
  <c r="R528" i="2" s="1"/>
  <c r="T528" i="2" s="1"/>
  <c r="V528" i="2" s="1"/>
  <c r="X528" i="2" s="1"/>
  <c r="Z528" i="2" s="1"/>
  <c r="N560" i="2"/>
  <c r="P560" i="2" s="1"/>
  <c r="R560" i="2" s="1"/>
  <c r="T560" i="2" s="1"/>
  <c r="V560" i="2" s="1"/>
  <c r="X560" i="2" s="1"/>
  <c r="Z560" i="2" s="1"/>
  <c r="N506" i="2"/>
  <c r="P506" i="2" s="1"/>
  <c r="R506" i="2" s="1"/>
  <c r="T506" i="2" s="1"/>
  <c r="V506" i="2" s="1"/>
  <c r="X506" i="2" s="1"/>
  <c r="Z506" i="2" s="1"/>
  <c r="N538" i="2"/>
  <c r="P538" i="2" s="1"/>
  <c r="R538" i="2" s="1"/>
  <c r="T538" i="2" s="1"/>
  <c r="V538" i="2" s="1"/>
  <c r="X538" i="2" s="1"/>
  <c r="Z538" i="2" s="1"/>
  <c r="N484" i="2"/>
  <c r="P484" i="2" s="1"/>
  <c r="R484" i="2" s="1"/>
  <c r="T484" i="2" s="1"/>
  <c r="V484" i="2" s="1"/>
  <c r="X484" i="2" s="1"/>
  <c r="Z484" i="2" s="1"/>
  <c r="N548" i="2"/>
  <c r="P548" i="2" s="1"/>
  <c r="R548" i="2" s="1"/>
  <c r="T548" i="2" s="1"/>
  <c r="V548" i="2" s="1"/>
  <c r="X548" i="2" s="1"/>
  <c r="Z548" i="2" s="1"/>
  <c r="N494" i="2"/>
  <c r="P494" i="2" s="1"/>
  <c r="R494" i="2" s="1"/>
  <c r="T494" i="2" s="1"/>
  <c r="V494" i="2" s="1"/>
  <c r="X494" i="2" s="1"/>
  <c r="Z494" i="2" s="1"/>
  <c r="N526" i="2"/>
  <c r="P526" i="2" s="1"/>
  <c r="R526" i="2" s="1"/>
  <c r="T526" i="2" s="1"/>
  <c r="V526" i="2" s="1"/>
  <c r="X526" i="2" s="1"/>
  <c r="Z526" i="2" s="1"/>
  <c r="N558" i="2"/>
  <c r="P558" i="2" s="1"/>
  <c r="R558" i="2" s="1"/>
  <c r="T558" i="2" s="1"/>
  <c r="V558" i="2" s="1"/>
  <c r="X558" i="2" s="1"/>
  <c r="Z558" i="2" s="1"/>
  <c r="N488" i="2"/>
  <c r="P488" i="2" s="1"/>
  <c r="R488" i="2" s="1"/>
  <c r="T488" i="2" s="1"/>
  <c r="V488" i="2" s="1"/>
  <c r="X488" i="2" s="1"/>
  <c r="Z488" i="2" s="1"/>
  <c r="N520" i="2"/>
  <c r="P520" i="2" s="1"/>
  <c r="R520" i="2" s="1"/>
  <c r="T520" i="2" s="1"/>
  <c r="V520" i="2" s="1"/>
  <c r="X520" i="2" s="1"/>
  <c r="Z520" i="2" s="1"/>
  <c r="N552" i="2"/>
  <c r="P552" i="2" s="1"/>
  <c r="R552" i="2" s="1"/>
  <c r="T552" i="2" s="1"/>
  <c r="V552" i="2" s="1"/>
  <c r="X552" i="2" s="1"/>
  <c r="Z552" i="2" s="1"/>
  <c r="N498" i="2"/>
  <c r="P498" i="2" s="1"/>
  <c r="R498" i="2" s="1"/>
  <c r="T498" i="2" s="1"/>
  <c r="V498" i="2" s="1"/>
  <c r="X498" i="2" s="1"/>
  <c r="Z498" i="2" s="1"/>
  <c r="N530" i="2"/>
  <c r="P530" i="2" s="1"/>
  <c r="R530" i="2" s="1"/>
  <c r="T530" i="2" s="1"/>
  <c r="V530" i="2" s="1"/>
  <c r="X530" i="2" s="1"/>
  <c r="Z530" i="2" s="1"/>
  <c r="N500" i="2"/>
  <c r="P500" i="2" s="1"/>
  <c r="R500" i="2" s="1"/>
  <c r="T500" i="2" s="1"/>
  <c r="V500" i="2" s="1"/>
  <c r="X500" i="2" s="1"/>
  <c r="Z500" i="2" s="1"/>
  <c r="N532" i="2"/>
  <c r="P532" i="2" s="1"/>
  <c r="R532" i="2" s="1"/>
  <c r="T532" i="2" s="1"/>
  <c r="V532" i="2" s="1"/>
  <c r="X532" i="2" s="1"/>
  <c r="Z532" i="2" s="1"/>
  <c r="N564" i="2"/>
  <c r="P564" i="2" s="1"/>
  <c r="R564" i="2" s="1"/>
  <c r="T564" i="2" s="1"/>
  <c r="V564" i="2" s="1"/>
  <c r="X564" i="2" s="1"/>
  <c r="Z564" i="2" s="1"/>
  <c r="N510" i="2"/>
  <c r="P510" i="2" s="1"/>
  <c r="R510" i="2" s="1"/>
  <c r="T510" i="2" s="1"/>
  <c r="V510" i="2" s="1"/>
  <c r="X510" i="2" s="1"/>
  <c r="Z510" i="2" s="1"/>
  <c r="N542" i="2"/>
  <c r="P542" i="2" s="1"/>
  <c r="R542" i="2" s="1"/>
  <c r="T542" i="2" s="1"/>
  <c r="V542" i="2" s="1"/>
  <c r="X542" i="2" s="1"/>
  <c r="Z542" i="2" s="1"/>
  <c r="N554" i="2"/>
  <c r="P554" i="2" s="1"/>
  <c r="R554" i="2" s="1"/>
  <c r="T554" i="2" s="1"/>
  <c r="V554" i="2" s="1"/>
  <c r="X554" i="2" s="1"/>
  <c r="Z554" i="2" s="1"/>
  <c r="N504" i="2"/>
  <c r="P504" i="2" s="1"/>
  <c r="R504" i="2" s="1"/>
  <c r="T504" i="2" s="1"/>
  <c r="V504" i="2" s="1"/>
  <c r="X504" i="2" s="1"/>
  <c r="Z504" i="2" s="1"/>
  <c r="N536" i="2"/>
  <c r="P536" i="2" s="1"/>
  <c r="R536" i="2" s="1"/>
  <c r="T536" i="2" s="1"/>
  <c r="V536" i="2" s="1"/>
  <c r="X536" i="2" s="1"/>
  <c r="Z536" i="2" s="1"/>
  <c r="N482" i="2"/>
  <c r="P482" i="2" s="1"/>
  <c r="R482" i="2" s="1"/>
  <c r="T482" i="2" s="1"/>
  <c r="V482" i="2" s="1"/>
  <c r="X482" i="2" s="1"/>
  <c r="Z482" i="2" s="1"/>
  <c r="N514" i="2"/>
  <c r="P514" i="2" s="1"/>
  <c r="R514" i="2" s="1"/>
  <c r="T514" i="2" s="1"/>
  <c r="V514" i="2" s="1"/>
  <c r="X514" i="2" s="1"/>
  <c r="Z514" i="2" s="1"/>
  <c r="N546" i="2"/>
  <c r="P546" i="2" s="1"/>
  <c r="R546" i="2" s="1"/>
  <c r="T546" i="2" s="1"/>
  <c r="V546" i="2" s="1"/>
  <c r="X546" i="2" s="1"/>
  <c r="Z546" i="2" s="1"/>
  <c r="N508" i="2"/>
  <c r="P508" i="2" s="1"/>
  <c r="R508" i="2" s="1"/>
  <c r="T508" i="2" s="1"/>
  <c r="V508" i="2" s="1"/>
  <c r="X508" i="2" s="1"/>
  <c r="Z508" i="2" s="1"/>
  <c r="N540" i="2"/>
  <c r="P540" i="2" s="1"/>
  <c r="R540" i="2" s="1"/>
  <c r="T540" i="2" s="1"/>
  <c r="V540" i="2" s="1"/>
  <c r="X540" i="2" s="1"/>
  <c r="Z540" i="2" s="1"/>
  <c r="N486" i="2"/>
  <c r="P486" i="2" s="1"/>
  <c r="R486" i="2" s="1"/>
  <c r="T486" i="2" s="1"/>
  <c r="V486" i="2" s="1"/>
  <c r="X486" i="2" s="1"/>
  <c r="Z486" i="2" s="1"/>
  <c r="N518" i="2"/>
  <c r="P518" i="2" s="1"/>
  <c r="R518" i="2" s="1"/>
  <c r="T518" i="2" s="1"/>
  <c r="V518" i="2" s="1"/>
  <c r="X518" i="2" s="1"/>
  <c r="Z518" i="2" s="1"/>
  <c r="N550" i="2"/>
  <c r="P550" i="2" s="1"/>
  <c r="R550" i="2" s="1"/>
  <c r="T550" i="2" s="1"/>
  <c r="V550" i="2" s="1"/>
  <c r="X550" i="2" s="1"/>
  <c r="Z550" i="2" s="1"/>
  <c r="N480" i="2"/>
  <c r="P480" i="2" s="1"/>
  <c r="R480" i="2" s="1"/>
  <c r="T480" i="2" s="1"/>
  <c r="V480" i="2" s="1"/>
  <c r="X480" i="2" s="1"/>
  <c r="Z480" i="2" s="1"/>
  <c r="N512" i="2"/>
  <c r="P512" i="2" s="1"/>
  <c r="R512" i="2" s="1"/>
  <c r="T512" i="2" s="1"/>
  <c r="V512" i="2" s="1"/>
  <c r="X512" i="2" s="1"/>
  <c r="Z512" i="2" s="1"/>
  <c r="N544" i="2"/>
  <c r="P544" i="2" s="1"/>
  <c r="R544" i="2" s="1"/>
  <c r="T544" i="2" s="1"/>
  <c r="V544" i="2" s="1"/>
  <c r="X544" i="2" s="1"/>
  <c r="Z544" i="2" s="1"/>
  <c r="N490" i="2"/>
  <c r="P490" i="2" s="1"/>
  <c r="R490" i="2" s="1"/>
  <c r="T490" i="2" s="1"/>
  <c r="V490" i="2" s="1"/>
  <c r="X490" i="2" s="1"/>
  <c r="Z490" i="2" s="1"/>
  <c r="N522" i="2"/>
  <c r="P522" i="2" s="1"/>
  <c r="R522" i="2" s="1"/>
  <c r="T522" i="2" s="1"/>
  <c r="V522" i="2" s="1"/>
  <c r="X522" i="2" s="1"/>
  <c r="Z522" i="2" s="1"/>
  <c r="N562" i="2"/>
  <c r="P562" i="2" s="1"/>
  <c r="R562" i="2" s="1"/>
  <c r="T562" i="2" s="1"/>
  <c r="V562" i="2" s="1"/>
  <c r="X562" i="2" s="1"/>
  <c r="Z562" i="2" s="1"/>
  <c r="G473" i="2"/>
  <c r="G472" i="2" s="1"/>
  <c r="G469" i="2" s="1"/>
  <c r="J475" i="2"/>
  <c r="L475" i="2" s="1"/>
  <c r="N475" i="2" s="1"/>
  <c r="P475" i="2" s="1"/>
  <c r="R475" i="2" s="1"/>
  <c r="T475" i="2" s="1"/>
  <c r="V475" i="2" s="1"/>
  <c r="X475" i="2" s="1"/>
  <c r="G1117" i="2"/>
  <c r="G252" i="2"/>
  <c r="G1157" i="2"/>
  <c r="H1160" i="2"/>
  <c r="J1160" i="2" s="1"/>
  <c r="G200" i="2"/>
  <c r="D203" i="2"/>
  <c r="F203" i="2" s="1"/>
  <c r="H203" i="2" s="1"/>
  <c r="J203" i="2" s="1"/>
  <c r="D201" i="2"/>
  <c r="F201" i="2" s="1"/>
  <c r="H201" i="2" s="1"/>
  <c r="J201" i="2" s="1"/>
  <c r="F202" i="2"/>
  <c r="H202" i="2" s="1"/>
  <c r="J202" i="2" s="1"/>
  <c r="F204" i="2"/>
  <c r="H204" i="2" s="1"/>
  <c r="J204" i="2" s="1"/>
  <c r="H38" i="2"/>
  <c r="J38" i="2" s="1"/>
  <c r="H39" i="2"/>
  <c r="J39" i="2" s="1"/>
  <c r="G37" i="2"/>
  <c r="H37" i="2" s="1"/>
  <c r="J37" i="2" s="1"/>
  <c r="L37" i="2" s="1"/>
  <c r="N37" i="2" s="1"/>
  <c r="P37" i="2" s="1"/>
  <c r="R37" i="2" s="1"/>
  <c r="T37" i="2" s="1"/>
  <c r="V37" i="2" s="1"/>
  <c r="X37" i="2" s="1"/>
  <c r="G1183" i="2"/>
  <c r="H1120" i="2"/>
  <c r="J1120" i="2" s="1"/>
  <c r="G1118" i="2"/>
  <c r="H1118" i="2" s="1"/>
  <c r="J1118" i="2" s="1"/>
  <c r="L1118" i="2" s="1"/>
  <c r="N1118" i="2" s="1"/>
  <c r="P1118" i="2" s="1"/>
  <c r="R1118" i="2" s="1"/>
  <c r="T1118" i="2" s="1"/>
  <c r="V1118" i="2" s="1"/>
  <c r="X1118" i="2" s="1"/>
  <c r="H1226" i="2"/>
  <c r="J1226" i="2" s="1"/>
  <c r="G1225" i="2"/>
  <c r="H1225" i="2" s="1"/>
  <c r="J1225" i="2" s="1"/>
  <c r="L1225" i="2" s="1"/>
  <c r="N1225" i="2" s="1"/>
  <c r="P1225" i="2" s="1"/>
  <c r="R1225" i="2" s="1"/>
  <c r="T1225" i="2" s="1"/>
  <c r="V1225" i="2" s="1"/>
  <c r="X1225" i="2" s="1"/>
  <c r="F1185" i="2"/>
  <c r="F1186" i="2"/>
  <c r="H1186" i="2" s="1"/>
  <c r="J1186" i="2" s="1"/>
  <c r="G1185" i="2"/>
  <c r="G1392" i="2"/>
  <c r="H1397" i="2"/>
  <c r="J1397" i="2" s="1"/>
  <c r="P825" i="2" l="1"/>
  <c r="R825" i="2" s="1"/>
  <c r="T825" i="2" s="1"/>
  <c r="V825" i="2" s="1"/>
  <c r="X825" i="2" s="1"/>
  <c r="L38" i="2"/>
  <c r="L204" i="2"/>
  <c r="L202" i="2"/>
  <c r="L1160" i="2"/>
  <c r="L1397" i="2"/>
  <c r="L1120" i="2"/>
  <c r="L203" i="2"/>
  <c r="L1226" i="2"/>
  <c r="L1186" i="2"/>
  <c r="L39" i="2"/>
  <c r="L201" i="2"/>
  <c r="G1475" i="2"/>
  <c r="D200" i="2"/>
  <c r="H1185" i="2"/>
  <c r="J1185" i="2" s="1"/>
  <c r="L1185" i="2" s="1"/>
  <c r="N1185" i="2" s="1"/>
  <c r="P1185" i="2" s="1"/>
  <c r="R1185" i="2" s="1"/>
  <c r="T1185" i="2" s="1"/>
  <c r="V1185" i="2" s="1"/>
  <c r="X1185" i="2" s="1"/>
  <c r="G1469" i="2"/>
  <c r="G1457" i="2"/>
  <c r="G1452" i="2"/>
  <c r="G1449" i="2"/>
  <c r="G1443" i="2"/>
  <c r="G1441" i="2"/>
  <c r="G1435" i="2"/>
  <c r="G1429" i="2"/>
  <c r="G1426" i="2"/>
  <c r="G1425" i="2" s="1"/>
  <c r="G1421" i="2"/>
  <c r="G1418" i="2"/>
  <c r="G1416" i="2"/>
  <c r="G1412" i="2"/>
  <c r="G1411" i="2" s="1"/>
  <c r="G1408" i="2"/>
  <c r="G1407" i="2" s="1"/>
  <c r="G1405" i="2"/>
  <c r="G1404" i="2" s="1"/>
  <c r="G1400" i="2"/>
  <c r="G1399" i="2" s="1"/>
  <c r="G1387" i="2"/>
  <c r="G1385" i="2"/>
  <c r="G1377" i="2"/>
  <c r="G1374" i="2"/>
  <c r="G1372" i="2"/>
  <c r="G1369" i="2"/>
  <c r="G1357" i="2"/>
  <c r="G1347" i="2"/>
  <c r="G1332" i="2"/>
  <c r="G1321" i="2"/>
  <c r="G1311" i="2"/>
  <c r="G1304" i="2" s="1"/>
  <c r="G1302" i="2"/>
  <c r="G1301" i="2" s="1"/>
  <c r="G1299" i="2"/>
  <c r="G1297" i="2"/>
  <c r="G1292" i="2"/>
  <c r="G1289" i="2"/>
  <c r="G1287" i="2"/>
  <c r="G1285" i="2"/>
  <c r="G1279" i="2"/>
  <c r="G1270" i="2"/>
  <c r="G1264" i="2"/>
  <c r="G1258" i="2"/>
  <c r="G1256" i="2"/>
  <c r="G1252" i="2"/>
  <c r="G1244" i="2"/>
  <c r="G1241" i="2" s="1"/>
  <c r="G1237" i="2"/>
  <c r="G1236" i="2" s="1"/>
  <c r="G1233" i="2"/>
  <c r="G1228" i="2" s="1"/>
  <c r="G1227" i="2" s="1"/>
  <c r="G1223" i="2"/>
  <c r="G1221" i="2"/>
  <c r="G1219" i="2"/>
  <c r="G1213" i="2"/>
  <c r="G1211" i="2"/>
  <c r="G1203" i="2"/>
  <c r="G1200" i="2"/>
  <c r="G1195" i="2"/>
  <c r="G1193" i="2"/>
  <c r="G1188" i="2"/>
  <c r="G1184" i="2" s="1"/>
  <c r="G1205" i="2"/>
  <c r="G1181" i="2"/>
  <c r="G1178" i="2" s="1"/>
  <c r="G1173" i="2"/>
  <c r="G1166" i="2" s="1"/>
  <c r="G1161" i="2"/>
  <c r="G1154" i="2"/>
  <c r="G1149" i="2"/>
  <c r="G1147" i="2"/>
  <c r="G1145" i="2"/>
  <c r="G1141" i="2"/>
  <c r="G1134" i="2"/>
  <c r="G1131" i="2"/>
  <c r="G1124" i="2"/>
  <c r="G1121" i="2"/>
  <c r="G1116" i="2"/>
  <c r="G1109" i="2"/>
  <c r="G1104" i="2"/>
  <c r="G1093" i="2"/>
  <c r="G1089" i="2"/>
  <c r="G1068" i="2"/>
  <c r="G1066" i="2"/>
  <c r="G1046" i="2"/>
  <c r="G1042" i="2" s="1"/>
  <c r="G462" i="2"/>
  <c r="G450" i="2"/>
  <c r="G442" i="2"/>
  <c r="G441" i="2" s="1"/>
  <c r="G437" i="2"/>
  <c r="G436" i="2" s="1"/>
  <c r="G428" i="2"/>
  <c r="G426" i="2"/>
  <c r="G420" i="2"/>
  <c r="G418" i="2"/>
  <c r="G416" i="2"/>
  <c r="G411" i="2"/>
  <c r="G410" i="2" s="1"/>
  <c r="G408" i="2"/>
  <c r="G405" i="2"/>
  <c r="G404" i="2" s="1"/>
  <c r="G402" i="2"/>
  <c r="G401" i="2" s="1"/>
  <c r="G399" i="2"/>
  <c r="G398" i="2" s="1"/>
  <c r="G396" i="2"/>
  <c r="G394" i="2"/>
  <c r="G389" i="2"/>
  <c r="G386" i="2"/>
  <c r="G384" i="2"/>
  <c r="G379" i="2"/>
  <c r="G377" i="2"/>
  <c r="G373" i="2"/>
  <c r="G372" i="2" s="1"/>
  <c r="G370" i="2"/>
  <c r="G369" i="2" s="1"/>
  <c r="G366" i="2"/>
  <c r="G361" i="2"/>
  <c r="G356" i="2"/>
  <c r="G355" i="2" s="1"/>
  <c r="G353" i="2"/>
  <c r="G352" i="2" s="1"/>
  <c r="G350" i="2"/>
  <c r="G349" i="2" s="1"/>
  <c r="G345" i="2"/>
  <c r="G342" i="2"/>
  <c r="G341" i="2" s="1"/>
  <c r="G339" i="2"/>
  <c r="G336" i="2"/>
  <c r="G334" i="2"/>
  <c r="G330" i="2"/>
  <c r="G328" i="2"/>
  <c r="G324" i="2"/>
  <c r="G320" i="2"/>
  <c r="G318" i="2"/>
  <c r="G310" i="2"/>
  <c r="G303" i="2"/>
  <c r="G299" i="2"/>
  <c r="G296" i="2" s="1"/>
  <c r="G294" i="2"/>
  <c r="G293" i="2" s="1"/>
  <c r="G284" i="2"/>
  <c r="G282" i="2"/>
  <c r="G280" i="2"/>
  <c r="G277" i="2"/>
  <c r="G268" i="2"/>
  <c r="G261" i="2"/>
  <c r="G259" i="2"/>
  <c r="G255" i="2"/>
  <c r="G251" i="2"/>
  <c r="G249" i="2"/>
  <c r="G247" i="2"/>
  <c r="G244" i="2"/>
  <c r="G242" i="2"/>
  <c r="G239" i="2"/>
  <c r="G237" i="2"/>
  <c r="G222" i="2"/>
  <c r="G220" i="2"/>
  <c r="G218" i="2"/>
  <c r="G211" i="2"/>
  <c r="G197" i="2"/>
  <c r="G194" i="2"/>
  <c r="G184" i="2"/>
  <c r="G183" i="2" s="1"/>
  <c r="G180" i="2"/>
  <c r="G177" i="2"/>
  <c r="G171" i="2"/>
  <c r="G168" i="2"/>
  <c r="G165" i="2"/>
  <c r="G162" i="2"/>
  <c r="G156" i="2"/>
  <c r="G154" i="2"/>
  <c r="G149" i="2"/>
  <c r="G144" i="2"/>
  <c r="G139" i="2"/>
  <c r="G130" i="2"/>
  <c r="G125" i="2" s="1"/>
  <c r="G122" i="2"/>
  <c r="G119" i="2"/>
  <c r="G111" i="2"/>
  <c r="G98" i="2"/>
  <c r="G97" i="2" s="1"/>
  <c r="G92" i="2"/>
  <c r="G86" i="2"/>
  <c r="G82" i="2"/>
  <c r="G80" i="2"/>
  <c r="G77" i="2"/>
  <c r="G75" i="2"/>
  <c r="G65" i="2"/>
  <c r="G64" i="2" s="1"/>
  <c r="G62" i="2"/>
  <c r="G61" i="2" s="1"/>
  <c r="G58" i="2"/>
  <c r="G56" i="2"/>
  <c r="G54" i="2"/>
  <c r="G52" i="2"/>
  <c r="G47" i="2"/>
  <c r="G44" i="2"/>
  <c r="G40" i="2"/>
  <c r="G31" i="2"/>
  <c r="G24" i="2"/>
  <c r="G21" i="2"/>
  <c r="P824" i="2" l="1"/>
  <c r="R824" i="2" s="1"/>
  <c r="T824" i="2" s="1"/>
  <c r="V824" i="2" s="1"/>
  <c r="X824" i="2" s="1"/>
  <c r="Z824" i="2" s="1"/>
  <c r="N1160" i="2"/>
  <c r="P1160" i="2" s="1"/>
  <c r="R1160" i="2" s="1"/>
  <c r="T1160" i="2" s="1"/>
  <c r="V1160" i="2" s="1"/>
  <c r="X1160" i="2" s="1"/>
  <c r="Z1160" i="2" s="1"/>
  <c r="N201" i="2"/>
  <c r="P201" i="2" s="1"/>
  <c r="R201" i="2" s="1"/>
  <c r="T201" i="2" s="1"/>
  <c r="V201" i="2" s="1"/>
  <c r="X201" i="2" s="1"/>
  <c r="Z201" i="2" s="1"/>
  <c r="N203" i="2"/>
  <c r="P203" i="2" s="1"/>
  <c r="R203" i="2" s="1"/>
  <c r="T203" i="2" s="1"/>
  <c r="V203" i="2" s="1"/>
  <c r="X203" i="2" s="1"/>
  <c r="Z203" i="2" s="1"/>
  <c r="N202" i="2"/>
  <c r="P202" i="2" s="1"/>
  <c r="R202" i="2" s="1"/>
  <c r="T202" i="2" s="1"/>
  <c r="V202" i="2" s="1"/>
  <c r="X202" i="2" s="1"/>
  <c r="Z202" i="2" s="1"/>
  <c r="N1226" i="2"/>
  <c r="P1226" i="2" s="1"/>
  <c r="R1226" i="2" s="1"/>
  <c r="T1226" i="2" s="1"/>
  <c r="V1226" i="2" s="1"/>
  <c r="X1226" i="2" s="1"/>
  <c r="Z1226" i="2" s="1"/>
  <c r="N39" i="2"/>
  <c r="P39" i="2" s="1"/>
  <c r="R39" i="2" s="1"/>
  <c r="T39" i="2" s="1"/>
  <c r="V39" i="2" s="1"/>
  <c r="X39" i="2" s="1"/>
  <c r="Z39" i="2" s="1"/>
  <c r="N1120" i="2"/>
  <c r="P1120" i="2" s="1"/>
  <c r="R1120" i="2" s="1"/>
  <c r="T1120" i="2" s="1"/>
  <c r="V1120" i="2" s="1"/>
  <c r="X1120" i="2" s="1"/>
  <c r="Z1120" i="2" s="1"/>
  <c r="N204" i="2"/>
  <c r="P204" i="2" s="1"/>
  <c r="R204" i="2" s="1"/>
  <c r="T204" i="2" s="1"/>
  <c r="V204" i="2" s="1"/>
  <c r="X204" i="2" s="1"/>
  <c r="Z204" i="2" s="1"/>
  <c r="N1186" i="2"/>
  <c r="P1186" i="2" s="1"/>
  <c r="R1186" i="2" s="1"/>
  <c r="T1186" i="2" s="1"/>
  <c r="V1186" i="2" s="1"/>
  <c r="X1186" i="2" s="1"/>
  <c r="Z1186" i="2" s="1"/>
  <c r="N1397" i="2"/>
  <c r="P1397" i="2" s="1"/>
  <c r="R1397" i="2" s="1"/>
  <c r="T1397" i="2" s="1"/>
  <c r="V1397" i="2" s="1"/>
  <c r="X1397" i="2" s="1"/>
  <c r="Z1397" i="2" s="1"/>
  <c r="N38" i="2"/>
  <c r="P38" i="2" s="1"/>
  <c r="R38" i="2" s="1"/>
  <c r="T38" i="2" s="1"/>
  <c r="V38" i="2" s="1"/>
  <c r="X38" i="2" s="1"/>
  <c r="Z38" i="2" s="1"/>
  <c r="G1199" i="2"/>
  <c r="G302" i="2"/>
  <c r="G1112" i="2"/>
  <c r="G393" i="2"/>
  <c r="G27" i="2"/>
  <c r="G85" i="2"/>
  <c r="G51" i="2"/>
  <c r="G360" i="2"/>
  <c r="G359" i="2" s="1"/>
  <c r="G1376" i="2"/>
  <c r="G176" i="2"/>
  <c r="G193" i="2"/>
  <c r="G192" i="2" s="1"/>
  <c r="G1296" i="2"/>
  <c r="G415" i="2"/>
  <c r="G414" i="2" s="1"/>
  <c r="G1192" i="2"/>
  <c r="G18" i="2"/>
  <c r="G254" i="2"/>
  <c r="G264" i="2"/>
  <c r="G444" i="2"/>
  <c r="G1371" i="2"/>
  <c r="G107" i="2"/>
  <c r="G215" i="2"/>
  <c r="G72" i="2"/>
  <c r="G133" i="2"/>
  <c r="G348" i="2"/>
  <c r="G425" i="2"/>
  <c r="G424" i="2" s="1"/>
  <c r="G1057" i="2"/>
  <c r="G1041" i="2" s="1"/>
  <c r="G96" i="2"/>
  <c r="G333" i="2"/>
  <c r="G344" i="2"/>
  <c r="G407" i="2"/>
  <c r="G1085" i="2"/>
  <c r="G1263" i="2"/>
  <c r="G292" i="2"/>
  <c r="G1208" i="2"/>
  <c r="G1207" i="2" s="1"/>
  <c r="G1251" i="2"/>
  <c r="G1314" i="2"/>
  <c r="G1391" i="2"/>
  <c r="G228" i="2"/>
  <c r="G1278" i="2"/>
  <c r="G1398" i="2"/>
  <c r="G1403" i="2"/>
  <c r="G1415" i="2"/>
  <c r="G1468" i="2"/>
  <c r="G376" i="2"/>
  <c r="G1235" i="2"/>
  <c r="G1240" i="2"/>
  <c r="G1420" i="2"/>
  <c r="G1428" i="2"/>
  <c r="E1370" i="2"/>
  <c r="P823" i="2" l="1"/>
  <c r="R823" i="2" s="1"/>
  <c r="T823" i="2" s="1"/>
  <c r="V823" i="2" s="1"/>
  <c r="X823" i="2" s="1"/>
  <c r="G1084" i="2"/>
  <c r="G435" i="2"/>
  <c r="G71" i="2"/>
  <c r="G106" i="2"/>
  <c r="G17" i="2"/>
  <c r="G1431" i="2"/>
  <c r="G1250" i="2"/>
  <c r="G1239" i="2" s="1"/>
  <c r="G1424" i="2"/>
  <c r="G1410" i="2"/>
  <c r="G392" i="2"/>
  <c r="G301" i="2"/>
  <c r="G1295" i="2"/>
  <c r="G413" i="2"/>
  <c r="G332" i="2"/>
  <c r="G368" i="2"/>
  <c r="G214" i="2"/>
  <c r="E1046" i="2"/>
  <c r="F1052" i="2"/>
  <c r="H1052" i="2" s="1"/>
  <c r="J1052" i="2" s="1"/>
  <c r="E144" i="2"/>
  <c r="F148" i="2"/>
  <c r="H148" i="2" s="1"/>
  <c r="J148" i="2" s="1"/>
  <c r="E120" i="2"/>
  <c r="E1477" i="2" s="1"/>
  <c r="E450" i="2"/>
  <c r="F455" i="2"/>
  <c r="H455" i="2" s="1"/>
  <c r="J455" i="2" s="1"/>
  <c r="F1459" i="2"/>
  <c r="H1459" i="2" s="1"/>
  <c r="J1459" i="2" s="1"/>
  <c r="E1457" i="2"/>
  <c r="F1457" i="2" s="1"/>
  <c r="H1457" i="2" s="1"/>
  <c r="J1457" i="2" s="1"/>
  <c r="L1457" i="2" s="1"/>
  <c r="N1457" i="2" s="1"/>
  <c r="P1457" i="2" s="1"/>
  <c r="R1457" i="2" s="1"/>
  <c r="T1457" i="2" s="1"/>
  <c r="V1457" i="2" s="1"/>
  <c r="X1457" i="2" s="1"/>
  <c r="E1332" i="2"/>
  <c r="F1339" i="2"/>
  <c r="H1339" i="2" s="1"/>
  <c r="J1339" i="2" s="1"/>
  <c r="E1321" i="2"/>
  <c r="F1328" i="2"/>
  <c r="H1328" i="2" s="1"/>
  <c r="J1328" i="2" s="1"/>
  <c r="F157" i="2"/>
  <c r="H157" i="2" s="1"/>
  <c r="J157" i="2" s="1"/>
  <c r="F158" i="2"/>
  <c r="H158" i="2" s="1"/>
  <c r="J158" i="2" s="1"/>
  <c r="E156" i="2"/>
  <c r="F156" i="2" s="1"/>
  <c r="H156" i="2" s="1"/>
  <c r="J156" i="2" s="1"/>
  <c r="L156" i="2" s="1"/>
  <c r="N156" i="2" s="1"/>
  <c r="P156" i="2" s="1"/>
  <c r="R156" i="2" s="1"/>
  <c r="T156" i="2" s="1"/>
  <c r="V156" i="2" s="1"/>
  <c r="X156" i="2" s="1"/>
  <c r="P822" i="2" l="1"/>
  <c r="R822" i="2" s="1"/>
  <c r="T822" i="2" s="1"/>
  <c r="V822" i="2" s="1"/>
  <c r="X822" i="2" s="1"/>
  <c r="Z822" i="2" s="1"/>
  <c r="L1459" i="2"/>
  <c r="L148" i="2"/>
  <c r="L158" i="2"/>
  <c r="L1339" i="2"/>
  <c r="L455" i="2"/>
  <c r="L1328" i="2"/>
  <c r="L157" i="2"/>
  <c r="L1052" i="2"/>
  <c r="G16" i="2"/>
  <c r="G1083" i="2"/>
  <c r="G1294" i="2"/>
  <c r="G347" i="2"/>
  <c r="E1475" i="2"/>
  <c r="F252" i="2"/>
  <c r="H252" i="2" s="1"/>
  <c r="J252" i="2" s="1"/>
  <c r="E251" i="2"/>
  <c r="F251" i="2" s="1"/>
  <c r="H251" i="2" s="1"/>
  <c r="J251" i="2" s="1"/>
  <c r="L251" i="2" s="1"/>
  <c r="N251" i="2" s="1"/>
  <c r="P251" i="2" s="1"/>
  <c r="R251" i="2" s="1"/>
  <c r="T251" i="2" s="1"/>
  <c r="V251" i="2" s="1"/>
  <c r="X251" i="2" s="1"/>
  <c r="F305" i="2"/>
  <c r="H305" i="2" s="1"/>
  <c r="J305" i="2" s="1"/>
  <c r="E303" i="2"/>
  <c r="F303" i="2" s="1"/>
  <c r="H303" i="2" s="1"/>
  <c r="J303" i="2" s="1"/>
  <c r="L303" i="2" s="1"/>
  <c r="N303" i="2" s="1"/>
  <c r="P303" i="2" s="1"/>
  <c r="R303" i="2" s="1"/>
  <c r="T303" i="2" s="1"/>
  <c r="V303" i="2" s="1"/>
  <c r="X303" i="2" s="1"/>
  <c r="F181" i="2"/>
  <c r="H181" i="2" s="1"/>
  <c r="J181" i="2" s="1"/>
  <c r="E180" i="2"/>
  <c r="F180" i="2" s="1"/>
  <c r="H180" i="2" s="1"/>
  <c r="J180" i="2" s="1"/>
  <c r="L180" i="2" s="1"/>
  <c r="N180" i="2" s="1"/>
  <c r="P180" i="2" s="1"/>
  <c r="R180" i="2" s="1"/>
  <c r="T180" i="2" s="1"/>
  <c r="V180" i="2" s="1"/>
  <c r="X180" i="2" s="1"/>
  <c r="F140" i="2"/>
  <c r="H140" i="2" s="1"/>
  <c r="J140" i="2" s="1"/>
  <c r="E139" i="2"/>
  <c r="F139" i="2" s="1"/>
  <c r="H139" i="2" s="1"/>
  <c r="J139" i="2" s="1"/>
  <c r="L139" i="2" s="1"/>
  <c r="N139" i="2" s="1"/>
  <c r="P139" i="2" s="1"/>
  <c r="R139" i="2" s="1"/>
  <c r="T139" i="2" s="1"/>
  <c r="V139" i="2" s="1"/>
  <c r="X139" i="2" s="1"/>
  <c r="F1202" i="2"/>
  <c r="H1202" i="2" s="1"/>
  <c r="J1202" i="2" s="1"/>
  <c r="E1200" i="2"/>
  <c r="F1200" i="2" s="1"/>
  <c r="H1200" i="2" s="1"/>
  <c r="J1200" i="2" s="1"/>
  <c r="L1200" i="2" s="1"/>
  <c r="N1200" i="2" s="1"/>
  <c r="P1200" i="2" s="1"/>
  <c r="R1200" i="2" s="1"/>
  <c r="T1200" i="2" s="1"/>
  <c r="V1200" i="2" s="1"/>
  <c r="X1200" i="2" s="1"/>
  <c r="F1194" i="2"/>
  <c r="H1194" i="2" s="1"/>
  <c r="J1194" i="2" s="1"/>
  <c r="E1193" i="2"/>
  <c r="F1193" i="2" s="1"/>
  <c r="H1193" i="2" s="1"/>
  <c r="J1193" i="2" s="1"/>
  <c r="L1193" i="2" s="1"/>
  <c r="N1193" i="2" s="1"/>
  <c r="P1193" i="2" s="1"/>
  <c r="R1193" i="2" s="1"/>
  <c r="T1193" i="2" s="1"/>
  <c r="V1193" i="2" s="1"/>
  <c r="X1193" i="2" s="1"/>
  <c r="F1290" i="2"/>
  <c r="H1290" i="2" s="1"/>
  <c r="J1290" i="2" s="1"/>
  <c r="E1289" i="2"/>
  <c r="F1289" i="2" s="1"/>
  <c r="H1289" i="2" s="1"/>
  <c r="J1289" i="2" s="1"/>
  <c r="L1289" i="2" s="1"/>
  <c r="N1289" i="2" s="1"/>
  <c r="P1289" i="2" s="1"/>
  <c r="R1289" i="2" s="1"/>
  <c r="T1289" i="2" s="1"/>
  <c r="V1289" i="2" s="1"/>
  <c r="X1289" i="2" s="1"/>
  <c r="F1386" i="2"/>
  <c r="H1386" i="2" s="1"/>
  <c r="J1386" i="2" s="1"/>
  <c r="E1385" i="2"/>
  <c r="F1385" i="2" s="1"/>
  <c r="H1385" i="2" s="1"/>
  <c r="J1385" i="2" s="1"/>
  <c r="L1385" i="2" s="1"/>
  <c r="N1385" i="2" s="1"/>
  <c r="P1385" i="2" s="1"/>
  <c r="R1385" i="2" s="1"/>
  <c r="T1385" i="2" s="1"/>
  <c r="V1385" i="2" s="1"/>
  <c r="X1385" i="2" s="1"/>
  <c r="F256" i="2"/>
  <c r="H256" i="2" s="1"/>
  <c r="J256" i="2" s="1"/>
  <c r="E255" i="2"/>
  <c r="F255" i="2" s="1"/>
  <c r="H255" i="2" s="1"/>
  <c r="J255" i="2" s="1"/>
  <c r="L255" i="2" s="1"/>
  <c r="N255" i="2" s="1"/>
  <c r="P255" i="2" s="1"/>
  <c r="R255" i="2" s="1"/>
  <c r="T255" i="2" s="1"/>
  <c r="V255" i="2" s="1"/>
  <c r="X255" i="2" s="1"/>
  <c r="F219" i="2"/>
  <c r="H219" i="2" s="1"/>
  <c r="J219" i="2" s="1"/>
  <c r="E218" i="2"/>
  <c r="F218" i="2" s="1"/>
  <c r="H218" i="2" s="1"/>
  <c r="J218" i="2" s="1"/>
  <c r="L218" i="2" s="1"/>
  <c r="N218" i="2" s="1"/>
  <c r="P218" i="2" s="1"/>
  <c r="R218" i="2" s="1"/>
  <c r="T218" i="2" s="1"/>
  <c r="V218" i="2" s="1"/>
  <c r="X218" i="2" s="1"/>
  <c r="F387" i="2"/>
  <c r="H387" i="2" s="1"/>
  <c r="J387" i="2" s="1"/>
  <c r="E386" i="2"/>
  <c r="F386" i="2" s="1"/>
  <c r="H386" i="2" s="1"/>
  <c r="J386" i="2" s="1"/>
  <c r="L386" i="2" s="1"/>
  <c r="N386" i="2" s="1"/>
  <c r="P386" i="2" s="1"/>
  <c r="R386" i="2" s="1"/>
  <c r="T386" i="2" s="1"/>
  <c r="V386" i="2" s="1"/>
  <c r="X386" i="2" s="1"/>
  <c r="P821" i="2" l="1"/>
  <c r="R821" i="2" s="1"/>
  <c r="T821" i="2" s="1"/>
  <c r="V821" i="2" s="1"/>
  <c r="X821" i="2" s="1"/>
  <c r="N1052" i="2"/>
  <c r="P1052" i="2" s="1"/>
  <c r="R1052" i="2" s="1"/>
  <c r="T1052" i="2" s="1"/>
  <c r="V1052" i="2" s="1"/>
  <c r="X1052" i="2" s="1"/>
  <c r="Z1052" i="2" s="1"/>
  <c r="N1339" i="2"/>
  <c r="P1339" i="2" s="1"/>
  <c r="R1339" i="2" s="1"/>
  <c r="T1339" i="2" s="1"/>
  <c r="V1339" i="2" s="1"/>
  <c r="X1339" i="2" s="1"/>
  <c r="Z1339" i="2" s="1"/>
  <c r="N157" i="2"/>
  <c r="P157" i="2" s="1"/>
  <c r="R157" i="2" s="1"/>
  <c r="T157" i="2" s="1"/>
  <c r="V157" i="2" s="1"/>
  <c r="X157" i="2" s="1"/>
  <c r="Z157" i="2" s="1"/>
  <c r="N158" i="2"/>
  <c r="P158" i="2" s="1"/>
  <c r="R158" i="2" s="1"/>
  <c r="T158" i="2" s="1"/>
  <c r="V158" i="2" s="1"/>
  <c r="X158" i="2" s="1"/>
  <c r="Z158" i="2" s="1"/>
  <c r="N1328" i="2"/>
  <c r="P1328" i="2" s="1"/>
  <c r="R1328" i="2" s="1"/>
  <c r="T1328" i="2" s="1"/>
  <c r="V1328" i="2" s="1"/>
  <c r="X1328" i="2" s="1"/>
  <c r="Z1328" i="2" s="1"/>
  <c r="N148" i="2"/>
  <c r="P148" i="2" s="1"/>
  <c r="R148" i="2" s="1"/>
  <c r="T148" i="2" s="1"/>
  <c r="V148" i="2" s="1"/>
  <c r="X148" i="2" s="1"/>
  <c r="Z148" i="2" s="1"/>
  <c r="N455" i="2"/>
  <c r="P455" i="2" s="1"/>
  <c r="R455" i="2" s="1"/>
  <c r="T455" i="2" s="1"/>
  <c r="V455" i="2" s="1"/>
  <c r="X455" i="2" s="1"/>
  <c r="Z455" i="2" s="1"/>
  <c r="N1459" i="2"/>
  <c r="P1459" i="2" s="1"/>
  <c r="R1459" i="2" s="1"/>
  <c r="T1459" i="2" s="1"/>
  <c r="V1459" i="2" s="1"/>
  <c r="X1459" i="2" s="1"/>
  <c r="Z1459" i="2" s="1"/>
  <c r="L1386" i="2"/>
  <c r="L305" i="2"/>
  <c r="L1194" i="2"/>
  <c r="L387" i="2"/>
  <c r="L256" i="2"/>
  <c r="L1290" i="2"/>
  <c r="L1202" i="2"/>
  <c r="L181" i="2"/>
  <c r="L252" i="2"/>
  <c r="L219" i="2"/>
  <c r="L140" i="2"/>
  <c r="G1472" i="2"/>
  <c r="G1471" i="2"/>
  <c r="F1470" i="2"/>
  <c r="H1470" i="2" s="1"/>
  <c r="J1470" i="2" s="1"/>
  <c r="F1456" i="2"/>
  <c r="H1456" i="2" s="1"/>
  <c r="J1456" i="2" s="1"/>
  <c r="F1455" i="2"/>
  <c r="H1455" i="2" s="1"/>
  <c r="J1455" i="2" s="1"/>
  <c r="F1454" i="2"/>
  <c r="H1454" i="2" s="1"/>
  <c r="J1454" i="2" s="1"/>
  <c r="F1453" i="2"/>
  <c r="H1453" i="2" s="1"/>
  <c r="J1453" i="2" s="1"/>
  <c r="F1451" i="2"/>
  <c r="H1451" i="2" s="1"/>
  <c r="J1451" i="2" s="1"/>
  <c r="F1450" i="2"/>
  <c r="H1450" i="2" s="1"/>
  <c r="J1450" i="2" s="1"/>
  <c r="F1445" i="2"/>
  <c r="H1445" i="2" s="1"/>
  <c r="J1445" i="2" s="1"/>
  <c r="F1444" i="2"/>
  <c r="H1444" i="2" s="1"/>
  <c r="J1444" i="2" s="1"/>
  <c r="F1442" i="2"/>
  <c r="H1442" i="2" s="1"/>
  <c r="J1442" i="2" s="1"/>
  <c r="F1440" i="2"/>
  <c r="H1440" i="2" s="1"/>
  <c r="J1440" i="2" s="1"/>
  <c r="F1438" i="2"/>
  <c r="H1438" i="2" s="1"/>
  <c r="J1438" i="2" s="1"/>
  <c r="F1437" i="2"/>
  <c r="H1437" i="2" s="1"/>
  <c r="J1437" i="2" s="1"/>
  <c r="F1430" i="2"/>
  <c r="H1430" i="2" s="1"/>
  <c r="J1430" i="2" s="1"/>
  <c r="F1427" i="2"/>
  <c r="H1427" i="2" s="1"/>
  <c r="J1427" i="2" s="1"/>
  <c r="F1422" i="2"/>
  <c r="H1422" i="2" s="1"/>
  <c r="J1422" i="2" s="1"/>
  <c r="F1419" i="2"/>
  <c r="H1419" i="2" s="1"/>
  <c r="J1419" i="2" s="1"/>
  <c r="F1417" i="2"/>
  <c r="H1417" i="2" s="1"/>
  <c r="J1417" i="2" s="1"/>
  <c r="F1414" i="2"/>
  <c r="H1414" i="2" s="1"/>
  <c r="J1414" i="2" s="1"/>
  <c r="F1413" i="2"/>
  <c r="H1413" i="2" s="1"/>
  <c r="J1413" i="2" s="1"/>
  <c r="F1409" i="2"/>
  <c r="H1409" i="2" s="1"/>
  <c r="J1409" i="2" s="1"/>
  <c r="F1406" i="2"/>
  <c r="H1406" i="2" s="1"/>
  <c r="J1406" i="2" s="1"/>
  <c r="F1402" i="2"/>
  <c r="H1402" i="2" s="1"/>
  <c r="J1402" i="2" s="1"/>
  <c r="F1401" i="2"/>
  <c r="H1401" i="2" s="1"/>
  <c r="J1401" i="2" s="1"/>
  <c r="F1396" i="2"/>
  <c r="H1396" i="2" s="1"/>
  <c r="J1396" i="2" s="1"/>
  <c r="F1395" i="2"/>
  <c r="H1395" i="2" s="1"/>
  <c r="J1395" i="2" s="1"/>
  <c r="F1394" i="2"/>
  <c r="H1394" i="2" s="1"/>
  <c r="J1394" i="2" s="1"/>
  <c r="F1393" i="2"/>
  <c r="H1393" i="2" s="1"/>
  <c r="J1393" i="2" s="1"/>
  <c r="F1389" i="2"/>
  <c r="H1389" i="2" s="1"/>
  <c r="J1389" i="2" s="1"/>
  <c r="F1388" i="2"/>
  <c r="H1388" i="2" s="1"/>
  <c r="J1388" i="2" s="1"/>
  <c r="F1380" i="2"/>
  <c r="H1380" i="2" s="1"/>
  <c r="J1380" i="2" s="1"/>
  <c r="F1379" i="2"/>
  <c r="H1379" i="2" s="1"/>
  <c r="J1379" i="2" s="1"/>
  <c r="F1378" i="2"/>
  <c r="H1378" i="2" s="1"/>
  <c r="J1378" i="2" s="1"/>
  <c r="F1375" i="2"/>
  <c r="H1375" i="2" s="1"/>
  <c r="J1375" i="2" s="1"/>
  <c r="F1373" i="2"/>
  <c r="H1373" i="2" s="1"/>
  <c r="J1373" i="2" s="1"/>
  <c r="F1358" i="2"/>
  <c r="H1358" i="2" s="1"/>
  <c r="J1358" i="2" s="1"/>
  <c r="F1350" i="2"/>
  <c r="H1350" i="2" s="1"/>
  <c r="J1350" i="2" s="1"/>
  <c r="F1349" i="2"/>
  <c r="H1349" i="2" s="1"/>
  <c r="J1349" i="2" s="1"/>
  <c r="F1348" i="2"/>
  <c r="H1348" i="2" s="1"/>
  <c r="J1348" i="2" s="1"/>
  <c r="F1343" i="2"/>
  <c r="H1343" i="2" s="1"/>
  <c r="J1343" i="2" s="1"/>
  <c r="F1342" i="2"/>
  <c r="H1342" i="2" s="1"/>
  <c r="J1342" i="2" s="1"/>
  <c r="F1341" i="2"/>
  <c r="H1341" i="2" s="1"/>
  <c r="J1341" i="2" s="1"/>
  <c r="F1338" i="2"/>
  <c r="H1338" i="2" s="1"/>
  <c r="J1338" i="2" s="1"/>
  <c r="F1334" i="2"/>
  <c r="H1334" i="2" s="1"/>
  <c r="J1334" i="2" s="1"/>
  <c r="F1331" i="2"/>
  <c r="H1331" i="2" s="1"/>
  <c r="J1331" i="2" s="1"/>
  <c r="F1330" i="2"/>
  <c r="H1330" i="2" s="1"/>
  <c r="J1330" i="2" s="1"/>
  <c r="F1327" i="2"/>
  <c r="H1327" i="2" s="1"/>
  <c r="J1327" i="2" s="1"/>
  <c r="F1326" i="2"/>
  <c r="H1326" i="2" s="1"/>
  <c r="J1326" i="2" s="1"/>
  <c r="F1325" i="2"/>
  <c r="H1325" i="2" s="1"/>
  <c r="J1325" i="2" s="1"/>
  <c r="F1324" i="2"/>
  <c r="H1324" i="2" s="1"/>
  <c r="J1324" i="2" s="1"/>
  <c r="F1323" i="2"/>
  <c r="H1323" i="2" s="1"/>
  <c r="J1323" i="2" s="1"/>
  <c r="F1322" i="2"/>
  <c r="H1322" i="2" s="1"/>
  <c r="J1322" i="2" s="1"/>
  <c r="F1313" i="2"/>
  <c r="H1313" i="2" s="1"/>
  <c r="J1313" i="2" s="1"/>
  <c r="F1312" i="2"/>
  <c r="H1312" i="2" s="1"/>
  <c r="J1312" i="2" s="1"/>
  <c r="F1303" i="2"/>
  <c r="H1303" i="2" s="1"/>
  <c r="J1303" i="2" s="1"/>
  <c r="F1300" i="2"/>
  <c r="H1300" i="2" s="1"/>
  <c r="J1300" i="2" s="1"/>
  <c r="F1298" i="2"/>
  <c r="H1298" i="2" s="1"/>
  <c r="J1298" i="2" s="1"/>
  <c r="F1293" i="2"/>
  <c r="H1293" i="2" s="1"/>
  <c r="J1293" i="2" s="1"/>
  <c r="F1288" i="2"/>
  <c r="H1288" i="2" s="1"/>
  <c r="J1288" i="2" s="1"/>
  <c r="F1286" i="2"/>
  <c r="H1286" i="2" s="1"/>
  <c r="J1286" i="2" s="1"/>
  <c r="F1280" i="2"/>
  <c r="H1280" i="2" s="1"/>
  <c r="J1280" i="2" s="1"/>
  <c r="F1276" i="2"/>
  <c r="H1276" i="2" s="1"/>
  <c r="J1276" i="2" s="1"/>
  <c r="F1275" i="2"/>
  <c r="H1275" i="2" s="1"/>
  <c r="J1275" i="2" s="1"/>
  <c r="F1273" i="2"/>
  <c r="H1273" i="2" s="1"/>
  <c r="J1273" i="2" s="1"/>
  <c r="F1272" i="2"/>
  <c r="H1272" i="2" s="1"/>
  <c r="J1272" i="2" s="1"/>
  <c r="F1271" i="2"/>
  <c r="H1271" i="2" s="1"/>
  <c r="J1271" i="2" s="1"/>
  <c r="F1265" i="2"/>
  <c r="H1265" i="2" s="1"/>
  <c r="J1265" i="2" s="1"/>
  <c r="F1261" i="2"/>
  <c r="H1261" i="2" s="1"/>
  <c r="J1261" i="2" s="1"/>
  <c r="F1260" i="2"/>
  <c r="H1260" i="2" s="1"/>
  <c r="J1260" i="2" s="1"/>
  <c r="F1257" i="2"/>
  <c r="H1257" i="2" s="1"/>
  <c r="J1257" i="2" s="1"/>
  <c r="F1255" i="2"/>
  <c r="H1255" i="2" s="1"/>
  <c r="J1255" i="2" s="1"/>
  <c r="F1254" i="2"/>
  <c r="H1254" i="2" s="1"/>
  <c r="J1254" i="2" s="1"/>
  <c r="F1247" i="2"/>
  <c r="H1247" i="2" s="1"/>
  <c r="J1247" i="2" s="1"/>
  <c r="F1246" i="2"/>
  <c r="H1246" i="2" s="1"/>
  <c r="J1246" i="2" s="1"/>
  <c r="F1245" i="2"/>
  <c r="H1245" i="2" s="1"/>
  <c r="J1245" i="2" s="1"/>
  <c r="F1234" i="2"/>
  <c r="H1234" i="2" s="1"/>
  <c r="J1234" i="2" s="1"/>
  <c r="F1220" i="2"/>
  <c r="H1220" i="2" s="1"/>
  <c r="J1220" i="2" s="1"/>
  <c r="F1214" i="2"/>
  <c r="H1214" i="2" s="1"/>
  <c r="J1214" i="2" s="1"/>
  <c r="F1212" i="2"/>
  <c r="H1212" i="2" s="1"/>
  <c r="J1212" i="2" s="1"/>
  <c r="F1204" i="2"/>
  <c r="H1204" i="2" s="1"/>
  <c r="J1204" i="2" s="1"/>
  <c r="F1196" i="2"/>
  <c r="H1196" i="2" s="1"/>
  <c r="J1196" i="2" s="1"/>
  <c r="F1189" i="2"/>
  <c r="H1189" i="2" s="1"/>
  <c r="J1189" i="2" s="1"/>
  <c r="F1206" i="2"/>
  <c r="H1206" i="2" s="1"/>
  <c r="J1206" i="2" s="1"/>
  <c r="F1183" i="2"/>
  <c r="H1183" i="2" s="1"/>
  <c r="J1183" i="2" s="1"/>
  <c r="F1176" i="2"/>
  <c r="H1176" i="2" s="1"/>
  <c r="J1176" i="2" s="1"/>
  <c r="F1174" i="2"/>
  <c r="H1174" i="2" s="1"/>
  <c r="J1174" i="2" s="1"/>
  <c r="F1162" i="2"/>
  <c r="H1162" i="2" s="1"/>
  <c r="J1162" i="2" s="1"/>
  <c r="F1159" i="2"/>
  <c r="H1159" i="2" s="1"/>
  <c r="J1159" i="2" s="1"/>
  <c r="F1158" i="2"/>
  <c r="H1158" i="2" s="1"/>
  <c r="J1158" i="2" s="1"/>
  <c r="F1156" i="2"/>
  <c r="H1156" i="2" s="1"/>
  <c r="J1156" i="2" s="1"/>
  <c r="F1155" i="2"/>
  <c r="H1155" i="2" s="1"/>
  <c r="J1155" i="2" s="1"/>
  <c r="F1148" i="2"/>
  <c r="H1148" i="2" s="1"/>
  <c r="J1148" i="2" s="1"/>
  <c r="F1146" i="2"/>
  <c r="H1146" i="2" s="1"/>
  <c r="J1146" i="2" s="1"/>
  <c r="F1142" i="2"/>
  <c r="H1142" i="2" s="1"/>
  <c r="J1142" i="2" s="1"/>
  <c r="F1136" i="2"/>
  <c r="H1136" i="2" s="1"/>
  <c r="J1136" i="2" s="1"/>
  <c r="F1135" i="2"/>
  <c r="H1135" i="2" s="1"/>
  <c r="J1135" i="2" s="1"/>
  <c r="F1133" i="2"/>
  <c r="H1133" i="2" s="1"/>
  <c r="J1133" i="2" s="1"/>
  <c r="F1132" i="2"/>
  <c r="H1132" i="2" s="1"/>
  <c r="J1132" i="2" s="1"/>
  <c r="F1128" i="2"/>
  <c r="H1128" i="2" s="1"/>
  <c r="J1128" i="2" s="1"/>
  <c r="F1127" i="2"/>
  <c r="H1127" i="2" s="1"/>
  <c r="J1127" i="2" s="1"/>
  <c r="F1126" i="2"/>
  <c r="H1126" i="2" s="1"/>
  <c r="J1126" i="2" s="1"/>
  <c r="F1125" i="2"/>
  <c r="H1125" i="2" s="1"/>
  <c r="J1125" i="2" s="1"/>
  <c r="F1122" i="2"/>
  <c r="H1122" i="2" s="1"/>
  <c r="J1122" i="2" s="1"/>
  <c r="F1117" i="2"/>
  <c r="H1117" i="2" s="1"/>
  <c r="J1117" i="2" s="1"/>
  <c r="F1110" i="2"/>
  <c r="H1110" i="2" s="1"/>
  <c r="J1110" i="2" s="1"/>
  <c r="F1105" i="2"/>
  <c r="H1105" i="2" s="1"/>
  <c r="J1105" i="2" s="1"/>
  <c r="F1100" i="2"/>
  <c r="H1100" i="2" s="1"/>
  <c r="J1100" i="2" s="1"/>
  <c r="F1099" i="2"/>
  <c r="H1099" i="2" s="1"/>
  <c r="J1099" i="2" s="1"/>
  <c r="F1098" i="2"/>
  <c r="H1098" i="2" s="1"/>
  <c r="J1098" i="2" s="1"/>
  <c r="F1097" i="2"/>
  <c r="H1097" i="2" s="1"/>
  <c r="J1097" i="2" s="1"/>
  <c r="F1096" i="2"/>
  <c r="H1096" i="2" s="1"/>
  <c r="J1096" i="2" s="1"/>
  <c r="F1095" i="2"/>
  <c r="H1095" i="2" s="1"/>
  <c r="J1095" i="2" s="1"/>
  <c r="F1094" i="2"/>
  <c r="H1094" i="2" s="1"/>
  <c r="J1094" i="2" s="1"/>
  <c r="F1092" i="2"/>
  <c r="H1092" i="2" s="1"/>
  <c r="J1092" i="2" s="1"/>
  <c r="F1091" i="2"/>
  <c r="H1091" i="2" s="1"/>
  <c r="J1091" i="2" s="1"/>
  <c r="F1090" i="2"/>
  <c r="H1090" i="2" s="1"/>
  <c r="J1090" i="2" s="1"/>
  <c r="F1070" i="2"/>
  <c r="H1070" i="2" s="1"/>
  <c r="J1070" i="2" s="1"/>
  <c r="F1069" i="2"/>
  <c r="H1069" i="2" s="1"/>
  <c r="J1069" i="2" s="1"/>
  <c r="F1067" i="2"/>
  <c r="H1067" i="2" s="1"/>
  <c r="J1067" i="2" s="1"/>
  <c r="F1051" i="2"/>
  <c r="H1051" i="2" s="1"/>
  <c r="J1051" i="2" s="1"/>
  <c r="F1050" i="2"/>
  <c r="H1050" i="2" s="1"/>
  <c r="J1050" i="2" s="1"/>
  <c r="F1049" i="2"/>
  <c r="H1049" i="2" s="1"/>
  <c r="J1049" i="2" s="1"/>
  <c r="F1048" i="2"/>
  <c r="H1048" i="2" s="1"/>
  <c r="J1048" i="2" s="1"/>
  <c r="F1047" i="2"/>
  <c r="H1047" i="2" s="1"/>
  <c r="J1047" i="2" s="1"/>
  <c r="F474" i="2"/>
  <c r="H474" i="2" s="1"/>
  <c r="F467" i="2"/>
  <c r="H467" i="2" s="1"/>
  <c r="J467" i="2" s="1"/>
  <c r="F466" i="2"/>
  <c r="H466" i="2" s="1"/>
  <c r="J466" i="2" s="1"/>
  <c r="F465" i="2"/>
  <c r="H465" i="2" s="1"/>
  <c r="J465" i="2" s="1"/>
  <c r="F464" i="2"/>
  <c r="H464" i="2" s="1"/>
  <c r="J464" i="2" s="1"/>
  <c r="F463" i="2"/>
  <c r="H463" i="2" s="1"/>
  <c r="J463" i="2" s="1"/>
  <c r="F454" i="2"/>
  <c r="H454" i="2" s="1"/>
  <c r="J454" i="2" s="1"/>
  <c r="F453" i="2"/>
  <c r="H453" i="2" s="1"/>
  <c r="J453" i="2" s="1"/>
  <c r="F452" i="2"/>
  <c r="H452" i="2" s="1"/>
  <c r="J452" i="2" s="1"/>
  <c r="F451" i="2"/>
  <c r="H451" i="2" s="1"/>
  <c r="J451" i="2" s="1"/>
  <c r="F443" i="2"/>
  <c r="H443" i="2" s="1"/>
  <c r="J443" i="2" s="1"/>
  <c r="F440" i="2"/>
  <c r="H440" i="2" s="1"/>
  <c r="J440" i="2" s="1"/>
  <c r="F429" i="2"/>
  <c r="H429" i="2" s="1"/>
  <c r="J429" i="2" s="1"/>
  <c r="F427" i="2"/>
  <c r="H427" i="2" s="1"/>
  <c r="J427" i="2" s="1"/>
  <c r="F421" i="2"/>
  <c r="H421" i="2" s="1"/>
  <c r="J421" i="2" s="1"/>
  <c r="F419" i="2"/>
  <c r="H419" i="2" s="1"/>
  <c r="J419" i="2" s="1"/>
  <c r="F417" i="2"/>
  <c r="H417" i="2" s="1"/>
  <c r="J417" i="2" s="1"/>
  <c r="F412" i="2"/>
  <c r="H412" i="2" s="1"/>
  <c r="J412" i="2" s="1"/>
  <c r="F409" i="2"/>
  <c r="H409" i="2" s="1"/>
  <c r="J409" i="2" s="1"/>
  <c r="F406" i="2"/>
  <c r="H406" i="2" s="1"/>
  <c r="J406" i="2" s="1"/>
  <c r="F403" i="2"/>
  <c r="H403" i="2" s="1"/>
  <c r="J403" i="2" s="1"/>
  <c r="F400" i="2"/>
  <c r="H400" i="2" s="1"/>
  <c r="J400" i="2" s="1"/>
  <c r="F397" i="2"/>
  <c r="H397" i="2" s="1"/>
  <c r="J397" i="2" s="1"/>
  <c r="F395" i="2"/>
  <c r="H395" i="2" s="1"/>
  <c r="J395" i="2" s="1"/>
  <c r="F391" i="2"/>
  <c r="H391" i="2" s="1"/>
  <c r="J391" i="2" s="1"/>
  <c r="F385" i="2"/>
  <c r="H385" i="2" s="1"/>
  <c r="J385" i="2" s="1"/>
  <c r="F381" i="2"/>
  <c r="H381" i="2" s="1"/>
  <c r="J381" i="2" s="1"/>
  <c r="F380" i="2"/>
  <c r="H380" i="2" s="1"/>
  <c r="J380" i="2" s="1"/>
  <c r="F378" i="2"/>
  <c r="H378" i="2" s="1"/>
  <c r="J378" i="2" s="1"/>
  <c r="F375" i="2"/>
  <c r="H375" i="2" s="1"/>
  <c r="J375" i="2" s="1"/>
  <c r="F374" i="2"/>
  <c r="H374" i="2" s="1"/>
  <c r="J374" i="2" s="1"/>
  <c r="F371" i="2"/>
  <c r="H371" i="2" s="1"/>
  <c r="J371" i="2" s="1"/>
  <c r="F367" i="2"/>
  <c r="H367" i="2" s="1"/>
  <c r="J367" i="2" s="1"/>
  <c r="F363" i="2"/>
  <c r="H363" i="2" s="1"/>
  <c r="J363" i="2" s="1"/>
  <c r="F362" i="2"/>
  <c r="H362" i="2" s="1"/>
  <c r="J362" i="2" s="1"/>
  <c r="F358" i="2"/>
  <c r="H358" i="2" s="1"/>
  <c r="J358" i="2" s="1"/>
  <c r="F357" i="2"/>
  <c r="H357" i="2" s="1"/>
  <c r="J357" i="2" s="1"/>
  <c r="F354" i="2"/>
  <c r="H354" i="2" s="1"/>
  <c r="J354" i="2" s="1"/>
  <c r="F351" i="2"/>
  <c r="H351" i="2" s="1"/>
  <c r="J351" i="2" s="1"/>
  <c r="F346" i="2"/>
  <c r="H346" i="2" s="1"/>
  <c r="J346" i="2" s="1"/>
  <c r="F343" i="2"/>
  <c r="H343" i="2" s="1"/>
  <c r="J343" i="2" s="1"/>
  <c r="F340" i="2"/>
  <c r="H340" i="2" s="1"/>
  <c r="J340" i="2" s="1"/>
  <c r="F338" i="2"/>
  <c r="H338" i="2" s="1"/>
  <c r="J338" i="2" s="1"/>
  <c r="F335" i="2"/>
  <c r="H335" i="2" s="1"/>
  <c r="J335" i="2" s="1"/>
  <c r="F331" i="2"/>
  <c r="H331" i="2" s="1"/>
  <c r="J331" i="2" s="1"/>
  <c r="F329" i="2"/>
  <c r="H329" i="2" s="1"/>
  <c r="J329" i="2" s="1"/>
  <c r="F321" i="2"/>
  <c r="H321" i="2" s="1"/>
  <c r="J321" i="2" s="1"/>
  <c r="F319" i="2"/>
  <c r="H319" i="2" s="1"/>
  <c r="J319" i="2" s="1"/>
  <c r="F312" i="2"/>
  <c r="H312" i="2" s="1"/>
  <c r="J312" i="2" s="1"/>
  <c r="F311" i="2"/>
  <c r="H311" i="2" s="1"/>
  <c r="J311" i="2" s="1"/>
  <c r="F300" i="2"/>
  <c r="H300" i="2" s="1"/>
  <c r="J300" i="2" s="1"/>
  <c r="F295" i="2"/>
  <c r="H295" i="2" s="1"/>
  <c r="J295" i="2" s="1"/>
  <c r="F285" i="2"/>
  <c r="H285" i="2" s="1"/>
  <c r="J285" i="2" s="1"/>
  <c r="F283" i="2"/>
  <c r="H283" i="2" s="1"/>
  <c r="J283" i="2" s="1"/>
  <c r="F281" i="2"/>
  <c r="H281" i="2" s="1"/>
  <c r="J281" i="2" s="1"/>
  <c r="F279" i="2"/>
  <c r="H279" i="2" s="1"/>
  <c r="J279" i="2" s="1"/>
  <c r="F278" i="2"/>
  <c r="H278" i="2" s="1"/>
  <c r="J278" i="2" s="1"/>
  <c r="F273" i="2"/>
  <c r="H273" i="2" s="1"/>
  <c r="J273" i="2" s="1"/>
  <c r="F271" i="2"/>
  <c r="H271" i="2" s="1"/>
  <c r="J271" i="2" s="1"/>
  <c r="F270" i="2"/>
  <c r="H270" i="2" s="1"/>
  <c r="J270" i="2" s="1"/>
  <c r="F269" i="2"/>
  <c r="H269" i="2" s="1"/>
  <c r="J269" i="2" s="1"/>
  <c r="F262" i="2"/>
  <c r="H262" i="2" s="1"/>
  <c r="J262" i="2" s="1"/>
  <c r="F260" i="2"/>
  <c r="H260" i="2" s="1"/>
  <c r="J260" i="2" s="1"/>
  <c r="F250" i="2"/>
  <c r="H250" i="2" s="1"/>
  <c r="J250" i="2" s="1"/>
  <c r="F248" i="2"/>
  <c r="H248" i="2" s="1"/>
  <c r="J248" i="2" s="1"/>
  <c r="F243" i="2"/>
  <c r="H243" i="2" s="1"/>
  <c r="J243" i="2" s="1"/>
  <c r="F241" i="2"/>
  <c r="H241" i="2" s="1"/>
  <c r="J241" i="2" s="1"/>
  <c r="F238" i="2"/>
  <c r="H238" i="2" s="1"/>
  <c r="J238" i="2" s="1"/>
  <c r="F224" i="2"/>
  <c r="H224" i="2" s="1"/>
  <c r="J224" i="2" s="1"/>
  <c r="F221" i="2"/>
  <c r="H221" i="2" s="1"/>
  <c r="J221" i="2" s="1"/>
  <c r="F213" i="2"/>
  <c r="H213" i="2" s="1"/>
  <c r="J213" i="2" s="1"/>
  <c r="F212" i="2"/>
  <c r="H212" i="2" s="1"/>
  <c r="J212" i="2" s="1"/>
  <c r="F199" i="2"/>
  <c r="H199" i="2" s="1"/>
  <c r="J199" i="2" s="1"/>
  <c r="F198" i="2"/>
  <c r="H198" i="2" s="1"/>
  <c r="J198" i="2" s="1"/>
  <c r="F196" i="2"/>
  <c r="H196" i="2" s="1"/>
  <c r="J196" i="2" s="1"/>
  <c r="F195" i="2"/>
  <c r="H195" i="2" s="1"/>
  <c r="J195" i="2" s="1"/>
  <c r="F185" i="2"/>
  <c r="H185" i="2" s="1"/>
  <c r="J185" i="2" s="1"/>
  <c r="F178" i="2"/>
  <c r="H178" i="2" s="1"/>
  <c r="J178" i="2" s="1"/>
  <c r="F173" i="2"/>
  <c r="H173" i="2" s="1"/>
  <c r="J173" i="2" s="1"/>
  <c r="F172" i="2"/>
  <c r="H172" i="2" s="1"/>
  <c r="J172" i="2" s="1"/>
  <c r="F170" i="2"/>
  <c r="H170" i="2" s="1"/>
  <c r="J170" i="2" s="1"/>
  <c r="F169" i="2"/>
  <c r="H169" i="2" s="1"/>
  <c r="J169" i="2" s="1"/>
  <c r="F167" i="2"/>
  <c r="H167" i="2" s="1"/>
  <c r="J167" i="2" s="1"/>
  <c r="F166" i="2"/>
  <c r="H166" i="2" s="1"/>
  <c r="J166" i="2" s="1"/>
  <c r="F164" i="2"/>
  <c r="H164" i="2" s="1"/>
  <c r="J164" i="2" s="1"/>
  <c r="F163" i="2"/>
  <c r="H163" i="2" s="1"/>
  <c r="J163" i="2" s="1"/>
  <c r="F155" i="2"/>
  <c r="H155" i="2" s="1"/>
  <c r="J155" i="2" s="1"/>
  <c r="F147" i="2"/>
  <c r="H147" i="2" s="1"/>
  <c r="J147" i="2" s="1"/>
  <c r="F145" i="2"/>
  <c r="H145" i="2" s="1"/>
  <c r="J145" i="2" s="1"/>
  <c r="F132" i="2"/>
  <c r="H132" i="2" s="1"/>
  <c r="J132" i="2" s="1"/>
  <c r="F124" i="2"/>
  <c r="H124" i="2" s="1"/>
  <c r="J124" i="2" s="1"/>
  <c r="F123" i="2"/>
  <c r="H123" i="2" s="1"/>
  <c r="J123" i="2" s="1"/>
  <c r="F120" i="2"/>
  <c r="H120" i="2" s="1"/>
  <c r="J120" i="2" s="1"/>
  <c r="F115" i="2"/>
  <c r="H115" i="2" s="1"/>
  <c r="J115" i="2" s="1"/>
  <c r="F114" i="2"/>
  <c r="H114" i="2" s="1"/>
  <c r="J114" i="2" s="1"/>
  <c r="F113" i="2"/>
  <c r="H113" i="2" s="1"/>
  <c r="J113" i="2" s="1"/>
  <c r="F112" i="2"/>
  <c r="H112" i="2" s="1"/>
  <c r="J112" i="2" s="1"/>
  <c r="F99" i="2"/>
  <c r="H99" i="2" s="1"/>
  <c r="J99" i="2" s="1"/>
  <c r="F95" i="2"/>
  <c r="H95" i="2" s="1"/>
  <c r="J95" i="2" s="1"/>
  <c r="F94" i="2"/>
  <c r="H94" i="2" s="1"/>
  <c r="J94" i="2" s="1"/>
  <c r="F89" i="2"/>
  <c r="H89" i="2" s="1"/>
  <c r="J89" i="2" s="1"/>
  <c r="F88" i="2"/>
  <c r="H88" i="2" s="1"/>
  <c r="J88" i="2" s="1"/>
  <c r="F87" i="2"/>
  <c r="H87" i="2" s="1"/>
  <c r="J87" i="2" s="1"/>
  <c r="F84" i="2"/>
  <c r="H84" i="2" s="1"/>
  <c r="J84" i="2" s="1"/>
  <c r="F83" i="2"/>
  <c r="H83" i="2" s="1"/>
  <c r="J83" i="2" s="1"/>
  <c r="F81" i="2"/>
  <c r="H81" i="2" s="1"/>
  <c r="J81" i="2" s="1"/>
  <c r="F79" i="2"/>
  <c r="H79" i="2" s="1"/>
  <c r="J79" i="2" s="1"/>
  <c r="F76" i="2"/>
  <c r="H76" i="2" s="1"/>
  <c r="J76" i="2" s="1"/>
  <c r="F67" i="2"/>
  <c r="H67" i="2" s="1"/>
  <c r="J67" i="2" s="1"/>
  <c r="F66" i="2"/>
  <c r="H66" i="2" s="1"/>
  <c r="J66" i="2" s="1"/>
  <c r="F63" i="2"/>
  <c r="H63" i="2" s="1"/>
  <c r="J63" i="2" s="1"/>
  <c r="F59" i="2"/>
  <c r="H59" i="2" s="1"/>
  <c r="J59" i="2" s="1"/>
  <c r="F57" i="2"/>
  <c r="H57" i="2" s="1"/>
  <c r="J57" i="2" s="1"/>
  <c r="F55" i="2"/>
  <c r="H55" i="2" s="1"/>
  <c r="J55" i="2" s="1"/>
  <c r="F53" i="2"/>
  <c r="H53" i="2" s="1"/>
  <c r="J53" i="2" s="1"/>
  <c r="F50" i="2"/>
  <c r="H50" i="2" s="1"/>
  <c r="J50" i="2" s="1"/>
  <c r="F46" i="2"/>
  <c r="H46" i="2" s="1"/>
  <c r="J46" i="2" s="1"/>
  <c r="F45" i="2"/>
  <c r="H45" i="2" s="1"/>
  <c r="J45" i="2" s="1"/>
  <c r="F42" i="2"/>
  <c r="H42" i="2" s="1"/>
  <c r="J42" i="2" s="1"/>
  <c r="F41" i="2"/>
  <c r="H41" i="2" s="1"/>
  <c r="J41" i="2" s="1"/>
  <c r="F33" i="2"/>
  <c r="H33" i="2" s="1"/>
  <c r="J33" i="2" s="1"/>
  <c r="F32" i="2"/>
  <c r="H32" i="2" s="1"/>
  <c r="J32" i="2" s="1"/>
  <c r="F26" i="2"/>
  <c r="H26" i="2" s="1"/>
  <c r="J26" i="2" s="1"/>
  <c r="F23" i="2"/>
  <c r="H23" i="2" s="1"/>
  <c r="J23" i="2" s="1"/>
  <c r="E1469" i="2"/>
  <c r="E1468" i="2" s="1"/>
  <c r="E1452" i="2"/>
  <c r="E1449" i="2"/>
  <c r="E1443" i="2"/>
  <c r="E1441" i="2"/>
  <c r="E1435" i="2"/>
  <c r="E1429" i="2"/>
  <c r="E1428" i="2" s="1"/>
  <c r="E1426" i="2"/>
  <c r="E1425" i="2" s="1"/>
  <c r="E1421" i="2"/>
  <c r="E1420" i="2" s="1"/>
  <c r="E1418" i="2"/>
  <c r="E1416" i="2"/>
  <c r="E1412" i="2"/>
  <c r="E1411" i="2" s="1"/>
  <c r="E1408" i="2"/>
  <c r="E1407" i="2" s="1"/>
  <c r="E1405" i="2"/>
  <c r="E1404" i="2" s="1"/>
  <c r="E1400" i="2"/>
  <c r="E1399" i="2" s="1"/>
  <c r="E1398" i="2" s="1"/>
  <c r="E1392" i="2"/>
  <c r="E1391" i="2" s="1"/>
  <c r="E1387" i="2"/>
  <c r="E1377" i="2"/>
  <c r="E1374" i="2"/>
  <c r="E1372" i="2"/>
  <c r="E1369" i="2"/>
  <c r="E1357" i="2"/>
  <c r="E1347" i="2"/>
  <c r="E1311" i="2"/>
  <c r="E1304" i="2" s="1"/>
  <c r="E1302" i="2"/>
  <c r="E1301" i="2" s="1"/>
  <c r="E1299" i="2"/>
  <c r="E1297" i="2"/>
  <c r="E1292" i="2"/>
  <c r="E1287" i="2"/>
  <c r="E1285" i="2"/>
  <c r="E1279" i="2"/>
  <c r="E1270" i="2"/>
  <c r="E1264" i="2"/>
  <c r="E1259" i="2"/>
  <c r="E1258" i="2" s="1"/>
  <c r="E1256" i="2"/>
  <c r="E1252" i="2"/>
  <c r="E1244" i="2"/>
  <c r="E1241" i="2" s="1"/>
  <c r="E1240" i="2" s="1"/>
  <c r="E1237" i="2"/>
  <c r="E1236" i="2" s="1"/>
  <c r="E1235" i="2" s="1"/>
  <c r="E1233" i="2"/>
  <c r="E1228" i="2" s="1"/>
  <c r="E1227" i="2" s="1"/>
  <c r="E1223" i="2"/>
  <c r="E1221" i="2"/>
  <c r="E1219" i="2"/>
  <c r="E1213" i="2"/>
  <c r="E1211" i="2"/>
  <c r="E1203" i="2"/>
  <c r="E1199" i="2" s="1"/>
  <c r="E1195" i="2"/>
  <c r="E1192" i="2" s="1"/>
  <c r="E1188" i="2"/>
  <c r="E1205" i="2"/>
  <c r="E1181" i="2"/>
  <c r="E1178" i="2" s="1"/>
  <c r="E1173" i="2"/>
  <c r="E1166" i="2" s="1"/>
  <c r="E1161" i="2"/>
  <c r="E1157" i="2"/>
  <c r="E1154" i="2"/>
  <c r="E1149" i="2"/>
  <c r="E1147" i="2"/>
  <c r="E1145" i="2"/>
  <c r="E1141" i="2"/>
  <c r="E1134" i="2"/>
  <c r="E1131" i="2"/>
  <c r="E1124" i="2"/>
  <c r="E1121" i="2"/>
  <c r="E1116" i="2"/>
  <c r="E1109" i="2"/>
  <c r="E1104" i="2"/>
  <c r="E1093" i="2"/>
  <c r="E1089" i="2"/>
  <c r="E1068" i="2"/>
  <c r="E1066" i="2"/>
  <c r="E1042" i="2"/>
  <c r="E473" i="2"/>
  <c r="E472" i="2" s="1"/>
  <c r="E469" i="2" s="1"/>
  <c r="E462" i="2"/>
  <c r="E444" i="2" s="1"/>
  <c r="E442" i="2"/>
  <c r="E441" i="2" s="1"/>
  <c r="E437" i="2"/>
  <c r="E436" i="2" s="1"/>
  <c r="E428" i="2"/>
  <c r="E426" i="2"/>
  <c r="E420" i="2"/>
  <c r="E418" i="2"/>
  <c r="E416" i="2"/>
  <c r="E411" i="2"/>
  <c r="E410" i="2" s="1"/>
  <c r="E408" i="2"/>
  <c r="E407" i="2" s="1"/>
  <c r="E405" i="2"/>
  <c r="E404" i="2" s="1"/>
  <c r="E402" i="2"/>
  <c r="E401" i="2" s="1"/>
  <c r="E399" i="2"/>
  <c r="E398" i="2" s="1"/>
  <c r="E396" i="2"/>
  <c r="E394" i="2"/>
  <c r="E389" i="2"/>
  <c r="E384" i="2"/>
  <c r="E379" i="2"/>
  <c r="E377" i="2"/>
  <c r="E373" i="2"/>
  <c r="E372" i="2" s="1"/>
  <c r="E370" i="2"/>
  <c r="E369" i="2" s="1"/>
  <c r="E366" i="2"/>
  <c r="E361" i="2"/>
  <c r="E356" i="2"/>
  <c r="E355" i="2" s="1"/>
  <c r="E353" i="2"/>
  <c r="E352" i="2" s="1"/>
  <c r="E350" i="2"/>
  <c r="E349" i="2" s="1"/>
  <c r="E345" i="2"/>
  <c r="E344" i="2" s="1"/>
  <c r="E342" i="2"/>
  <c r="E341" i="2" s="1"/>
  <c r="E339" i="2"/>
  <c r="E336" i="2"/>
  <c r="E334" i="2"/>
  <c r="E330" i="2"/>
  <c r="E328" i="2"/>
  <c r="E324" i="2"/>
  <c r="E320" i="2"/>
  <c r="E318" i="2"/>
  <c r="E310" i="2"/>
  <c r="E299" i="2"/>
  <c r="E296" i="2" s="1"/>
  <c r="E294" i="2"/>
  <c r="E293" i="2" s="1"/>
  <c r="E284" i="2"/>
  <c r="E282" i="2"/>
  <c r="E280" i="2"/>
  <c r="E277" i="2"/>
  <c r="E268" i="2"/>
  <c r="E261" i="2"/>
  <c r="E259" i="2"/>
  <c r="E249" i="2"/>
  <c r="E247" i="2"/>
  <c r="E244" i="2"/>
  <c r="E242" i="2"/>
  <c r="E239" i="2"/>
  <c r="E237" i="2"/>
  <c r="E222" i="2"/>
  <c r="E220" i="2"/>
  <c r="E211" i="2"/>
  <c r="E200" i="2"/>
  <c r="E197" i="2"/>
  <c r="E194" i="2"/>
  <c r="E184" i="2"/>
  <c r="E183" i="2" s="1"/>
  <c r="E177" i="2"/>
  <c r="E171" i="2"/>
  <c r="E168" i="2"/>
  <c r="E165" i="2"/>
  <c r="E162" i="2"/>
  <c r="E154" i="2"/>
  <c r="E149" i="2"/>
  <c r="E130" i="2"/>
  <c r="E125" i="2" s="1"/>
  <c r="E122" i="2"/>
  <c r="E119" i="2"/>
  <c r="E111" i="2"/>
  <c r="E98" i="2"/>
  <c r="E97" i="2" s="1"/>
  <c r="E96" i="2" s="1"/>
  <c r="E92" i="2"/>
  <c r="E86" i="2"/>
  <c r="E82" i="2"/>
  <c r="E80" i="2"/>
  <c r="E77" i="2"/>
  <c r="E75" i="2"/>
  <c r="E65" i="2"/>
  <c r="E64" i="2" s="1"/>
  <c r="E62" i="2"/>
  <c r="E61" i="2" s="1"/>
  <c r="E58" i="2"/>
  <c r="E56" i="2"/>
  <c r="E54" i="2"/>
  <c r="E52" i="2"/>
  <c r="E47" i="2"/>
  <c r="E44" i="2"/>
  <c r="E40" i="2"/>
  <c r="E31" i="2"/>
  <c r="E24" i="2"/>
  <c r="E21" i="2"/>
  <c r="D223" i="2"/>
  <c r="D222" i="2" s="1"/>
  <c r="D1337" i="2"/>
  <c r="F1337" i="2" s="1"/>
  <c r="H1337" i="2" s="1"/>
  <c r="J1337" i="2" s="1"/>
  <c r="D1336" i="2"/>
  <c r="F1336" i="2" s="1"/>
  <c r="H1336" i="2" s="1"/>
  <c r="J1336" i="2" s="1"/>
  <c r="D1253" i="2"/>
  <c r="D1252" i="2" s="1"/>
  <c r="D171" i="2"/>
  <c r="D152" i="2"/>
  <c r="D149" i="2" s="1"/>
  <c r="D1224" i="2"/>
  <c r="F1224" i="2" s="1"/>
  <c r="H1224" i="2" s="1"/>
  <c r="J1224" i="2" s="1"/>
  <c r="D1370" i="2"/>
  <c r="F1370" i="2" s="1"/>
  <c r="H1370" i="2" s="1"/>
  <c r="J1370" i="2" s="1"/>
  <c r="D1222" i="2"/>
  <c r="F1222" i="2" s="1"/>
  <c r="H1222" i="2" s="1"/>
  <c r="J1222" i="2" s="1"/>
  <c r="D1150" i="2"/>
  <c r="F1150" i="2" s="1"/>
  <c r="H1150" i="2" s="1"/>
  <c r="J1150" i="2" s="1"/>
  <c r="D48" i="2"/>
  <c r="F48" i="2" s="1"/>
  <c r="H48" i="2" s="1"/>
  <c r="J48" i="2" s="1"/>
  <c r="D25" i="2"/>
  <c r="F25" i="2" s="1"/>
  <c r="H25" i="2" s="1"/>
  <c r="D144" i="2"/>
  <c r="D282" i="2"/>
  <c r="D277" i="2"/>
  <c r="D220" i="2"/>
  <c r="D1238" i="2"/>
  <c r="F1238" i="2" s="1"/>
  <c r="H1238" i="2" s="1"/>
  <c r="J1238" i="2" s="1"/>
  <c r="D1335" i="2"/>
  <c r="F1335" i="2" s="1"/>
  <c r="H1335" i="2" s="1"/>
  <c r="J1335" i="2" s="1"/>
  <c r="D1333" i="2"/>
  <c r="D246" i="2"/>
  <c r="F246" i="2" s="1"/>
  <c r="H246" i="2" s="1"/>
  <c r="J246" i="2" s="1"/>
  <c r="D245" i="2"/>
  <c r="F245" i="2" s="1"/>
  <c r="H245" i="2" s="1"/>
  <c r="J245" i="2" s="1"/>
  <c r="P820" i="2" l="1"/>
  <c r="R820" i="2" s="1"/>
  <c r="T820" i="2" s="1"/>
  <c r="V820" i="2" s="1"/>
  <c r="X820" i="2" s="1"/>
  <c r="Z820" i="2" s="1"/>
  <c r="N387" i="2"/>
  <c r="P387" i="2" s="1"/>
  <c r="R387" i="2" s="1"/>
  <c r="T387" i="2" s="1"/>
  <c r="V387" i="2" s="1"/>
  <c r="X387" i="2" s="1"/>
  <c r="Z387" i="2" s="1"/>
  <c r="N140" i="2"/>
  <c r="P140" i="2" s="1"/>
  <c r="R140" i="2" s="1"/>
  <c r="T140" i="2" s="1"/>
  <c r="V140" i="2" s="1"/>
  <c r="X140" i="2" s="1"/>
  <c r="Z140" i="2" s="1"/>
  <c r="N1202" i="2"/>
  <c r="P1202" i="2" s="1"/>
  <c r="R1202" i="2" s="1"/>
  <c r="T1202" i="2" s="1"/>
  <c r="V1202" i="2" s="1"/>
  <c r="X1202" i="2" s="1"/>
  <c r="Z1202" i="2" s="1"/>
  <c r="N1194" i="2"/>
  <c r="P1194" i="2" s="1"/>
  <c r="R1194" i="2" s="1"/>
  <c r="T1194" i="2" s="1"/>
  <c r="V1194" i="2" s="1"/>
  <c r="X1194" i="2" s="1"/>
  <c r="Z1194" i="2" s="1"/>
  <c r="N219" i="2"/>
  <c r="P219" i="2" s="1"/>
  <c r="R219" i="2" s="1"/>
  <c r="T219" i="2" s="1"/>
  <c r="V219" i="2" s="1"/>
  <c r="X219" i="2" s="1"/>
  <c r="Z219" i="2" s="1"/>
  <c r="N1290" i="2"/>
  <c r="P1290" i="2" s="1"/>
  <c r="R1290" i="2" s="1"/>
  <c r="T1290" i="2" s="1"/>
  <c r="V1290" i="2" s="1"/>
  <c r="X1290" i="2" s="1"/>
  <c r="Z1290" i="2" s="1"/>
  <c r="N305" i="2"/>
  <c r="P305" i="2" s="1"/>
  <c r="R305" i="2" s="1"/>
  <c r="T305" i="2" s="1"/>
  <c r="V305" i="2" s="1"/>
  <c r="X305" i="2" s="1"/>
  <c r="Z305" i="2" s="1"/>
  <c r="N181" i="2"/>
  <c r="P181" i="2" s="1"/>
  <c r="R181" i="2" s="1"/>
  <c r="T181" i="2" s="1"/>
  <c r="V181" i="2" s="1"/>
  <c r="X181" i="2" s="1"/>
  <c r="Z181" i="2" s="1"/>
  <c r="N252" i="2"/>
  <c r="P252" i="2" s="1"/>
  <c r="R252" i="2" s="1"/>
  <c r="T252" i="2" s="1"/>
  <c r="V252" i="2" s="1"/>
  <c r="X252" i="2" s="1"/>
  <c r="Z252" i="2" s="1"/>
  <c r="N256" i="2"/>
  <c r="P256" i="2" s="1"/>
  <c r="R256" i="2" s="1"/>
  <c r="T256" i="2" s="1"/>
  <c r="V256" i="2" s="1"/>
  <c r="X256" i="2" s="1"/>
  <c r="Z256" i="2" s="1"/>
  <c r="N1386" i="2"/>
  <c r="P1386" i="2" s="1"/>
  <c r="R1386" i="2" s="1"/>
  <c r="T1386" i="2" s="1"/>
  <c r="V1386" i="2" s="1"/>
  <c r="X1386" i="2" s="1"/>
  <c r="Z1386" i="2" s="1"/>
  <c r="L245" i="2"/>
  <c r="L41" i="2"/>
  <c r="L59" i="2"/>
  <c r="L94" i="2"/>
  <c r="L123" i="2"/>
  <c r="L172" i="2"/>
  <c r="L238" i="2"/>
  <c r="L250" i="2"/>
  <c r="L295" i="2"/>
  <c r="L346" i="2"/>
  <c r="L371" i="2"/>
  <c r="L406" i="2"/>
  <c r="L440" i="2"/>
  <c r="L1047" i="2"/>
  <c r="L1051" i="2"/>
  <c r="L1095" i="2"/>
  <c r="L1127" i="2"/>
  <c r="L1148" i="2"/>
  <c r="L1183" i="2"/>
  <c r="L1234" i="2"/>
  <c r="L1261" i="2"/>
  <c r="L1286" i="2"/>
  <c r="L1322" i="2"/>
  <c r="L1334" i="2"/>
  <c r="L1358" i="2"/>
  <c r="L1393" i="2"/>
  <c r="L1413" i="2"/>
  <c r="L246" i="2"/>
  <c r="L1370" i="2"/>
  <c r="L26" i="2"/>
  <c r="L42" i="2"/>
  <c r="L53" i="2"/>
  <c r="L63" i="2"/>
  <c r="L79" i="2"/>
  <c r="L87" i="2"/>
  <c r="L95" i="2"/>
  <c r="L114" i="2"/>
  <c r="L124" i="2"/>
  <c r="L155" i="2"/>
  <c r="L167" i="2"/>
  <c r="L173" i="2"/>
  <c r="L196" i="2"/>
  <c r="L213" i="2"/>
  <c r="L241" i="2"/>
  <c r="L260" i="2"/>
  <c r="L271" i="2"/>
  <c r="L281" i="2"/>
  <c r="L300" i="2"/>
  <c r="L321" i="2"/>
  <c r="L338" i="2"/>
  <c r="L351" i="2"/>
  <c r="L362" i="2"/>
  <c r="L374" i="2"/>
  <c r="L381" i="2"/>
  <c r="L397" i="2"/>
  <c r="L409" i="2"/>
  <c r="L421" i="2"/>
  <c r="L443" i="2"/>
  <c r="L454" i="2"/>
  <c r="L466" i="2"/>
  <c r="L1048" i="2"/>
  <c r="L1067" i="2"/>
  <c r="L1091" i="2"/>
  <c r="L1096" i="2"/>
  <c r="L1100" i="2"/>
  <c r="L1122" i="2"/>
  <c r="L1128" i="2"/>
  <c r="L1136" i="2"/>
  <c r="L1155" i="2"/>
  <c r="L1162" i="2"/>
  <c r="L1206" i="2"/>
  <c r="L1212" i="2"/>
  <c r="L1245" i="2"/>
  <c r="L1255" i="2"/>
  <c r="L1265" i="2"/>
  <c r="L1275" i="2"/>
  <c r="L1288" i="2"/>
  <c r="L1303" i="2"/>
  <c r="L1323" i="2"/>
  <c r="L1327" i="2"/>
  <c r="L1338" i="2"/>
  <c r="L1348" i="2"/>
  <c r="L1373" i="2"/>
  <c r="L1380" i="2"/>
  <c r="L1394" i="2"/>
  <c r="L1402" i="2"/>
  <c r="L1414" i="2"/>
  <c r="L1427" i="2"/>
  <c r="L1440" i="2"/>
  <c r="L1450" i="2"/>
  <c r="L1455" i="2"/>
  <c r="L1222" i="2"/>
  <c r="L23" i="2"/>
  <c r="L76" i="2"/>
  <c r="L113" i="2"/>
  <c r="L147" i="2"/>
  <c r="L195" i="2"/>
  <c r="L270" i="2"/>
  <c r="L319" i="2"/>
  <c r="L358" i="2"/>
  <c r="L395" i="2"/>
  <c r="L419" i="2"/>
  <c r="L465" i="2"/>
  <c r="L1090" i="2"/>
  <c r="L1099" i="2"/>
  <c r="L1135" i="2"/>
  <c r="L1159" i="2"/>
  <c r="L1204" i="2"/>
  <c r="L1254" i="2"/>
  <c r="L1273" i="2"/>
  <c r="L1300" i="2"/>
  <c r="L1326" i="2"/>
  <c r="L1343" i="2"/>
  <c r="L1379" i="2"/>
  <c r="L1401" i="2"/>
  <c r="L1422" i="2"/>
  <c r="L1445" i="2"/>
  <c r="L1454" i="2"/>
  <c r="L48" i="2"/>
  <c r="L1224" i="2"/>
  <c r="L1336" i="2"/>
  <c r="L32" i="2"/>
  <c r="L45" i="2"/>
  <c r="L55" i="2"/>
  <c r="L66" i="2"/>
  <c r="L81" i="2"/>
  <c r="L88" i="2"/>
  <c r="L99" i="2"/>
  <c r="L115" i="2"/>
  <c r="L132" i="2"/>
  <c r="L163" i="2"/>
  <c r="L169" i="2"/>
  <c r="L178" i="2"/>
  <c r="L198" i="2"/>
  <c r="L221" i="2"/>
  <c r="L243" i="2"/>
  <c r="L262" i="2"/>
  <c r="L273" i="2"/>
  <c r="L283" i="2"/>
  <c r="L311" i="2"/>
  <c r="L329" i="2"/>
  <c r="L340" i="2"/>
  <c r="L354" i="2"/>
  <c r="L363" i="2"/>
  <c r="L375" i="2"/>
  <c r="L385" i="2"/>
  <c r="L400" i="2"/>
  <c r="L412" i="2"/>
  <c r="L427" i="2"/>
  <c r="L451" i="2"/>
  <c r="L463" i="2"/>
  <c r="L467" i="2"/>
  <c r="L1049" i="2"/>
  <c r="L1069" i="2"/>
  <c r="L1092" i="2"/>
  <c r="L1097" i="2"/>
  <c r="L1105" i="2"/>
  <c r="L1125" i="2"/>
  <c r="L1132" i="2"/>
  <c r="L1142" i="2"/>
  <c r="L1156" i="2"/>
  <c r="L1174" i="2"/>
  <c r="L1189" i="2"/>
  <c r="L1214" i="2"/>
  <c r="L1246" i="2"/>
  <c r="L1257" i="2"/>
  <c r="L1271" i="2"/>
  <c r="L1276" i="2"/>
  <c r="L1293" i="2"/>
  <c r="L1312" i="2"/>
  <c r="L1324" i="2"/>
  <c r="L1330" i="2"/>
  <c r="L1341" i="2"/>
  <c r="L1349" i="2"/>
  <c r="L1375" i="2"/>
  <c r="L1388" i="2"/>
  <c r="L1395" i="2"/>
  <c r="L1406" i="2"/>
  <c r="L1417" i="2"/>
  <c r="L1430" i="2"/>
  <c r="L1442" i="2"/>
  <c r="L1451" i="2"/>
  <c r="L1456" i="2"/>
  <c r="L1238" i="2"/>
  <c r="L50" i="2"/>
  <c r="L84" i="2"/>
  <c r="L166" i="2"/>
  <c r="L212" i="2"/>
  <c r="L279" i="2"/>
  <c r="L335" i="2"/>
  <c r="L380" i="2"/>
  <c r="L453" i="2"/>
  <c r="L1117" i="2"/>
  <c r="L1438" i="2"/>
  <c r="L1335" i="2"/>
  <c r="L1150" i="2"/>
  <c r="L1337" i="2"/>
  <c r="L33" i="2"/>
  <c r="L46" i="2"/>
  <c r="L57" i="2"/>
  <c r="L67" i="2"/>
  <c r="L83" i="2"/>
  <c r="L89" i="2"/>
  <c r="L112" i="2"/>
  <c r="L120" i="2"/>
  <c r="L145" i="2"/>
  <c r="L164" i="2"/>
  <c r="L170" i="2"/>
  <c r="L185" i="2"/>
  <c r="L199" i="2"/>
  <c r="L224" i="2"/>
  <c r="L248" i="2"/>
  <c r="L269" i="2"/>
  <c r="L278" i="2"/>
  <c r="L285" i="2"/>
  <c r="L312" i="2"/>
  <c r="L331" i="2"/>
  <c r="L343" i="2"/>
  <c r="L357" i="2"/>
  <c r="L367" i="2"/>
  <c r="L378" i="2"/>
  <c r="L391" i="2"/>
  <c r="L403" i="2"/>
  <c r="L417" i="2"/>
  <c r="L429" i="2"/>
  <c r="L452" i="2"/>
  <c r="L464" i="2"/>
  <c r="L1050" i="2"/>
  <c r="L1070" i="2"/>
  <c r="L1094" i="2"/>
  <c r="L1098" i="2"/>
  <c r="L1110" i="2"/>
  <c r="L1126" i="2"/>
  <c r="L1133" i="2"/>
  <c r="L1146" i="2"/>
  <c r="L1158" i="2"/>
  <c r="L1176" i="2"/>
  <c r="L1196" i="2"/>
  <c r="L1220" i="2"/>
  <c r="L1247" i="2"/>
  <c r="L1260" i="2"/>
  <c r="L1272" i="2"/>
  <c r="L1280" i="2"/>
  <c r="L1298" i="2"/>
  <c r="L1313" i="2"/>
  <c r="L1325" i="2"/>
  <c r="L1331" i="2"/>
  <c r="L1342" i="2"/>
  <c r="L1350" i="2"/>
  <c r="L1378" i="2"/>
  <c r="L1389" i="2"/>
  <c r="L1396" i="2"/>
  <c r="L1409" i="2"/>
  <c r="L1419" i="2"/>
  <c r="L1437" i="2"/>
  <c r="L1444" i="2"/>
  <c r="L1453" i="2"/>
  <c r="L1470" i="2"/>
  <c r="J25" i="2"/>
  <c r="J474" i="2"/>
  <c r="H473" i="2"/>
  <c r="F1252" i="2"/>
  <c r="H1252" i="2" s="1"/>
  <c r="J1252" i="2" s="1"/>
  <c r="L1252" i="2" s="1"/>
  <c r="N1252" i="2" s="1"/>
  <c r="P1252" i="2" s="1"/>
  <c r="R1252" i="2" s="1"/>
  <c r="T1252" i="2" s="1"/>
  <c r="V1252" i="2" s="1"/>
  <c r="X1252" i="2" s="1"/>
  <c r="D1332" i="2"/>
  <c r="F1332" i="2" s="1"/>
  <c r="H1332" i="2" s="1"/>
  <c r="J1332" i="2" s="1"/>
  <c r="L1332" i="2" s="1"/>
  <c r="N1332" i="2" s="1"/>
  <c r="P1332" i="2" s="1"/>
  <c r="R1332" i="2" s="1"/>
  <c r="T1332" i="2" s="1"/>
  <c r="V1332" i="2" s="1"/>
  <c r="X1332" i="2" s="1"/>
  <c r="F220" i="2"/>
  <c r="H220" i="2" s="1"/>
  <c r="J220" i="2" s="1"/>
  <c r="L220" i="2" s="1"/>
  <c r="N220" i="2" s="1"/>
  <c r="P220" i="2" s="1"/>
  <c r="R220" i="2" s="1"/>
  <c r="T220" i="2" s="1"/>
  <c r="V220" i="2" s="1"/>
  <c r="X220" i="2" s="1"/>
  <c r="F282" i="2"/>
  <c r="H282" i="2" s="1"/>
  <c r="J282" i="2" s="1"/>
  <c r="L282" i="2" s="1"/>
  <c r="N282" i="2" s="1"/>
  <c r="P282" i="2" s="1"/>
  <c r="R282" i="2" s="1"/>
  <c r="T282" i="2" s="1"/>
  <c r="V282" i="2" s="1"/>
  <c r="X282" i="2" s="1"/>
  <c r="E1431" i="2"/>
  <c r="F171" i="2"/>
  <c r="H171" i="2" s="1"/>
  <c r="J171" i="2" s="1"/>
  <c r="L171" i="2" s="1"/>
  <c r="N171" i="2" s="1"/>
  <c r="P171" i="2" s="1"/>
  <c r="R171" i="2" s="1"/>
  <c r="T171" i="2" s="1"/>
  <c r="V171" i="2" s="1"/>
  <c r="X171" i="2" s="1"/>
  <c r="F222" i="2"/>
  <c r="H222" i="2" s="1"/>
  <c r="J222" i="2" s="1"/>
  <c r="L222" i="2" s="1"/>
  <c r="N222" i="2" s="1"/>
  <c r="P222" i="2" s="1"/>
  <c r="R222" i="2" s="1"/>
  <c r="T222" i="2" s="1"/>
  <c r="V222" i="2" s="1"/>
  <c r="X222" i="2" s="1"/>
  <c r="E133" i="2"/>
  <c r="E425" i="2"/>
  <c r="E424" i="2" s="1"/>
  <c r="F152" i="2"/>
  <c r="H152" i="2" s="1"/>
  <c r="J152" i="2" s="1"/>
  <c r="F1253" i="2"/>
  <c r="H1253" i="2" s="1"/>
  <c r="J1253" i="2" s="1"/>
  <c r="F223" i="2"/>
  <c r="H223" i="2" s="1"/>
  <c r="J223" i="2" s="1"/>
  <c r="F1333" i="2"/>
  <c r="H1333" i="2" s="1"/>
  <c r="J1333" i="2" s="1"/>
  <c r="E18" i="2"/>
  <c r="F149" i="2"/>
  <c r="H149" i="2" s="1"/>
  <c r="J149" i="2" s="1"/>
  <c r="L149" i="2" s="1"/>
  <c r="N149" i="2" s="1"/>
  <c r="P149" i="2" s="1"/>
  <c r="R149" i="2" s="1"/>
  <c r="T149" i="2" s="1"/>
  <c r="V149" i="2" s="1"/>
  <c r="X149" i="2" s="1"/>
  <c r="E254" i="2"/>
  <c r="F277" i="2"/>
  <c r="H277" i="2" s="1"/>
  <c r="J277" i="2" s="1"/>
  <c r="L277" i="2" s="1"/>
  <c r="N277" i="2" s="1"/>
  <c r="P277" i="2" s="1"/>
  <c r="R277" i="2" s="1"/>
  <c r="T277" i="2" s="1"/>
  <c r="V277" i="2" s="1"/>
  <c r="X277" i="2" s="1"/>
  <c r="E1376" i="2"/>
  <c r="E215" i="2"/>
  <c r="E302" i="2"/>
  <c r="E301" i="2" s="1"/>
  <c r="E1057" i="2"/>
  <c r="E1041" i="2" s="1"/>
  <c r="E51" i="2"/>
  <c r="E176" i="2"/>
  <c r="E228" i="2"/>
  <c r="E435" i="2"/>
  <c r="E1278" i="2"/>
  <c r="E107" i="2"/>
  <c r="F144" i="2"/>
  <c r="H144" i="2" s="1"/>
  <c r="J144" i="2" s="1"/>
  <c r="L144" i="2" s="1"/>
  <c r="N144" i="2" s="1"/>
  <c r="P144" i="2" s="1"/>
  <c r="R144" i="2" s="1"/>
  <c r="T144" i="2" s="1"/>
  <c r="V144" i="2" s="1"/>
  <c r="X144" i="2" s="1"/>
  <c r="E376" i="2"/>
  <c r="E368" i="2" s="1"/>
  <c r="E1085" i="2"/>
  <c r="E264" i="2"/>
  <c r="E85" i="2"/>
  <c r="E333" i="2"/>
  <c r="E332" i="2" s="1"/>
  <c r="E360" i="2"/>
  <c r="E359" i="2" s="1"/>
  <c r="E393" i="2"/>
  <c r="E392" i="2" s="1"/>
  <c r="E1208" i="2"/>
  <c r="E1251" i="2"/>
  <c r="E1415" i="2"/>
  <c r="E1410" i="2" s="1"/>
  <c r="E72" i="2"/>
  <c r="E1314" i="2"/>
  <c r="E27" i="2"/>
  <c r="E193" i="2"/>
  <c r="E415" i="2"/>
  <c r="E1371" i="2"/>
  <c r="E348" i="2"/>
  <c r="E1296" i="2"/>
  <c r="E292" i="2"/>
  <c r="E1403" i="2"/>
  <c r="E1112" i="2"/>
  <c r="E1263" i="2"/>
  <c r="E1424" i="2"/>
  <c r="D1412" i="2"/>
  <c r="F1412" i="2" s="1"/>
  <c r="H1412" i="2" s="1"/>
  <c r="J1412" i="2" s="1"/>
  <c r="L1412" i="2" s="1"/>
  <c r="N1412" i="2" s="1"/>
  <c r="P1412" i="2" s="1"/>
  <c r="R1412" i="2" s="1"/>
  <c r="T1412" i="2" s="1"/>
  <c r="V1412" i="2" s="1"/>
  <c r="X1412" i="2" s="1"/>
  <c r="P819" i="2" l="1"/>
  <c r="R819" i="2" s="1"/>
  <c r="T819" i="2" s="1"/>
  <c r="V819" i="2" s="1"/>
  <c r="X819" i="2" s="1"/>
  <c r="N1470" i="2"/>
  <c r="P1470" i="2" s="1"/>
  <c r="R1470" i="2" s="1"/>
  <c r="T1470" i="2" s="1"/>
  <c r="V1470" i="2" s="1"/>
  <c r="X1470" i="2" s="1"/>
  <c r="Z1470" i="2" s="1"/>
  <c r="N1325" i="2"/>
  <c r="P1325" i="2" s="1"/>
  <c r="R1325" i="2" s="1"/>
  <c r="T1325" i="2" s="1"/>
  <c r="V1325" i="2" s="1"/>
  <c r="X1325" i="2" s="1"/>
  <c r="Z1325" i="2" s="1"/>
  <c r="N1196" i="2"/>
  <c r="P1196" i="2" s="1"/>
  <c r="R1196" i="2" s="1"/>
  <c r="T1196" i="2" s="1"/>
  <c r="V1196" i="2" s="1"/>
  <c r="X1196" i="2" s="1"/>
  <c r="Z1196" i="2" s="1"/>
  <c r="N1094" i="2"/>
  <c r="P1094" i="2" s="1"/>
  <c r="R1094" i="2" s="1"/>
  <c r="T1094" i="2" s="1"/>
  <c r="V1094" i="2" s="1"/>
  <c r="X1094" i="2" s="1"/>
  <c r="Z1094" i="2" s="1"/>
  <c r="N391" i="2"/>
  <c r="P391" i="2" s="1"/>
  <c r="R391" i="2" s="1"/>
  <c r="T391" i="2" s="1"/>
  <c r="V391" i="2" s="1"/>
  <c r="X391" i="2" s="1"/>
  <c r="Z391" i="2" s="1"/>
  <c r="N278" i="2"/>
  <c r="P278" i="2" s="1"/>
  <c r="R278" i="2" s="1"/>
  <c r="T278" i="2" s="1"/>
  <c r="V278" i="2" s="1"/>
  <c r="X278" i="2" s="1"/>
  <c r="Z278" i="2" s="1"/>
  <c r="N83" i="2"/>
  <c r="P83" i="2" s="1"/>
  <c r="R83" i="2" s="1"/>
  <c r="T83" i="2" s="1"/>
  <c r="V83" i="2" s="1"/>
  <c r="X83" i="2" s="1"/>
  <c r="Z83" i="2" s="1"/>
  <c r="N1438" i="2"/>
  <c r="P1438" i="2" s="1"/>
  <c r="R1438" i="2" s="1"/>
  <c r="T1438" i="2" s="1"/>
  <c r="V1438" i="2" s="1"/>
  <c r="X1438" i="2" s="1"/>
  <c r="Z1438" i="2" s="1"/>
  <c r="N1451" i="2"/>
  <c r="P1451" i="2" s="1"/>
  <c r="R1451" i="2" s="1"/>
  <c r="T1451" i="2" s="1"/>
  <c r="V1451" i="2" s="1"/>
  <c r="X1451" i="2" s="1"/>
  <c r="Z1451" i="2" s="1"/>
  <c r="N1349" i="2"/>
  <c r="P1349" i="2" s="1"/>
  <c r="R1349" i="2" s="1"/>
  <c r="T1349" i="2" s="1"/>
  <c r="V1349" i="2" s="1"/>
  <c r="X1349" i="2" s="1"/>
  <c r="Z1349" i="2" s="1"/>
  <c r="N1257" i="2"/>
  <c r="P1257" i="2" s="1"/>
  <c r="R1257" i="2" s="1"/>
  <c r="T1257" i="2" s="1"/>
  <c r="V1257" i="2" s="1"/>
  <c r="X1257" i="2" s="1"/>
  <c r="Z1257" i="2" s="1"/>
  <c r="N1125" i="2"/>
  <c r="P1125" i="2" s="1"/>
  <c r="R1125" i="2" s="1"/>
  <c r="T1125" i="2" s="1"/>
  <c r="V1125" i="2" s="1"/>
  <c r="X1125" i="2" s="1"/>
  <c r="Z1125" i="2" s="1"/>
  <c r="N451" i="2"/>
  <c r="P451" i="2" s="1"/>
  <c r="R451" i="2" s="1"/>
  <c r="T451" i="2" s="1"/>
  <c r="V451" i="2" s="1"/>
  <c r="X451" i="2" s="1"/>
  <c r="Z451" i="2" s="1"/>
  <c r="N273" i="2"/>
  <c r="P273" i="2" s="1"/>
  <c r="R273" i="2" s="1"/>
  <c r="T273" i="2" s="1"/>
  <c r="V273" i="2" s="1"/>
  <c r="X273" i="2" s="1"/>
  <c r="Z273" i="2" s="1"/>
  <c r="N132" i="2"/>
  <c r="P132" i="2" s="1"/>
  <c r="R132" i="2" s="1"/>
  <c r="T132" i="2" s="1"/>
  <c r="V132" i="2" s="1"/>
  <c r="X132" i="2" s="1"/>
  <c r="Z132" i="2" s="1"/>
  <c r="N32" i="2"/>
  <c r="P32" i="2" s="1"/>
  <c r="R32" i="2" s="1"/>
  <c r="T32" i="2" s="1"/>
  <c r="V32" i="2" s="1"/>
  <c r="X32" i="2" s="1"/>
  <c r="Z32" i="2" s="1"/>
  <c r="N1273" i="2"/>
  <c r="P1273" i="2" s="1"/>
  <c r="R1273" i="2" s="1"/>
  <c r="T1273" i="2" s="1"/>
  <c r="V1273" i="2" s="1"/>
  <c r="X1273" i="2" s="1"/>
  <c r="Z1273" i="2" s="1"/>
  <c r="N419" i="2"/>
  <c r="P419" i="2" s="1"/>
  <c r="R419" i="2" s="1"/>
  <c r="T419" i="2" s="1"/>
  <c r="V419" i="2" s="1"/>
  <c r="X419" i="2" s="1"/>
  <c r="Z419" i="2" s="1"/>
  <c r="N76" i="2"/>
  <c r="P76" i="2" s="1"/>
  <c r="R76" i="2" s="1"/>
  <c r="T76" i="2" s="1"/>
  <c r="V76" i="2" s="1"/>
  <c r="X76" i="2" s="1"/>
  <c r="Z76" i="2" s="1"/>
  <c r="N1348" i="2"/>
  <c r="P1348" i="2" s="1"/>
  <c r="R1348" i="2" s="1"/>
  <c r="T1348" i="2" s="1"/>
  <c r="V1348" i="2" s="1"/>
  <c r="X1348" i="2" s="1"/>
  <c r="Z1348" i="2" s="1"/>
  <c r="N1255" i="2"/>
  <c r="P1255" i="2" s="1"/>
  <c r="R1255" i="2" s="1"/>
  <c r="T1255" i="2" s="1"/>
  <c r="V1255" i="2" s="1"/>
  <c r="X1255" i="2" s="1"/>
  <c r="Z1255" i="2" s="1"/>
  <c r="N443" i="2"/>
  <c r="P443" i="2" s="1"/>
  <c r="R443" i="2" s="1"/>
  <c r="T443" i="2" s="1"/>
  <c r="V443" i="2" s="1"/>
  <c r="X443" i="2" s="1"/>
  <c r="Z443" i="2" s="1"/>
  <c r="N196" i="2"/>
  <c r="P196" i="2" s="1"/>
  <c r="R196" i="2" s="1"/>
  <c r="T196" i="2" s="1"/>
  <c r="V196" i="2" s="1"/>
  <c r="X196" i="2" s="1"/>
  <c r="Z196" i="2" s="1"/>
  <c r="N331" i="2"/>
  <c r="P331" i="2" s="1"/>
  <c r="R331" i="2" s="1"/>
  <c r="T331" i="2" s="1"/>
  <c r="V331" i="2" s="1"/>
  <c r="X331" i="2" s="1"/>
  <c r="Z331" i="2" s="1"/>
  <c r="N1049" i="2"/>
  <c r="P1049" i="2" s="1"/>
  <c r="R1049" i="2" s="1"/>
  <c r="T1049" i="2" s="1"/>
  <c r="V1049" i="2" s="1"/>
  <c r="X1049" i="2" s="1"/>
  <c r="Z1049" i="2" s="1"/>
  <c r="N375" i="2"/>
  <c r="P375" i="2" s="1"/>
  <c r="R375" i="2" s="1"/>
  <c r="T375" i="2" s="1"/>
  <c r="V375" i="2" s="1"/>
  <c r="X375" i="2" s="1"/>
  <c r="Z375" i="2" s="1"/>
  <c r="N262" i="2"/>
  <c r="P262" i="2" s="1"/>
  <c r="R262" i="2" s="1"/>
  <c r="T262" i="2" s="1"/>
  <c r="V262" i="2" s="1"/>
  <c r="X262" i="2" s="1"/>
  <c r="Z262" i="2" s="1"/>
  <c r="N115" i="2"/>
  <c r="P115" i="2" s="1"/>
  <c r="R115" i="2" s="1"/>
  <c r="T115" i="2" s="1"/>
  <c r="V115" i="2" s="1"/>
  <c r="X115" i="2" s="1"/>
  <c r="Z115" i="2" s="1"/>
  <c r="N1336" i="2"/>
  <c r="P1336" i="2" s="1"/>
  <c r="R1336" i="2" s="1"/>
  <c r="T1336" i="2" s="1"/>
  <c r="V1336" i="2" s="1"/>
  <c r="X1336" i="2" s="1"/>
  <c r="Z1336" i="2" s="1"/>
  <c r="N1343" i="2"/>
  <c r="P1343" i="2" s="1"/>
  <c r="R1343" i="2" s="1"/>
  <c r="T1343" i="2" s="1"/>
  <c r="V1343" i="2" s="1"/>
  <c r="X1343" i="2" s="1"/>
  <c r="Z1343" i="2" s="1"/>
  <c r="N1099" i="2"/>
  <c r="P1099" i="2" s="1"/>
  <c r="R1099" i="2" s="1"/>
  <c r="T1099" i="2" s="1"/>
  <c r="V1099" i="2" s="1"/>
  <c r="X1099" i="2" s="1"/>
  <c r="Z1099" i="2" s="1"/>
  <c r="N195" i="2"/>
  <c r="P195" i="2" s="1"/>
  <c r="R195" i="2" s="1"/>
  <c r="T195" i="2" s="1"/>
  <c r="V195" i="2" s="1"/>
  <c r="X195" i="2" s="1"/>
  <c r="Z195" i="2" s="1"/>
  <c r="N1440" i="2"/>
  <c r="P1440" i="2" s="1"/>
  <c r="R1440" i="2" s="1"/>
  <c r="T1440" i="2" s="1"/>
  <c r="V1440" i="2" s="1"/>
  <c r="X1440" i="2" s="1"/>
  <c r="Z1440" i="2" s="1"/>
  <c r="N1338" i="2"/>
  <c r="P1338" i="2" s="1"/>
  <c r="R1338" i="2" s="1"/>
  <c r="T1338" i="2" s="1"/>
  <c r="V1338" i="2" s="1"/>
  <c r="X1338" i="2" s="1"/>
  <c r="Z1338" i="2" s="1"/>
  <c r="N1245" i="2"/>
  <c r="P1245" i="2" s="1"/>
  <c r="R1245" i="2" s="1"/>
  <c r="T1245" i="2" s="1"/>
  <c r="V1245" i="2" s="1"/>
  <c r="X1245" i="2" s="1"/>
  <c r="Z1245" i="2" s="1"/>
  <c r="N1100" i="2"/>
  <c r="P1100" i="2" s="1"/>
  <c r="R1100" i="2" s="1"/>
  <c r="T1100" i="2" s="1"/>
  <c r="V1100" i="2" s="1"/>
  <c r="X1100" i="2" s="1"/>
  <c r="Z1100" i="2" s="1"/>
  <c r="N1048" i="2"/>
  <c r="P1048" i="2" s="1"/>
  <c r="R1048" i="2" s="1"/>
  <c r="T1048" i="2" s="1"/>
  <c r="V1048" i="2" s="1"/>
  <c r="X1048" i="2" s="1"/>
  <c r="Z1048" i="2" s="1"/>
  <c r="N374" i="2"/>
  <c r="P374" i="2" s="1"/>
  <c r="R374" i="2" s="1"/>
  <c r="T374" i="2" s="1"/>
  <c r="V374" i="2" s="1"/>
  <c r="X374" i="2" s="1"/>
  <c r="Z374" i="2" s="1"/>
  <c r="N260" i="2"/>
  <c r="P260" i="2" s="1"/>
  <c r="R260" i="2" s="1"/>
  <c r="T260" i="2" s="1"/>
  <c r="V260" i="2" s="1"/>
  <c r="X260" i="2" s="1"/>
  <c r="Z260" i="2" s="1"/>
  <c r="N63" i="2"/>
  <c r="P63" i="2" s="1"/>
  <c r="R63" i="2" s="1"/>
  <c r="T63" i="2" s="1"/>
  <c r="V63" i="2" s="1"/>
  <c r="X63" i="2" s="1"/>
  <c r="Z63" i="2" s="1"/>
  <c r="N1358" i="2"/>
  <c r="P1358" i="2" s="1"/>
  <c r="R1358" i="2" s="1"/>
  <c r="T1358" i="2" s="1"/>
  <c r="V1358" i="2" s="1"/>
  <c r="X1358" i="2" s="1"/>
  <c r="Z1358" i="2" s="1"/>
  <c r="N1261" i="2"/>
  <c r="P1261" i="2" s="1"/>
  <c r="R1261" i="2" s="1"/>
  <c r="T1261" i="2" s="1"/>
  <c r="V1261" i="2" s="1"/>
  <c r="X1261" i="2" s="1"/>
  <c r="Z1261" i="2" s="1"/>
  <c r="N440" i="2"/>
  <c r="P440" i="2" s="1"/>
  <c r="R440" i="2" s="1"/>
  <c r="T440" i="2" s="1"/>
  <c r="V440" i="2" s="1"/>
  <c r="X440" i="2" s="1"/>
  <c r="Z440" i="2" s="1"/>
  <c r="N123" i="2"/>
  <c r="P123" i="2" s="1"/>
  <c r="R123" i="2" s="1"/>
  <c r="T123" i="2" s="1"/>
  <c r="V123" i="2" s="1"/>
  <c r="X123" i="2" s="1"/>
  <c r="Z123" i="2" s="1"/>
  <c r="N1444" i="2"/>
  <c r="P1444" i="2" s="1"/>
  <c r="R1444" i="2" s="1"/>
  <c r="T1444" i="2" s="1"/>
  <c r="V1444" i="2" s="1"/>
  <c r="X1444" i="2" s="1"/>
  <c r="Z1444" i="2" s="1"/>
  <c r="N1396" i="2"/>
  <c r="P1396" i="2" s="1"/>
  <c r="R1396" i="2" s="1"/>
  <c r="T1396" i="2" s="1"/>
  <c r="V1396" i="2" s="1"/>
  <c r="X1396" i="2" s="1"/>
  <c r="Z1396" i="2" s="1"/>
  <c r="N1342" i="2"/>
  <c r="P1342" i="2" s="1"/>
  <c r="R1342" i="2" s="1"/>
  <c r="T1342" i="2" s="1"/>
  <c r="V1342" i="2" s="1"/>
  <c r="X1342" i="2" s="1"/>
  <c r="Z1342" i="2" s="1"/>
  <c r="N1298" i="2"/>
  <c r="P1298" i="2" s="1"/>
  <c r="R1298" i="2" s="1"/>
  <c r="T1298" i="2" s="1"/>
  <c r="V1298" i="2" s="1"/>
  <c r="X1298" i="2" s="1"/>
  <c r="Z1298" i="2" s="1"/>
  <c r="N1247" i="2"/>
  <c r="P1247" i="2" s="1"/>
  <c r="R1247" i="2" s="1"/>
  <c r="T1247" i="2" s="1"/>
  <c r="V1247" i="2" s="1"/>
  <c r="X1247" i="2" s="1"/>
  <c r="Z1247" i="2" s="1"/>
  <c r="N1158" i="2"/>
  <c r="P1158" i="2" s="1"/>
  <c r="R1158" i="2" s="1"/>
  <c r="T1158" i="2" s="1"/>
  <c r="V1158" i="2" s="1"/>
  <c r="X1158" i="2" s="1"/>
  <c r="Z1158" i="2" s="1"/>
  <c r="N1110" i="2"/>
  <c r="P1110" i="2" s="1"/>
  <c r="R1110" i="2" s="1"/>
  <c r="T1110" i="2" s="1"/>
  <c r="V1110" i="2" s="1"/>
  <c r="X1110" i="2" s="1"/>
  <c r="Z1110" i="2" s="1"/>
  <c r="N1050" i="2"/>
  <c r="P1050" i="2" s="1"/>
  <c r="R1050" i="2" s="1"/>
  <c r="T1050" i="2" s="1"/>
  <c r="V1050" i="2" s="1"/>
  <c r="X1050" i="2" s="1"/>
  <c r="Z1050" i="2" s="1"/>
  <c r="N417" i="2"/>
  <c r="P417" i="2" s="1"/>
  <c r="R417" i="2" s="1"/>
  <c r="T417" i="2" s="1"/>
  <c r="V417" i="2" s="1"/>
  <c r="X417" i="2" s="1"/>
  <c r="Z417" i="2" s="1"/>
  <c r="N367" i="2"/>
  <c r="P367" i="2" s="1"/>
  <c r="R367" i="2" s="1"/>
  <c r="T367" i="2" s="1"/>
  <c r="V367" i="2" s="1"/>
  <c r="X367" i="2" s="1"/>
  <c r="Z367" i="2" s="1"/>
  <c r="N312" i="2"/>
  <c r="P312" i="2" s="1"/>
  <c r="R312" i="2" s="1"/>
  <c r="T312" i="2" s="1"/>
  <c r="V312" i="2" s="1"/>
  <c r="X312" i="2" s="1"/>
  <c r="Z312" i="2" s="1"/>
  <c r="N248" i="2"/>
  <c r="P248" i="2" s="1"/>
  <c r="R248" i="2" s="1"/>
  <c r="T248" i="2" s="1"/>
  <c r="V248" i="2" s="1"/>
  <c r="X248" i="2" s="1"/>
  <c r="Z248" i="2" s="1"/>
  <c r="N170" i="2"/>
  <c r="P170" i="2" s="1"/>
  <c r="R170" i="2" s="1"/>
  <c r="T170" i="2" s="1"/>
  <c r="V170" i="2" s="1"/>
  <c r="X170" i="2" s="1"/>
  <c r="Z170" i="2" s="1"/>
  <c r="N112" i="2"/>
  <c r="P112" i="2" s="1"/>
  <c r="R112" i="2" s="1"/>
  <c r="T112" i="2" s="1"/>
  <c r="V112" i="2" s="1"/>
  <c r="X112" i="2" s="1"/>
  <c r="Z112" i="2" s="1"/>
  <c r="N57" i="2"/>
  <c r="P57" i="2" s="1"/>
  <c r="R57" i="2" s="1"/>
  <c r="T57" i="2" s="1"/>
  <c r="V57" i="2" s="1"/>
  <c r="X57" i="2" s="1"/>
  <c r="Z57" i="2" s="1"/>
  <c r="N1150" i="2"/>
  <c r="P1150" i="2" s="1"/>
  <c r="R1150" i="2" s="1"/>
  <c r="T1150" i="2" s="1"/>
  <c r="V1150" i="2" s="1"/>
  <c r="X1150" i="2" s="1"/>
  <c r="Z1150" i="2" s="1"/>
  <c r="N453" i="2"/>
  <c r="P453" i="2" s="1"/>
  <c r="R453" i="2" s="1"/>
  <c r="T453" i="2" s="1"/>
  <c r="V453" i="2" s="1"/>
  <c r="X453" i="2" s="1"/>
  <c r="Z453" i="2" s="1"/>
  <c r="N212" i="2"/>
  <c r="P212" i="2" s="1"/>
  <c r="R212" i="2" s="1"/>
  <c r="T212" i="2" s="1"/>
  <c r="V212" i="2" s="1"/>
  <c r="X212" i="2" s="1"/>
  <c r="Z212" i="2" s="1"/>
  <c r="N1238" i="2"/>
  <c r="P1238" i="2" s="1"/>
  <c r="R1238" i="2" s="1"/>
  <c r="T1238" i="2" s="1"/>
  <c r="V1238" i="2" s="1"/>
  <c r="X1238" i="2" s="1"/>
  <c r="Z1238" i="2" s="1"/>
  <c r="N1430" i="2"/>
  <c r="P1430" i="2" s="1"/>
  <c r="R1430" i="2" s="1"/>
  <c r="T1430" i="2" s="1"/>
  <c r="V1430" i="2" s="1"/>
  <c r="X1430" i="2" s="1"/>
  <c r="Z1430" i="2" s="1"/>
  <c r="N1388" i="2"/>
  <c r="P1388" i="2" s="1"/>
  <c r="R1388" i="2" s="1"/>
  <c r="T1388" i="2" s="1"/>
  <c r="V1388" i="2" s="1"/>
  <c r="X1388" i="2" s="1"/>
  <c r="Z1388" i="2" s="1"/>
  <c r="N1330" i="2"/>
  <c r="P1330" i="2" s="1"/>
  <c r="R1330" i="2" s="1"/>
  <c r="T1330" i="2" s="1"/>
  <c r="V1330" i="2" s="1"/>
  <c r="X1330" i="2" s="1"/>
  <c r="Z1330" i="2" s="1"/>
  <c r="N1276" i="2"/>
  <c r="P1276" i="2" s="1"/>
  <c r="R1276" i="2" s="1"/>
  <c r="T1276" i="2" s="1"/>
  <c r="V1276" i="2" s="1"/>
  <c r="X1276" i="2" s="1"/>
  <c r="Z1276" i="2" s="1"/>
  <c r="N1214" i="2"/>
  <c r="P1214" i="2" s="1"/>
  <c r="R1214" i="2" s="1"/>
  <c r="T1214" i="2" s="1"/>
  <c r="V1214" i="2" s="1"/>
  <c r="X1214" i="2" s="1"/>
  <c r="Z1214" i="2" s="1"/>
  <c r="N1142" i="2"/>
  <c r="P1142" i="2" s="1"/>
  <c r="R1142" i="2" s="1"/>
  <c r="T1142" i="2" s="1"/>
  <c r="V1142" i="2" s="1"/>
  <c r="X1142" i="2" s="1"/>
  <c r="Z1142" i="2" s="1"/>
  <c r="N1097" i="2"/>
  <c r="P1097" i="2" s="1"/>
  <c r="R1097" i="2" s="1"/>
  <c r="T1097" i="2" s="1"/>
  <c r="V1097" i="2" s="1"/>
  <c r="X1097" i="2" s="1"/>
  <c r="Z1097" i="2" s="1"/>
  <c r="N467" i="2"/>
  <c r="P467" i="2" s="1"/>
  <c r="R467" i="2" s="1"/>
  <c r="T467" i="2" s="1"/>
  <c r="V467" i="2" s="1"/>
  <c r="X467" i="2" s="1"/>
  <c r="Z467" i="2" s="1"/>
  <c r="N412" i="2"/>
  <c r="P412" i="2" s="1"/>
  <c r="R412" i="2" s="1"/>
  <c r="T412" i="2" s="1"/>
  <c r="V412" i="2" s="1"/>
  <c r="X412" i="2" s="1"/>
  <c r="Z412" i="2" s="1"/>
  <c r="N363" i="2"/>
  <c r="P363" i="2" s="1"/>
  <c r="R363" i="2" s="1"/>
  <c r="T363" i="2" s="1"/>
  <c r="V363" i="2" s="1"/>
  <c r="X363" i="2" s="1"/>
  <c r="Z363" i="2" s="1"/>
  <c r="N311" i="2"/>
  <c r="P311" i="2" s="1"/>
  <c r="R311" i="2" s="1"/>
  <c r="T311" i="2" s="1"/>
  <c r="V311" i="2" s="1"/>
  <c r="X311" i="2" s="1"/>
  <c r="Z311" i="2" s="1"/>
  <c r="N243" i="2"/>
  <c r="P243" i="2" s="1"/>
  <c r="R243" i="2" s="1"/>
  <c r="T243" i="2" s="1"/>
  <c r="V243" i="2" s="1"/>
  <c r="X243" i="2" s="1"/>
  <c r="Z243" i="2" s="1"/>
  <c r="N169" i="2"/>
  <c r="P169" i="2" s="1"/>
  <c r="R169" i="2" s="1"/>
  <c r="T169" i="2" s="1"/>
  <c r="V169" i="2" s="1"/>
  <c r="X169" i="2" s="1"/>
  <c r="Z169" i="2" s="1"/>
  <c r="N99" i="2"/>
  <c r="P99" i="2" s="1"/>
  <c r="R99" i="2" s="1"/>
  <c r="T99" i="2" s="1"/>
  <c r="V99" i="2" s="1"/>
  <c r="X99" i="2" s="1"/>
  <c r="Z99" i="2" s="1"/>
  <c r="N55" i="2"/>
  <c r="P55" i="2" s="1"/>
  <c r="R55" i="2" s="1"/>
  <c r="T55" i="2" s="1"/>
  <c r="V55" i="2" s="1"/>
  <c r="X55" i="2" s="1"/>
  <c r="Z55" i="2" s="1"/>
  <c r="N1224" i="2"/>
  <c r="P1224" i="2" s="1"/>
  <c r="R1224" i="2" s="1"/>
  <c r="T1224" i="2" s="1"/>
  <c r="V1224" i="2" s="1"/>
  <c r="X1224" i="2" s="1"/>
  <c r="Z1224" i="2" s="1"/>
  <c r="N1422" i="2"/>
  <c r="P1422" i="2" s="1"/>
  <c r="R1422" i="2" s="1"/>
  <c r="T1422" i="2" s="1"/>
  <c r="V1422" i="2" s="1"/>
  <c r="X1422" i="2" s="1"/>
  <c r="Z1422" i="2" s="1"/>
  <c r="N1326" i="2"/>
  <c r="P1326" i="2" s="1"/>
  <c r="R1326" i="2" s="1"/>
  <c r="T1326" i="2" s="1"/>
  <c r="V1326" i="2" s="1"/>
  <c r="X1326" i="2" s="1"/>
  <c r="Z1326" i="2" s="1"/>
  <c r="N1204" i="2"/>
  <c r="P1204" i="2" s="1"/>
  <c r="R1204" i="2" s="1"/>
  <c r="T1204" i="2" s="1"/>
  <c r="V1204" i="2" s="1"/>
  <c r="X1204" i="2" s="1"/>
  <c r="Z1204" i="2" s="1"/>
  <c r="N1090" i="2"/>
  <c r="P1090" i="2" s="1"/>
  <c r="R1090" i="2" s="1"/>
  <c r="T1090" i="2" s="1"/>
  <c r="V1090" i="2" s="1"/>
  <c r="X1090" i="2" s="1"/>
  <c r="Z1090" i="2" s="1"/>
  <c r="N358" i="2"/>
  <c r="P358" i="2" s="1"/>
  <c r="R358" i="2" s="1"/>
  <c r="T358" i="2" s="1"/>
  <c r="V358" i="2" s="1"/>
  <c r="X358" i="2" s="1"/>
  <c r="Z358" i="2" s="1"/>
  <c r="N147" i="2"/>
  <c r="P147" i="2" s="1"/>
  <c r="R147" i="2" s="1"/>
  <c r="T147" i="2" s="1"/>
  <c r="V147" i="2" s="1"/>
  <c r="X147" i="2" s="1"/>
  <c r="Z147" i="2" s="1"/>
  <c r="N1222" i="2"/>
  <c r="P1222" i="2" s="1"/>
  <c r="R1222" i="2" s="1"/>
  <c r="T1222" i="2" s="1"/>
  <c r="V1222" i="2" s="1"/>
  <c r="X1222" i="2" s="1"/>
  <c r="Z1222" i="2" s="1"/>
  <c r="N1427" i="2"/>
  <c r="P1427" i="2" s="1"/>
  <c r="R1427" i="2" s="1"/>
  <c r="T1427" i="2" s="1"/>
  <c r="V1427" i="2" s="1"/>
  <c r="X1427" i="2" s="1"/>
  <c r="Z1427" i="2" s="1"/>
  <c r="N1380" i="2"/>
  <c r="P1380" i="2" s="1"/>
  <c r="R1380" i="2" s="1"/>
  <c r="T1380" i="2" s="1"/>
  <c r="V1380" i="2" s="1"/>
  <c r="X1380" i="2" s="1"/>
  <c r="Z1380" i="2" s="1"/>
  <c r="N1327" i="2"/>
  <c r="P1327" i="2" s="1"/>
  <c r="R1327" i="2" s="1"/>
  <c r="T1327" i="2" s="1"/>
  <c r="V1327" i="2" s="1"/>
  <c r="X1327" i="2" s="1"/>
  <c r="Z1327" i="2" s="1"/>
  <c r="N1275" i="2"/>
  <c r="P1275" i="2" s="1"/>
  <c r="R1275" i="2" s="1"/>
  <c r="T1275" i="2" s="1"/>
  <c r="V1275" i="2" s="1"/>
  <c r="X1275" i="2" s="1"/>
  <c r="Z1275" i="2" s="1"/>
  <c r="N1212" i="2"/>
  <c r="P1212" i="2" s="1"/>
  <c r="R1212" i="2" s="1"/>
  <c r="T1212" i="2" s="1"/>
  <c r="V1212" i="2" s="1"/>
  <c r="X1212" i="2" s="1"/>
  <c r="Z1212" i="2" s="1"/>
  <c r="N1136" i="2"/>
  <c r="P1136" i="2" s="1"/>
  <c r="R1136" i="2" s="1"/>
  <c r="T1136" i="2" s="1"/>
  <c r="V1136" i="2" s="1"/>
  <c r="X1136" i="2" s="1"/>
  <c r="Z1136" i="2" s="1"/>
  <c r="N1096" i="2"/>
  <c r="P1096" i="2" s="1"/>
  <c r="R1096" i="2" s="1"/>
  <c r="T1096" i="2" s="1"/>
  <c r="V1096" i="2" s="1"/>
  <c r="X1096" i="2" s="1"/>
  <c r="Z1096" i="2" s="1"/>
  <c r="N466" i="2"/>
  <c r="P466" i="2" s="1"/>
  <c r="R466" i="2" s="1"/>
  <c r="T466" i="2" s="1"/>
  <c r="V466" i="2" s="1"/>
  <c r="X466" i="2" s="1"/>
  <c r="Z466" i="2" s="1"/>
  <c r="N409" i="2"/>
  <c r="P409" i="2" s="1"/>
  <c r="R409" i="2" s="1"/>
  <c r="T409" i="2" s="1"/>
  <c r="V409" i="2" s="1"/>
  <c r="X409" i="2" s="1"/>
  <c r="Z409" i="2" s="1"/>
  <c r="N362" i="2"/>
  <c r="P362" i="2" s="1"/>
  <c r="R362" i="2" s="1"/>
  <c r="T362" i="2" s="1"/>
  <c r="V362" i="2" s="1"/>
  <c r="X362" i="2" s="1"/>
  <c r="Z362" i="2" s="1"/>
  <c r="N300" i="2"/>
  <c r="P300" i="2" s="1"/>
  <c r="R300" i="2" s="1"/>
  <c r="T300" i="2" s="1"/>
  <c r="V300" i="2" s="1"/>
  <c r="X300" i="2" s="1"/>
  <c r="Z300" i="2" s="1"/>
  <c r="N241" i="2"/>
  <c r="P241" i="2" s="1"/>
  <c r="R241" i="2" s="1"/>
  <c r="T241" i="2" s="1"/>
  <c r="V241" i="2" s="1"/>
  <c r="X241" i="2" s="1"/>
  <c r="Z241" i="2" s="1"/>
  <c r="N167" i="2"/>
  <c r="P167" i="2" s="1"/>
  <c r="R167" i="2" s="1"/>
  <c r="T167" i="2" s="1"/>
  <c r="V167" i="2" s="1"/>
  <c r="X167" i="2" s="1"/>
  <c r="Z167" i="2" s="1"/>
  <c r="N95" i="2"/>
  <c r="P95" i="2" s="1"/>
  <c r="R95" i="2" s="1"/>
  <c r="T95" i="2" s="1"/>
  <c r="V95" i="2" s="1"/>
  <c r="X95" i="2" s="1"/>
  <c r="Z95" i="2" s="1"/>
  <c r="N53" i="2"/>
  <c r="P53" i="2" s="1"/>
  <c r="R53" i="2" s="1"/>
  <c r="T53" i="2" s="1"/>
  <c r="V53" i="2" s="1"/>
  <c r="X53" i="2" s="1"/>
  <c r="Z53" i="2" s="1"/>
  <c r="N246" i="2"/>
  <c r="P246" i="2" s="1"/>
  <c r="R246" i="2" s="1"/>
  <c r="T246" i="2" s="1"/>
  <c r="V246" i="2" s="1"/>
  <c r="X246" i="2" s="1"/>
  <c r="Z246" i="2" s="1"/>
  <c r="N1334" i="2"/>
  <c r="P1334" i="2" s="1"/>
  <c r="R1334" i="2" s="1"/>
  <c r="T1334" i="2" s="1"/>
  <c r="V1334" i="2" s="1"/>
  <c r="X1334" i="2" s="1"/>
  <c r="Z1334" i="2" s="1"/>
  <c r="N1234" i="2"/>
  <c r="P1234" i="2" s="1"/>
  <c r="R1234" i="2" s="1"/>
  <c r="T1234" i="2" s="1"/>
  <c r="V1234" i="2" s="1"/>
  <c r="X1234" i="2" s="1"/>
  <c r="Z1234" i="2" s="1"/>
  <c r="N1095" i="2"/>
  <c r="P1095" i="2" s="1"/>
  <c r="R1095" i="2" s="1"/>
  <c r="T1095" i="2" s="1"/>
  <c r="V1095" i="2" s="1"/>
  <c r="X1095" i="2" s="1"/>
  <c r="Z1095" i="2" s="1"/>
  <c r="N406" i="2"/>
  <c r="P406" i="2" s="1"/>
  <c r="R406" i="2" s="1"/>
  <c r="T406" i="2" s="1"/>
  <c r="V406" i="2" s="1"/>
  <c r="X406" i="2" s="1"/>
  <c r="Z406" i="2" s="1"/>
  <c r="N250" i="2"/>
  <c r="P250" i="2" s="1"/>
  <c r="R250" i="2" s="1"/>
  <c r="T250" i="2" s="1"/>
  <c r="V250" i="2" s="1"/>
  <c r="X250" i="2" s="1"/>
  <c r="Z250" i="2" s="1"/>
  <c r="N94" i="2"/>
  <c r="P94" i="2" s="1"/>
  <c r="R94" i="2" s="1"/>
  <c r="T94" i="2" s="1"/>
  <c r="V94" i="2" s="1"/>
  <c r="X94" i="2" s="1"/>
  <c r="Z94" i="2" s="1"/>
  <c r="N1419" i="2"/>
  <c r="P1419" i="2" s="1"/>
  <c r="R1419" i="2" s="1"/>
  <c r="T1419" i="2" s="1"/>
  <c r="V1419" i="2" s="1"/>
  <c r="X1419" i="2" s="1"/>
  <c r="Z1419" i="2" s="1"/>
  <c r="N1378" i="2"/>
  <c r="P1378" i="2" s="1"/>
  <c r="R1378" i="2" s="1"/>
  <c r="T1378" i="2" s="1"/>
  <c r="V1378" i="2" s="1"/>
  <c r="X1378" i="2" s="1"/>
  <c r="Z1378" i="2" s="1"/>
  <c r="N1272" i="2"/>
  <c r="P1272" i="2" s="1"/>
  <c r="R1272" i="2" s="1"/>
  <c r="T1272" i="2" s="1"/>
  <c r="V1272" i="2" s="1"/>
  <c r="X1272" i="2" s="1"/>
  <c r="Z1272" i="2" s="1"/>
  <c r="N1133" i="2"/>
  <c r="P1133" i="2" s="1"/>
  <c r="R1133" i="2" s="1"/>
  <c r="T1133" i="2" s="1"/>
  <c r="V1133" i="2" s="1"/>
  <c r="X1133" i="2" s="1"/>
  <c r="Z1133" i="2" s="1"/>
  <c r="N452" i="2"/>
  <c r="P452" i="2" s="1"/>
  <c r="R452" i="2" s="1"/>
  <c r="T452" i="2" s="1"/>
  <c r="V452" i="2" s="1"/>
  <c r="X452" i="2" s="1"/>
  <c r="Z452" i="2" s="1"/>
  <c r="N343" i="2"/>
  <c r="P343" i="2" s="1"/>
  <c r="R343" i="2" s="1"/>
  <c r="T343" i="2" s="1"/>
  <c r="V343" i="2" s="1"/>
  <c r="X343" i="2" s="1"/>
  <c r="Z343" i="2" s="1"/>
  <c r="N199" i="2"/>
  <c r="P199" i="2" s="1"/>
  <c r="R199" i="2" s="1"/>
  <c r="T199" i="2" s="1"/>
  <c r="V199" i="2" s="1"/>
  <c r="X199" i="2" s="1"/>
  <c r="Z199" i="2" s="1"/>
  <c r="N145" i="2"/>
  <c r="P145" i="2" s="1"/>
  <c r="R145" i="2" s="1"/>
  <c r="T145" i="2" s="1"/>
  <c r="V145" i="2" s="1"/>
  <c r="X145" i="2" s="1"/>
  <c r="Z145" i="2" s="1"/>
  <c r="N33" i="2"/>
  <c r="P33" i="2" s="1"/>
  <c r="R33" i="2" s="1"/>
  <c r="T33" i="2" s="1"/>
  <c r="V33" i="2" s="1"/>
  <c r="X33" i="2" s="1"/>
  <c r="Z33" i="2" s="1"/>
  <c r="N335" i="2"/>
  <c r="P335" i="2" s="1"/>
  <c r="R335" i="2" s="1"/>
  <c r="T335" i="2" s="1"/>
  <c r="V335" i="2" s="1"/>
  <c r="X335" i="2" s="1"/>
  <c r="Z335" i="2" s="1"/>
  <c r="N84" i="2"/>
  <c r="P84" i="2" s="1"/>
  <c r="R84" i="2" s="1"/>
  <c r="T84" i="2" s="1"/>
  <c r="V84" i="2" s="1"/>
  <c r="X84" i="2" s="1"/>
  <c r="Z84" i="2" s="1"/>
  <c r="N1406" i="2"/>
  <c r="P1406" i="2" s="1"/>
  <c r="R1406" i="2" s="1"/>
  <c r="T1406" i="2" s="1"/>
  <c r="V1406" i="2" s="1"/>
  <c r="X1406" i="2" s="1"/>
  <c r="Z1406" i="2" s="1"/>
  <c r="N1312" i="2"/>
  <c r="P1312" i="2" s="1"/>
  <c r="R1312" i="2" s="1"/>
  <c r="T1312" i="2" s="1"/>
  <c r="V1312" i="2" s="1"/>
  <c r="X1312" i="2" s="1"/>
  <c r="Z1312" i="2" s="1"/>
  <c r="N1174" i="2"/>
  <c r="P1174" i="2" s="1"/>
  <c r="R1174" i="2" s="1"/>
  <c r="T1174" i="2" s="1"/>
  <c r="V1174" i="2" s="1"/>
  <c r="X1174" i="2" s="1"/>
  <c r="Z1174" i="2" s="1"/>
  <c r="N1069" i="2"/>
  <c r="P1069" i="2" s="1"/>
  <c r="R1069" i="2" s="1"/>
  <c r="T1069" i="2" s="1"/>
  <c r="V1069" i="2" s="1"/>
  <c r="X1069" i="2" s="1"/>
  <c r="Z1069" i="2" s="1"/>
  <c r="N385" i="2"/>
  <c r="P385" i="2" s="1"/>
  <c r="R385" i="2" s="1"/>
  <c r="T385" i="2" s="1"/>
  <c r="V385" i="2" s="1"/>
  <c r="X385" i="2" s="1"/>
  <c r="Z385" i="2" s="1"/>
  <c r="N340" i="2"/>
  <c r="P340" i="2" s="1"/>
  <c r="R340" i="2" s="1"/>
  <c r="T340" i="2" s="1"/>
  <c r="V340" i="2" s="1"/>
  <c r="X340" i="2" s="1"/>
  <c r="Z340" i="2" s="1"/>
  <c r="N198" i="2"/>
  <c r="P198" i="2" s="1"/>
  <c r="R198" i="2" s="1"/>
  <c r="T198" i="2" s="1"/>
  <c r="V198" i="2" s="1"/>
  <c r="X198" i="2" s="1"/>
  <c r="Z198" i="2" s="1"/>
  <c r="N81" i="2"/>
  <c r="P81" i="2" s="1"/>
  <c r="R81" i="2" s="1"/>
  <c r="T81" i="2" s="1"/>
  <c r="V81" i="2" s="1"/>
  <c r="X81" i="2" s="1"/>
  <c r="Z81" i="2" s="1"/>
  <c r="N1454" i="2"/>
  <c r="P1454" i="2" s="1"/>
  <c r="R1454" i="2" s="1"/>
  <c r="T1454" i="2" s="1"/>
  <c r="V1454" i="2" s="1"/>
  <c r="X1454" i="2" s="1"/>
  <c r="Z1454" i="2" s="1"/>
  <c r="N1379" i="2"/>
  <c r="P1379" i="2" s="1"/>
  <c r="R1379" i="2" s="1"/>
  <c r="T1379" i="2" s="1"/>
  <c r="V1379" i="2" s="1"/>
  <c r="X1379" i="2" s="1"/>
  <c r="Z1379" i="2" s="1"/>
  <c r="N1135" i="2"/>
  <c r="P1135" i="2" s="1"/>
  <c r="R1135" i="2" s="1"/>
  <c r="T1135" i="2" s="1"/>
  <c r="V1135" i="2" s="1"/>
  <c r="X1135" i="2" s="1"/>
  <c r="Z1135" i="2" s="1"/>
  <c r="N270" i="2"/>
  <c r="P270" i="2" s="1"/>
  <c r="R270" i="2" s="1"/>
  <c r="T270" i="2" s="1"/>
  <c r="V270" i="2" s="1"/>
  <c r="X270" i="2" s="1"/>
  <c r="Z270" i="2" s="1"/>
  <c r="N1450" i="2"/>
  <c r="P1450" i="2" s="1"/>
  <c r="R1450" i="2" s="1"/>
  <c r="T1450" i="2" s="1"/>
  <c r="V1450" i="2" s="1"/>
  <c r="X1450" i="2" s="1"/>
  <c r="Z1450" i="2" s="1"/>
  <c r="N1402" i="2"/>
  <c r="P1402" i="2" s="1"/>
  <c r="R1402" i="2" s="1"/>
  <c r="T1402" i="2" s="1"/>
  <c r="V1402" i="2" s="1"/>
  <c r="X1402" i="2" s="1"/>
  <c r="Z1402" i="2" s="1"/>
  <c r="N1303" i="2"/>
  <c r="P1303" i="2" s="1"/>
  <c r="R1303" i="2" s="1"/>
  <c r="T1303" i="2" s="1"/>
  <c r="V1303" i="2" s="1"/>
  <c r="X1303" i="2" s="1"/>
  <c r="Z1303" i="2" s="1"/>
  <c r="N1162" i="2"/>
  <c r="P1162" i="2" s="1"/>
  <c r="R1162" i="2" s="1"/>
  <c r="T1162" i="2" s="1"/>
  <c r="V1162" i="2" s="1"/>
  <c r="X1162" i="2" s="1"/>
  <c r="Z1162" i="2" s="1"/>
  <c r="N1122" i="2"/>
  <c r="P1122" i="2" s="1"/>
  <c r="R1122" i="2" s="1"/>
  <c r="T1122" i="2" s="1"/>
  <c r="V1122" i="2" s="1"/>
  <c r="X1122" i="2" s="1"/>
  <c r="Z1122" i="2" s="1"/>
  <c r="N1067" i="2"/>
  <c r="P1067" i="2" s="1"/>
  <c r="R1067" i="2" s="1"/>
  <c r="T1067" i="2" s="1"/>
  <c r="V1067" i="2" s="1"/>
  <c r="X1067" i="2" s="1"/>
  <c r="Z1067" i="2" s="1"/>
  <c r="N381" i="2"/>
  <c r="P381" i="2" s="1"/>
  <c r="R381" i="2" s="1"/>
  <c r="T381" i="2" s="1"/>
  <c r="V381" i="2" s="1"/>
  <c r="X381" i="2" s="1"/>
  <c r="Z381" i="2" s="1"/>
  <c r="N338" i="2"/>
  <c r="P338" i="2" s="1"/>
  <c r="R338" i="2" s="1"/>
  <c r="T338" i="2" s="1"/>
  <c r="V338" i="2" s="1"/>
  <c r="X338" i="2" s="1"/>
  <c r="Z338" i="2" s="1"/>
  <c r="N271" i="2"/>
  <c r="P271" i="2" s="1"/>
  <c r="R271" i="2" s="1"/>
  <c r="T271" i="2" s="1"/>
  <c r="V271" i="2" s="1"/>
  <c r="X271" i="2" s="1"/>
  <c r="Z271" i="2" s="1"/>
  <c r="N124" i="2"/>
  <c r="P124" i="2" s="1"/>
  <c r="R124" i="2" s="1"/>
  <c r="T124" i="2" s="1"/>
  <c r="V124" i="2" s="1"/>
  <c r="X124" i="2" s="1"/>
  <c r="Z124" i="2" s="1"/>
  <c r="N79" i="2"/>
  <c r="P79" i="2" s="1"/>
  <c r="R79" i="2" s="1"/>
  <c r="T79" i="2" s="1"/>
  <c r="V79" i="2" s="1"/>
  <c r="X79" i="2" s="1"/>
  <c r="Z79" i="2" s="1"/>
  <c r="N26" i="2"/>
  <c r="P26" i="2" s="1"/>
  <c r="R26" i="2" s="1"/>
  <c r="T26" i="2" s="1"/>
  <c r="V26" i="2" s="1"/>
  <c r="X26" i="2" s="1"/>
  <c r="Z26" i="2" s="1"/>
  <c r="N1393" i="2"/>
  <c r="P1393" i="2" s="1"/>
  <c r="R1393" i="2" s="1"/>
  <c r="T1393" i="2" s="1"/>
  <c r="V1393" i="2" s="1"/>
  <c r="X1393" i="2" s="1"/>
  <c r="Z1393" i="2" s="1"/>
  <c r="N1286" i="2"/>
  <c r="P1286" i="2" s="1"/>
  <c r="R1286" i="2" s="1"/>
  <c r="T1286" i="2" s="1"/>
  <c r="V1286" i="2" s="1"/>
  <c r="X1286" i="2" s="1"/>
  <c r="Z1286" i="2" s="1"/>
  <c r="N1148" i="2"/>
  <c r="P1148" i="2" s="1"/>
  <c r="R1148" i="2" s="1"/>
  <c r="T1148" i="2" s="1"/>
  <c r="V1148" i="2" s="1"/>
  <c r="X1148" i="2" s="1"/>
  <c r="Z1148" i="2" s="1"/>
  <c r="N1047" i="2"/>
  <c r="P1047" i="2" s="1"/>
  <c r="R1047" i="2" s="1"/>
  <c r="T1047" i="2" s="1"/>
  <c r="V1047" i="2" s="1"/>
  <c r="X1047" i="2" s="1"/>
  <c r="Z1047" i="2" s="1"/>
  <c r="N346" i="2"/>
  <c r="P346" i="2" s="1"/>
  <c r="R346" i="2" s="1"/>
  <c r="T346" i="2" s="1"/>
  <c r="V346" i="2" s="1"/>
  <c r="X346" i="2" s="1"/>
  <c r="Z346" i="2" s="1"/>
  <c r="N172" i="2"/>
  <c r="P172" i="2" s="1"/>
  <c r="R172" i="2" s="1"/>
  <c r="T172" i="2" s="1"/>
  <c r="V172" i="2" s="1"/>
  <c r="X172" i="2" s="1"/>
  <c r="Z172" i="2" s="1"/>
  <c r="N41" i="2"/>
  <c r="P41" i="2" s="1"/>
  <c r="R41" i="2" s="1"/>
  <c r="T41" i="2" s="1"/>
  <c r="V41" i="2" s="1"/>
  <c r="X41" i="2" s="1"/>
  <c r="Z41" i="2" s="1"/>
  <c r="N1453" i="2"/>
  <c r="P1453" i="2" s="1"/>
  <c r="R1453" i="2" s="1"/>
  <c r="T1453" i="2" s="1"/>
  <c r="V1453" i="2" s="1"/>
  <c r="X1453" i="2" s="1"/>
  <c r="Z1453" i="2" s="1"/>
  <c r="N1409" i="2"/>
  <c r="P1409" i="2" s="1"/>
  <c r="R1409" i="2" s="1"/>
  <c r="T1409" i="2" s="1"/>
  <c r="V1409" i="2" s="1"/>
  <c r="X1409" i="2" s="1"/>
  <c r="Z1409" i="2" s="1"/>
  <c r="N1350" i="2"/>
  <c r="P1350" i="2" s="1"/>
  <c r="R1350" i="2" s="1"/>
  <c r="T1350" i="2" s="1"/>
  <c r="V1350" i="2" s="1"/>
  <c r="X1350" i="2" s="1"/>
  <c r="Z1350" i="2" s="1"/>
  <c r="N1313" i="2"/>
  <c r="P1313" i="2" s="1"/>
  <c r="R1313" i="2" s="1"/>
  <c r="T1313" i="2" s="1"/>
  <c r="V1313" i="2" s="1"/>
  <c r="X1313" i="2" s="1"/>
  <c r="Z1313" i="2" s="1"/>
  <c r="N1260" i="2"/>
  <c r="P1260" i="2" s="1"/>
  <c r="R1260" i="2" s="1"/>
  <c r="T1260" i="2" s="1"/>
  <c r="V1260" i="2" s="1"/>
  <c r="X1260" i="2" s="1"/>
  <c r="Z1260" i="2" s="1"/>
  <c r="N1176" i="2"/>
  <c r="P1176" i="2" s="1"/>
  <c r="R1176" i="2" s="1"/>
  <c r="T1176" i="2" s="1"/>
  <c r="V1176" i="2" s="1"/>
  <c r="X1176" i="2" s="1"/>
  <c r="Z1176" i="2" s="1"/>
  <c r="N1126" i="2"/>
  <c r="P1126" i="2" s="1"/>
  <c r="R1126" i="2" s="1"/>
  <c r="T1126" i="2" s="1"/>
  <c r="V1126" i="2" s="1"/>
  <c r="X1126" i="2" s="1"/>
  <c r="Z1126" i="2" s="1"/>
  <c r="N1070" i="2"/>
  <c r="P1070" i="2" s="1"/>
  <c r="R1070" i="2" s="1"/>
  <c r="T1070" i="2" s="1"/>
  <c r="V1070" i="2" s="1"/>
  <c r="X1070" i="2" s="1"/>
  <c r="Z1070" i="2" s="1"/>
  <c r="N429" i="2"/>
  <c r="P429" i="2" s="1"/>
  <c r="R429" i="2" s="1"/>
  <c r="T429" i="2" s="1"/>
  <c r="V429" i="2" s="1"/>
  <c r="X429" i="2" s="1"/>
  <c r="Z429" i="2" s="1"/>
  <c r="N378" i="2"/>
  <c r="P378" i="2" s="1"/>
  <c r="R378" i="2" s="1"/>
  <c r="T378" i="2" s="1"/>
  <c r="V378" i="2" s="1"/>
  <c r="X378" i="2" s="1"/>
  <c r="Z378" i="2" s="1"/>
  <c r="N269" i="2"/>
  <c r="P269" i="2" s="1"/>
  <c r="R269" i="2" s="1"/>
  <c r="T269" i="2" s="1"/>
  <c r="V269" i="2" s="1"/>
  <c r="X269" i="2" s="1"/>
  <c r="Z269" i="2" s="1"/>
  <c r="N185" i="2"/>
  <c r="P185" i="2" s="1"/>
  <c r="R185" i="2" s="1"/>
  <c r="T185" i="2" s="1"/>
  <c r="V185" i="2" s="1"/>
  <c r="X185" i="2" s="1"/>
  <c r="Z185" i="2" s="1"/>
  <c r="N120" i="2"/>
  <c r="P120" i="2" s="1"/>
  <c r="R120" i="2" s="1"/>
  <c r="T120" i="2" s="1"/>
  <c r="V120" i="2" s="1"/>
  <c r="X120" i="2" s="1"/>
  <c r="Z120" i="2" s="1"/>
  <c r="N67" i="2"/>
  <c r="P67" i="2" s="1"/>
  <c r="R67" i="2" s="1"/>
  <c r="T67" i="2" s="1"/>
  <c r="V67" i="2" s="1"/>
  <c r="X67" i="2" s="1"/>
  <c r="Z67" i="2" s="1"/>
  <c r="N1337" i="2"/>
  <c r="P1337" i="2" s="1"/>
  <c r="R1337" i="2" s="1"/>
  <c r="T1337" i="2" s="1"/>
  <c r="V1337" i="2" s="1"/>
  <c r="X1337" i="2" s="1"/>
  <c r="Z1337" i="2" s="1"/>
  <c r="N1117" i="2"/>
  <c r="P1117" i="2" s="1"/>
  <c r="R1117" i="2" s="1"/>
  <c r="T1117" i="2" s="1"/>
  <c r="V1117" i="2" s="1"/>
  <c r="X1117" i="2" s="1"/>
  <c r="Z1117" i="2" s="1"/>
  <c r="N279" i="2"/>
  <c r="P279" i="2" s="1"/>
  <c r="R279" i="2" s="1"/>
  <c r="T279" i="2" s="1"/>
  <c r="V279" i="2" s="1"/>
  <c r="X279" i="2" s="1"/>
  <c r="Z279" i="2" s="1"/>
  <c r="N50" i="2"/>
  <c r="P50" i="2" s="1"/>
  <c r="R50" i="2" s="1"/>
  <c r="T50" i="2" s="1"/>
  <c r="V50" i="2" s="1"/>
  <c r="X50" i="2" s="1"/>
  <c r="Z50" i="2" s="1"/>
  <c r="N1442" i="2"/>
  <c r="P1442" i="2" s="1"/>
  <c r="R1442" i="2" s="1"/>
  <c r="T1442" i="2" s="1"/>
  <c r="V1442" i="2" s="1"/>
  <c r="X1442" i="2" s="1"/>
  <c r="Z1442" i="2" s="1"/>
  <c r="N1395" i="2"/>
  <c r="P1395" i="2" s="1"/>
  <c r="R1395" i="2" s="1"/>
  <c r="T1395" i="2" s="1"/>
  <c r="V1395" i="2" s="1"/>
  <c r="X1395" i="2" s="1"/>
  <c r="Z1395" i="2" s="1"/>
  <c r="N1341" i="2"/>
  <c r="P1341" i="2" s="1"/>
  <c r="R1341" i="2" s="1"/>
  <c r="T1341" i="2" s="1"/>
  <c r="V1341" i="2" s="1"/>
  <c r="X1341" i="2" s="1"/>
  <c r="Z1341" i="2" s="1"/>
  <c r="N1293" i="2"/>
  <c r="P1293" i="2" s="1"/>
  <c r="R1293" i="2" s="1"/>
  <c r="T1293" i="2" s="1"/>
  <c r="V1293" i="2" s="1"/>
  <c r="X1293" i="2" s="1"/>
  <c r="Z1293" i="2" s="1"/>
  <c r="N1246" i="2"/>
  <c r="P1246" i="2" s="1"/>
  <c r="R1246" i="2" s="1"/>
  <c r="T1246" i="2" s="1"/>
  <c r="V1246" i="2" s="1"/>
  <c r="X1246" i="2" s="1"/>
  <c r="Z1246" i="2" s="1"/>
  <c r="N1156" i="2"/>
  <c r="P1156" i="2" s="1"/>
  <c r="R1156" i="2" s="1"/>
  <c r="T1156" i="2" s="1"/>
  <c r="V1156" i="2" s="1"/>
  <c r="X1156" i="2" s="1"/>
  <c r="Z1156" i="2" s="1"/>
  <c r="N1105" i="2"/>
  <c r="P1105" i="2" s="1"/>
  <c r="R1105" i="2" s="1"/>
  <c r="T1105" i="2" s="1"/>
  <c r="V1105" i="2" s="1"/>
  <c r="X1105" i="2" s="1"/>
  <c r="Z1105" i="2" s="1"/>
  <c r="N427" i="2"/>
  <c r="P427" i="2" s="1"/>
  <c r="R427" i="2" s="1"/>
  <c r="T427" i="2" s="1"/>
  <c r="V427" i="2" s="1"/>
  <c r="X427" i="2" s="1"/>
  <c r="Z427" i="2" s="1"/>
  <c r="N329" i="2"/>
  <c r="P329" i="2" s="1"/>
  <c r="R329" i="2" s="1"/>
  <c r="T329" i="2" s="1"/>
  <c r="V329" i="2" s="1"/>
  <c r="X329" i="2" s="1"/>
  <c r="Z329" i="2" s="1"/>
  <c r="N178" i="2"/>
  <c r="P178" i="2" s="1"/>
  <c r="R178" i="2" s="1"/>
  <c r="T178" i="2" s="1"/>
  <c r="V178" i="2" s="1"/>
  <c r="X178" i="2" s="1"/>
  <c r="Z178" i="2" s="1"/>
  <c r="N66" i="2"/>
  <c r="P66" i="2" s="1"/>
  <c r="R66" i="2" s="1"/>
  <c r="T66" i="2" s="1"/>
  <c r="V66" i="2" s="1"/>
  <c r="X66" i="2" s="1"/>
  <c r="Z66" i="2" s="1"/>
  <c r="N1445" i="2"/>
  <c r="P1445" i="2" s="1"/>
  <c r="R1445" i="2" s="1"/>
  <c r="T1445" i="2" s="1"/>
  <c r="V1445" i="2" s="1"/>
  <c r="X1445" i="2" s="1"/>
  <c r="Z1445" i="2" s="1"/>
  <c r="N1254" i="2"/>
  <c r="P1254" i="2" s="1"/>
  <c r="R1254" i="2" s="1"/>
  <c r="T1254" i="2" s="1"/>
  <c r="V1254" i="2" s="1"/>
  <c r="X1254" i="2" s="1"/>
  <c r="Z1254" i="2" s="1"/>
  <c r="N395" i="2"/>
  <c r="P395" i="2" s="1"/>
  <c r="R395" i="2" s="1"/>
  <c r="T395" i="2" s="1"/>
  <c r="V395" i="2" s="1"/>
  <c r="X395" i="2" s="1"/>
  <c r="Z395" i="2" s="1"/>
  <c r="N23" i="2"/>
  <c r="P23" i="2" s="1"/>
  <c r="R23" i="2" s="1"/>
  <c r="T23" i="2" s="1"/>
  <c r="V23" i="2" s="1"/>
  <c r="X23" i="2" s="1"/>
  <c r="Z23" i="2" s="1"/>
  <c r="N1394" i="2"/>
  <c r="P1394" i="2" s="1"/>
  <c r="R1394" i="2" s="1"/>
  <c r="T1394" i="2" s="1"/>
  <c r="V1394" i="2" s="1"/>
  <c r="X1394" i="2" s="1"/>
  <c r="Z1394" i="2" s="1"/>
  <c r="N1288" i="2"/>
  <c r="P1288" i="2" s="1"/>
  <c r="R1288" i="2" s="1"/>
  <c r="T1288" i="2" s="1"/>
  <c r="V1288" i="2" s="1"/>
  <c r="X1288" i="2" s="1"/>
  <c r="Z1288" i="2" s="1"/>
  <c r="N1155" i="2"/>
  <c r="P1155" i="2" s="1"/>
  <c r="R1155" i="2" s="1"/>
  <c r="T1155" i="2" s="1"/>
  <c r="V1155" i="2" s="1"/>
  <c r="X1155" i="2" s="1"/>
  <c r="Z1155" i="2" s="1"/>
  <c r="N421" i="2"/>
  <c r="P421" i="2" s="1"/>
  <c r="R421" i="2" s="1"/>
  <c r="T421" i="2" s="1"/>
  <c r="V421" i="2" s="1"/>
  <c r="X421" i="2" s="1"/>
  <c r="Z421" i="2" s="1"/>
  <c r="N321" i="2"/>
  <c r="P321" i="2" s="1"/>
  <c r="R321" i="2" s="1"/>
  <c r="T321" i="2" s="1"/>
  <c r="V321" i="2" s="1"/>
  <c r="X321" i="2" s="1"/>
  <c r="Z321" i="2" s="1"/>
  <c r="N173" i="2"/>
  <c r="P173" i="2" s="1"/>
  <c r="R173" i="2" s="1"/>
  <c r="T173" i="2" s="1"/>
  <c r="V173" i="2" s="1"/>
  <c r="X173" i="2" s="1"/>
  <c r="Z173" i="2" s="1"/>
  <c r="N114" i="2"/>
  <c r="P114" i="2" s="1"/>
  <c r="R114" i="2" s="1"/>
  <c r="T114" i="2" s="1"/>
  <c r="V114" i="2" s="1"/>
  <c r="X114" i="2" s="1"/>
  <c r="Z114" i="2" s="1"/>
  <c r="N1370" i="2"/>
  <c r="P1370" i="2" s="1"/>
  <c r="R1370" i="2" s="1"/>
  <c r="T1370" i="2" s="1"/>
  <c r="V1370" i="2" s="1"/>
  <c r="X1370" i="2" s="1"/>
  <c r="Z1370" i="2" s="1"/>
  <c r="N1127" i="2"/>
  <c r="P1127" i="2" s="1"/>
  <c r="R1127" i="2" s="1"/>
  <c r="T1127" i="2" s="1"/>
  <c r="V1127" i="2" s="1"/>
  <c r="X1127" i="2" s="1"/>
  <c r="Z1127" i="2" s="1"/>
  <c r="N295" i="2"/>
  <c r="P295" i="2" s="1"/>
  <c r="R295" i="2" s="1"/>
  <c r="T295" i="2" s="1"/>
  <c r="V295" i="2" s="1"/>
  <c r="X295" i="2" s="1"/>
  <c r="Z295" i="2" s="1"/>
  <c r="N245" i="2"/>
  <c r="P245" i="2" s="1"/>
  <c r="R245" i="2" s="1"/>
  <c r="T245" i="2" s="1"/>
  <c r="V245" i="2" s="1"/>
  <c r="X245" i="2" s="1"/>
  <c r="Z245" i="2" s="1"/>
  <c r="N1437" i="2"/>
  <c r="P1437" i="2" s="1"/>
  <c r="R1437" i="2" s="1"/>
  <c r="T1437" i="2" s="1"/>
  <c r="V1437" i="2" s="1"/>
  <c r="X1437" i="2" s="1"/>
  <c r="Z1437" i="2" s="1"/>
  <c r="N1389" i="2"/>
  <c r="P1389" i="2" s="1"/>
  <c r="R1389" i="2" s="1"/>
  <c r="T1389" i="2" s="1"/>
  <c r="V1389" i="2" s="1"/>
  <c r="X1389" i="2" s="1"/>
  <c r="Z1389" i="2" s="1"/>
  <c r="N1331" i="2"/>
  <c r="P1331" i="2" s="1"/>
  <c r="R1331" i="2" s="1"/>
  <c r="T1331" i="2" s="1"/>
  <c r="V1331" i="2" s="1"/>
  <c r="X1331" i="2" s="1"/>
  <c r="Z1331" i="2" s="1"/>
  <c r="N1280" i="2"/>
  <c r="P1280" i="2" s="1"/>
  <c r="R1280" i="2" s="1"/>
  <c r="T1280" i="2" s="1"/>
  <c r="V1280" i="2" s="1"/>
  <c r="X1280" i="2" s="1"/>
  <c r="Z1280" i="2" s="1"/>
  <c r="N1220" i="2"/>
  <c r="P1220" i="2" s="1"/>
  <c r="R1220" i="2" s="1"/>
  <c r="T1220" i="2" s="1"/>
  <c r="V1220" i="2" s="1"/>
  <c r="X1220" i="2" s="1"/>
  <c r="Z1220" i="2" s="1"/>
  <c r="N1146" i="2"/>
  <c r="P1146" i="2" s="1"/>
  <c r="R1146" i="2" s="1"/>
  <c r="T1146" i="2" s="1"/>
  <c r="V1146" i="2" s="1"/>
  <c r="X1146" i="2" s="1"/>
  <c r="Z1146" i="2" s="1"/>
  <c r="N1098" i="2"/>
  <c r="P1098" i="2" s="1"/>
  <c r="R1098" i="2" s="1"/>
  <c r="T1098" i="2" s="1"/>
  <c r="V1098" i="2" s="1"/>
  <c r="X1098" i="2" s="1"/>
  <c r="Z1098" i="2" s="1"/>
  <c r="N464" i="2"/>
  <c r="P464" i="2" s="1"/>
  <c r="R464" i="2" s="1"/>
  <c r="T464" i="2" s="1"/>
  <c r="V464" i="2" s="1"/>
  <c r="X464" i="2" s="1"/>
  <c r="Z464" i="2" s="1"/>
  <c r="N403" i="2"/>
  <c r="P403" i="2" s="1"/>
  <c r="R403" i="2" s="1"/>
  <c r="T403" i="2" s="1"/>
  <c r="V403" i="2" s="1"/>
  <c r="X403" i="2" s="1"/>
  <c r="Z403" i="2" s="1"/>
  <c r="N357" i="2"/>
  <c r="P357" i="2" s="1"/>
  <c r="R357" i="2" s="1"/>
  <c r="T357" i="2" s="1"/>
  <c r="V357" i="2" s="1"/>
  <c r="X357" i="2" s="1"/>
  <c r="Z357" i="2" s="1"/>
  <c r="N285" i="2"/>
  <c r="P285" i="2" s="1"/>
  <c r="R285" i="2" s="1"/>
  <c r="T285" i="2" s="1"/>
  <c r="V285" i="2" s="1"/>
  <c r="X285" i="2" s="1"/>
  <c r="Z285" i="2" s="1"/>
  <c r="N224" i="2"/>
  <c r="P224" i="2" s="1"/>
  <c r="R224" i="2" s="1"/>
  <c r="T224" i="2" s="1"/>
  <c r="V224" i="2" s="1"/>
  <c r="X224" i="2" s="1"/>
  <c r="Z224" i="2" s="1"/>
  <c r="N164" i="2"/>
  <c r="P164" i="2" s="1"/>
  <c r="R164" i="2" s="1"/>
  <c r="T164" i="2" s="1"/>
  <c r="V164" i="2" s="1"/>
  <c r="X164" i="2" s="1"/>
  <c r="Z164" i="2" s="1"/>
  <c r="N89" i="2"/>
  <c r="P89" i="2" s="1"/>
  <c r="R89" i="2" s="1"/>
  <c r="T89" i="2" s="1"/>
  <c r="V89" i="2" s="1"/>
  <c r="X89" i="2" s="1"/>
  <c r="Z89" i="2" s="1"/>
  <c r="N46" i="2"/>
  <c r="P46" i="2" s="1"/>
  <c r="R46" i="2" s="1"/>
  <c r="T46" i="2" s="1"/>
  <c r="V46" i="2" s="1"/>
  <c r="X46" i="2" s="1"/>
  <c r="Z46" i="2" s="1"/>
  <c r="N1335" i="2"/>
  <c r="P1335" i="2" s="1"/>
  <c r="R1335" i="2" s="1"/>
  <c r="T1335" i="2" s="1"/>
  <c r="V1335" i="2" s="1"/>
  <c r="X1335" i="2" s="1"/>
  <c r="Z1335" i="2" s="1"/>
  <c r="N380" i="2"/>
  <c r="P380" i="2" s="1"/>
  <c r="R380" i="2" s="1"/>
  <c r="T380" i="2" s="1"/>
  <c r="V380" i="2" s="1"/>
  <c r="X380" i="2" s="1"/>
  <c r="Z380" i="2" s="1"/>
  <c r="N166" i="2"/>
  <c r="P166" i="2" s="1"/>
  <c r="R166" i="2" s="1"/>
  <c r="T166" i="2" s="1"/>
  <c r="V166" i="2" s="1"/>
  <c r="X166" i="2" s="1"/>
  <c r="Z166" i="2" s="1"/>
  <c r="N1456" i="2"/>
  <c r="P1456" i="2" s="1"/>
  <c r="R1456" i="2" s="1"/>
  <c r="T1456" i="2" s="1"/>
  <c r="V1456" i="2" s="1"/>
  <c r="X1456" i="2" s="1"/>
  <c r="Z1456" i="2" s="1"/>
  <c r="N1417" i="2"/>
  <c r="P1417" i="2" s="1"/>
  <c r="R1417" i="2" s="1"/>
  <c r="T1417" i="2" s="1"/>
  <c r="V1417" i="2" s="1"/>
  <c r="X1417" i="2" s="1"/>
  <c r="Z1417" i="2" s="1"/>
  <c r="N1375" i="2"/>
  <c r="P1375" i="2" s="1"/>
  <c r="R1375" i="2" s="1"/>
  <c r="T1375" i="2" s="1"/>
  <c r="V1375" i="2" s="1"/>
  <c r="X1375" i="2" s="1"/>
  <c r="Z1375" i="2" s="1"/>
  <c r="N1324" i="2"/>
  <c r="P1324" i="2" s="1"/>
  <c r="R1324" i="2" s="1"/>
  <c r="T1324" i="2" s="1"/>
  <c r="V1324" i="2" s="1"/>
  <c r="X1324" i="2" s="1"/>
  <c r="Z1324" i="2" s="1"/>
  <c r="N1271" i="2"/>
  <c r="P1271" i="2" s="1"/>
  <c r="R1271" i="2" s="1"/>
  <c r="T1271" i="2" s="1"/>
  <c r="V1271" i="2" s="1"/>
  <c r="X1271" i="2" s="1"/>
  <c r="Z1271" i="2" s="1"/>
  <c r="N1189" i="2"/>
  <c r="P1189" i="2" s="1"/>
  <c r="R1189" i="2" s="1"/>
  <c r="T1189" i="2" s="1"/>
  <c r="V1189" i="2" s="1"/>
  <c r="X1189" i="2" s="1"/>
  <c r="Z1189" i="2" s="1"/>
  <c r="N1132" i="2"/>
  <c r="P1132" i="2" s="1"/>
  <c r="R1132" i="2" s="1"/>
  <c r="T1132" i="2" s="1"/>
  <c r="V1132" i="2" s="1"/>
  <c r="X1132" i="2" s="1"/>
  <c r="Z1132" i="2" s="1"/>
  <c r="N1092" i="2"/>
  <c r="P1092" i="2" s="1"/>
  <c r="R1092" i="2" s="1"/>
  <c r="T1092" i="2" s="1"/>
  <c r="V1092" i="2" s="1"/>
  <c r="X1092" i="2" s="1"/>
  <c r="Z1092" i="2" s="1"/>
  <c r="N463" i="2"/>
  <c r="P463" i="2" s="1"/>
  <c r="R463" i="2" s="1"/>
  <c r="T463" i="2" s="1"/>
  <c r="V463" i="2" s="1"/>
  <c r="X463" i="2" s="1"/>
  <c r="Z463" i="2" s="1"/>
  <c r="N400" i="2"/>
  <c r="P400" i="2" s="1"/>
  <c r="R400" i="2" s="1"/>
  <c r="T400" i="2" s="1"/>
  <c r="V400" i="2" s="1"/>
  <c r="X400" i="2" s="1"/>
  <c r="Z400" i="2" s="1"/>
  <c r="N354" i="2"/>
  <c r="P354" i="2" s="1"/>
  <c r="R354" i="2" s="1"/>
  <c r="T354" i="2" s="1"/>
  <c r="V354" i="2" s="1"/>
  <c r="X354" i="2" s="1"/>
  <c r="Z354" i="2" s="1"/>
  <c r="N283" i="2"/>
  <c r="P283" i="2" s="1"/>
  <c r="R283" i="2" s="1"/>
  <c r="T283" i="2" s="1"/>
  <c r="V283" i="2" s="1"/>
  <c r="X283" i="2" s="1"/>
  <c r="Z283" i="2" s="1"/>
  <c r="N221" i="2"/>
  <c r="P221" i="2" s="1"/>
  <c r="R221" i="2" s="1"/>
  <c r="T221" i="2" s="1"/>
  <c r="V221" i="2" s="1"/>
  <c r="X221" i="2" s="1"/>
  <c r="Z221" i="2" s="1"/>
  <c r="N163" i="2"/>
  <c r="P163" i="2" s="1"/>
  <c r="R163" i="2" s="1"/>
  <c r="T163" i="2" s="1"/>
  <c r="V163" i="2" s="1"/>
  <c r="X163" i="2" s="1"/>
  <c r="Z163" i="2" s="1"/>
  <c r="N88" i="2"/>
  <c r="P88" i="2" s="1"/>
  <c r="R88" i="2" s="1"/>
  <c r="T88" i="2" s="1"/>
  <c r="V88" i="2" s="1"/>
  <c r="X88" i="2" s="1"/>
  <c r="Z88" i="2" s="1"/>
  <c r="N45" i="2"/>
  <c r="P45" i="2" s="1"/>
  <c r="R45" i="2" s="1"/>
  <c r="T45" i="2" s="1"/>
  <c r="V45" i="2" s="1"/>
  <c r="X45" i="2" s="1"/>
  <c r="Z45" i="2" s="1"/>
  <c r="N48" i="2"/>
  <c r="P48" i="2" s="1"/>
  <c r="R48" i="2" s="1"/>
  <c r="T48" i="2" s="1"/>
  <c r="V48" i="2" s="1"/>
  <c r="X48" i="2" s="1"/>
  <c r="Z48" i="2" s="1"/>
  <c r="N1401" i="2"/>
  <c r="P1401" i="2" s="1"/>
  <c r="R1401" i="2" s="1"/>
  <c r="T1401" i="2" s="1"/>
  <c r="V1401" i="2" s="1"/>
  <c r="X1401" i="2" s="1"/>
  <c r="Z1401" i="2" s="1"/>
  <c r="N1300" i="2"/>
  <c r="P1300" i="2" s="1"/>
  <c r="R1300" i="2" s="1"/>
  <c r="T1300" i="2" s="1"/>
  <c r="V1300" i="2" s="1"/>
  <c r="X1300" i="2" s="1"/>
  <c r="Z1300" i="2" s="1"/>
  <c r="N1159" i="2"/>
  <c r="P1159" i="2" s="1"/>
  <c r="R1159" i="2" s="1"/>
  <c r="T1159" i="2" s="1"/>
  <c r="V1159" i="2" s="1"/>
  <c r="X1159" i="2" s="1"/>
  <c r="Z1159" i="2" s="1"/>
  <c r="N465" i="2"/>
  <c r="P465" i="2" s="1"/>
  <c r="R465" i="2" s="1"/>
  <c r="T465" i="2" s="1"/>
  <c r="V465" i="2" s="1"/>
  <c r="X465" i="2" s="1"/>
  <c r="Z465" i="2" s="1"/>
  <c r="N319" i="2"/>
  <c r="P319" i="2" s="1"/>
  <c r="R319" i="2" s="1"/>
  <c r="T319" i="2" s="1"/>
  <c r="V319" i="2" s="1"/>
  <c r="X319" i="2" s="1"/>
  <c r="Z319" i="2" s="1"/>
  <c r="N113" i="2"/>
  <c r="P113" i="2" s="1"/>
  <c r="R113" i="2" s="1"/>
  <c r="T113" i="2" s="1"/>
  <c r="V113" i="2" s="1"/>
  <c r="X113" i="2" s="1"/>
  <c r="Z113" i="2" s="1"/>
  <c r="N1455" i="2"/>
  <c r="P1455" i="2" s="1"/>
  <c r="R1455" i="2" s="1"/>
  <c r="T1455" i="2" s="1"/>
  <c r="V1455" i="2" s="1"/>
  <c r="X1455" i="2" s="1"/>
  <c r="Z1455" i="2" s="1"/>
  <c r="N1414" i="2"/>
  <c r="P1414" i="2" s="1"/>
  <c r="R1414" i="2" s="1"/>
  <c r="T1414" i="2" s="1"/>
  <c r="V1414" i="2" s="1"/>
  <c r="X1414" i="2" s="1"/>
  <c r="Z1414" i="2" s="1"/>
  <c r="N1373" i="2"/>
  <c r="P1373" i="2" s="1"/>
  <c r="R1373" i="2" s="1"/>
  <c r="T1373" i="2" s="1"/>
  <c r="V1373" i="2" s="1"/>
  <c r="X1373" i="2" s="1"/>
  <c r="Z1373" i="2" s="1"/>
  <c r="N1323" i="2"/>
  <c r="P1323" i="2" s="1"/>
  <c r="R1323" i="2" s="1"/>
  <c r="T1323" i="2" s="1"/>
  <c r="V1323" i="2" s="1"/>
  <c r="X1323" i="2" s="1"/>
  <c r="Z1323" i="2" s="1"/>
  <c r="N1265" i="2"/>
  <c r="P1265" i="2" s="1"/>
  <c r="R1265" i="2" s="1"/>
  <c r="T1265" i="2" s="1"/>
  <c r="V1265" i="2" s="1"/>
  <c r="X1265" i="2" s="1"/>
  <c r="Z1265" i="2" s="1"/>
  <c r="N1206" i="2"/>
  <c r="P1206" i="2" s="1"/>
  <c r="R1206" i="2" s="1"/>
  <c r="T1206" i="2" s="1"/>
  <c r="V1206" i="2" s="1"/>
  <c r="X1206" i="2" s="1"/>
  <c r="Z1206" i="2" s="1"/>
  <c r="N1128" i="2"/>
  <c r="P1128" i="2" s="1"/>
  <c r="R1128" i="2" s="1"/>
  <c r="T1128" i="2" s="1"/>
  <c r="V1128" i="2" s="1"/>
  <c r="X1128" i="2" s="1"/>
  <c r="Z1128" i="2" s="1"/>
  <c r="N1091" i="2"/>
  <c r="P1091" i="2" s="1"/>
  <c r="R1091" i="2" s="1"/>
  <c r="T1091" i="2" s="1"/>
  <c r="V1091" i="2" s="1"/>
  <c r="X1091" i="2" s="1"/>
  <c r="Z1091" i="2" s="1"/>
  <c r="N454" i="2"/>
  <c r="P454" i="2" s="1"/>
  <c r="R454" i="2" s="1"/>
  <c r="T454" i="2" s="1"/>
  <c r="V454" i="2" s="1"/>
  <c r="X454" i="2" s="1"/>
  <c r="Z454" i="2" s="1"/>
  <c r="N397" i="2"/>
  <c r="P397" i="2" s="1"/>
  <c r="R397" i="2" s="1"/>
  <c r="T397" i="2" s="1"/>
  <c r="V397" i="2" s="1"/>
  <c r="X397" i="2" s="1"/>
  <c r="Z397" i="2" s="1"/>
  <c r="N351" i="2"/>
  <c r="P351" i="2" s="1"/>
  <c r="R351" i="2" s="1"/>
  <c r="T351" i="2" s="1"/>
  <c r="V351" i="2" s="1"/>
  <c r="X351" i="2" s="1"/>
  <c r="Z351" i="2" s="1"/>
  <c r="N281" i="2"/>
  <c r="P281" i="2" s="1"/>
  <c r="R281" i="2" s="1"/>
  <c r="T281" i="2" s="1"/>
  <c r="V281" i="2" s="1"/>
  <c r="X281" i="2" s="1"/>
  <c r="Z281" i="2" s="1"/>
  <c r="N213" i="2"/>
  <c r="P213" i="2" s="1"/>
  <c r="R213" i="2" s="1"/>
  <c r="T213" i="2" s="1"/>
  <c r="V213" i="2" s="1"/>
  <c r="X213" i="2" s="1"/>
  <c r="Z213" i="2" s="1"/>
  <c r="N155" i="2"/>
  <c r="P155" i="2" s="1"/>
  <c r="R155" i="2" s="1"/>
  <c r="T155" i="2" s="1"/>
  <c r="V155" i="2" s="1"/>
  <c r="X155" i="2" s="1"/>
  <c r="Z155" i="2" s="1"/>
  <c r="N87" i="2"/>
  <c r="P87" i="2" s="1"/>
  <c r="R87" i="2" s="1"/>
  <c r="T87" i="2" s="1"/>
  <c r="V87" i="2" s="1"/>
  <c r="X87" i="2" s="1"/>
  <c r="Z87" i="2" s="1"/>
  <c r="N42" i="2"/>
  <c r="P42" i="2" s="1"/>
  <c r="R42" i="2" s="1"/>
  <c r="T42" i="2" s="1"/>
  <c r="V42" i="2" s="1"/>
  <c r="X42" i="2" s="1"/>
  <c r="Z42" i="2" s="1"/>
  <c r="N1413" i="2"/>
  <c r="P1413" i="2" s="1"/>
  <c r="R1413" i="2" s="1"/>
  <c r="T1413" i="2" s="1"/>
  <c r="V1413" i="2" s="1"/>
  <c r="X1413" i="2" s="1"/>
  <c r="Z1413" i="2" s="1"/>
  <c r="N1322" i="2"/>
  <c r="P1322" i="2" s="1"/>
  <c r="R1322" i="2" s="1"/>
  <c r="T1322" i="2" s="1"/>
  <c r="V1322" i="2" s="1"/>
  <c r="X1322" i="2" s="1"/>
  <c r="Z1322" i="2" s="1"/>
  <c r="N1183" i="2"/>
  <c r="P1183" i="2" s="1"/>
  <c r="R1183" i="2" s="1"/>
  <c r="T1183" i="2" s="1"/>
  <c r="V1183" i="2" s="1"/>
  <c r="X1183" i="2" s="1"/>
  <c r="Z1183" i="2" s="1"/>
  <c r="N1051" i="2"/>
  <c r="P1051" i="2" s="1"/>
  <c r="R1051" i="2" s="1"/>
  <c r="T1051" i="2" s="1"/>
  <c r="V1051" i="2" s="1"/>
  <c r="X1051" i="2" s="1"/>
  <c r="Z1051" i="2" s="1"/>
  <c r="N371" i="2"/>
  <c r="P371" i="2" s="1"/>
  <c r="R371" i="2" s="1"/>
  <c r="T371" i="2" s="1"/>
  <c r="V371" i="2" s="1"/>
  <c r="X371" i="2" s="1"/>
  <c r="Z371" i="2" s="1"/>
  <c r="N238" i="2"/>
  <c r="P238" i="2" s="1"/>
  <c r="R238" i="2" s="1"/>
  <c r="T238" i="2" s="1"/>
  <c r="V238" i="2" s="1"/>
  <c r="X238" i="2" s="1"/>
  <c r="Z238" i="2" s="1"/>
  <c r="N59" i="2"/>
  <c r="P59" i="2" s="1"/>
  <c r="R59" i="2" s="1"/>
  <c r="T59" i="2" s="1"/>
  <c r="V59" i="2" s="1"/>
  <c r="X59" i="2" s="1"/>
  <c r="Z59" i="2" s="1"/>
  <c r="L223" i="2"/>
  <c r="L1253" i="2"/>
  <c r="L1333" i="2"/>
  <c r="L152" i="2"/>
  <c r="L25" i="2"/>
  <c r="L474" i="2"/>
  <c r="J473" i="2"/>
  <c r="E1084" i="2"/>
  <c r="E1250" i="2"/>
  <c r="E1239" i="2" s="1"/>
  <c r="E17" i="2"/>
  <c r="E71" i="2"/>
  <c r="E192" i="2"/>
  <c r="E414" i="2"/>
  <c r="E106" i="2"/>
  <c r="E1207" i="2"/>
  <c r="E1295" i="2"/>
  <c r="E347" i="2"/>
  <c r="E214" i="2"/>
  <c r="D326" i="2"/>
  <c r="F326" i="2" s="1"/>
  <c r="H326" i="2" s="1"/>
  <c r="J326" i="2" s="1"/>
  <c r="D327" i="2"/>
  <c r="F327" i="2" s="1"/>
  <c r="H327" i="2" s="1"/>
  <c r="J327" i="2" s="1"/>
  <c r="D318" i="2"/>
  <c r="F318" i="2" s="1"/>
  <c r="H318" i="2" s="1"/>
  <c r="J318" i="2" s="1"/>
  <c r="L318" i="2" s="1"/>
  <c r="N318" i="2" s="1"/>
  <c r="P318" i="2" s="1"/>
  <c r="R318" i="2" s="1"/>
  <c r="T318" i="2" s="1"/>
  <c r="V318" i="2" s="1"/>
  <c r="X318" i="2" s="1"/>
  <c r="P818" i="2" l="1"/>
  <c r="R818" i="2" s="1"/>
  <c r="T818" i="2" s="1"/>
  <c r="V818" i="2" s="1"/>
  <c r="X818" i="2" s="1"/>
  <c r="Z818" i="2" s="1"/>
  <c r="N1333" i="2"/>
  <c r="P1333" i="2" s="1"/>
  <c r="R1333" i="2" s="1"/>
  <c r="T1333" i="2" s="1"/>
  <c r="V1333" i="2" s="1"/>
  <c r="X1333" i="2" s="1"/>
  <c r="Z1333" i="2" s="1"/>
  <c r="N152" i="2"/>
  <c r="P152" i="2" s="1"/>
  <c r="R152" i="2" s="1"/>
  <c r="T152" i="2" s="1"/>
  <c r="V152" i="2" s="1"/>
  <c r="X152" i="2" s="1"/>
  <c r="Z152" i="2" s="1"/>
  <c r="N474" i="2"/>
  <c r="P474" i="2" s="1"/>
  <c r="R474" i="2" s="1"/>
  <c r="T474" i="2" s="1"/>
  <c r="V474" i="2" s="1"/>
  <c r="X474" i="2" s="1"/>
  <c r="Z474" i="2" s="1"/>
  <c r="N1253" i="2"/>
  <c r="P1253" i="2" s="1"/>
  <c r="R1253" i="2" s="1"/>
  <c r="T1253" i="2" s="1"/>
  <c r="V1253" i="2" s="1"/>
  <c r="X1253" i="2" s="1"/>
  <c r="Z1253" i="2" s="1"/>
  <c r="N25" i="2"/>
  <c r="P25" i="2" s="1"/>
  <c r="R25" i="2" s="1"/>
  <c r="T25" i="2" s="1"/>
  <c r="V25" i="2" s="1"/>
  <c r="X25" i="2" s="1"/>
  <c r="Z25" i="2" s="1"/>
  <c r="N223" i="2"/>
  <c r="P223" i="2" s="1"/>
  <c r="R223" i="2" s="1"/>
  <c r="T223" i="2" s="1"/>
  <c r="V223" i="2" s="1"/>
  <c r="X223" i="2" s="1"/>
  <c r="Z223" i="2" s="1"/>
  <c r="L326" i="2"/>
  <c r="L327" i="2"/>
  <c r="E16" i="2"/>
  <c r="E413" i="2"/>
  <c r="E1083" i="2"/>
  <c r="E1294" i="2"/>
  <c r="D239" i="2"/>
  <c r="F239" i="2" s="1"/>
  <c r="H239" i="2" s="1"/>
  <c r="J239" i="2" s="1"/>
  <c r="L239" i="2" s="1"/>
  <c r="N239" i="2" s="1"/>
  <c r="P239" i="2" s="1"/>
  <c r="R239" i="2" s="1"/>
  <c r="T239" i="2" s="1"/>
  <c r="V239" i="2" s="1"/>
  <c r="X239" i="2" s="1"/>
  <c r="D165" i="2"/>
  <c r="F165" i="2" s="1"/>
  <c r="H165" i="2" s="1"/>
  <c r="J165" i="2" s="1"/>
  <c r="L165" i="2" s="1"/>
  <c r="N165" i="2" s="1"/>
  <c r="P165" i="2" s="1"/>
  <c r="R165" i="2" s="1"/>
  <c r="T165" i="2" s="1"/>
  <c r="V165" i="2" s="1"/>
  <c r="X165" i="2" s="1"/>
  <c r="D1147" i="2"/>
  <c r="F1147" i="2" s="1"/>
  <c r="H1147" i="2" s="1"/>
  <c r="J1147" i="2" s="1"/>
  <c r="L1147" i="2" s="1"/>
  <c r="N1147" i="2" s="1"/>
  <c r="P1147" i="2" s="1"/>
  <c r="R1147" i="2" s="1"/>
  <c r="T1147" i="2" s="1"/>
  <c r="V1147" i="2" s="1"/>
  <c r="X1147" i="2" s="1"/>
  <c r="D1173" i="2"/>
  <c r="P817" i="2" l="1"/>
  <c r="R817" i="2" s="1"/>
  <c r="T817" i="2" s="1"/>
  <c r="V817" i="2" s="1"/>
  <c r="X817" i="2" s="1"/>
  <c r="N327" i="2"/>
  <c r="P327" i="2" s="1"/>
  <c r="R327" i="2" s="1"/>
  <c r="T327" i="2" s="1"/>
  <c r="V327" i="2" s="1"/>
  <c r="X327" i="2" s="1"/>
  <c r="Z327" i="2" s="1"/>
  <c r="N326" i="2"/>
  <c r="P326" i="2" s="1"/>
  <c r="R326" i="2" s="1"/>
  <c r="T326" i="2" s="1"/>
  <c r="V326" i="2" s="1"/>
  <c r="X326" i="2" s="1"/>
  <c r="Z326" i="2" s="1"/>
  <c r="E1471" i="2"/>
  <c r="D1166" i="2"/>
  <c r="F1166" i="2" s="1"/>
  <c r="H1166" i="2" s="1"/>
  <c r="J1166" i="2" s="1"/>
  <c r="L1166" i="2" s="1"/>
  <c r="N1166" i="2" s="1"/>
  <c r="P1166" i="2" s="1"/>
  <c r="R1166" i="2" s="1"/>
  <c r="T1166" i="2" s="1"/>
  <c r="V1166" i="2" s="1"/>
  <c r="X1166" i="2" s="1"/>
  <c r="F1173" i="2"/>
  <c r="H1173" i="2" s="1"/>
  <c r="J1173" i="2" s="1"/>
  <c r="L1173" i="2" s="1"/>
  <c r="N1173" i="2" s="1"/>
  <c r="P1173" i="2" s="1"/>
  <c r="R1173" i="2" s="1"/>
  <c r="T1173" i="2" s="1"/>
  <c r="V1173" i="2" s="1"/>
  <c r="X1173" i="2" s="1"/>
  <c r="E1472" i="2"/>
  <c r="D1311" i="2"/>
  <c r="F1311" i="2" s="1"/>
  <c r="H1311" i="2" s="1"/>
  <c r="J1311" i="2" s="1"/>
  <c r="L1311" i="2" s="1"/>
  <c r="N1311" i="2" s="1"/>
  <c r="P1311" i="2" s="1"/>
  <c r="R1311" i="2" s="1"/>
  <c r="T1311" i="2" s="1"/>
  <c r="V1311" i="2" s="1"/>
  <c r="X1311" i="2" s="1"/>
  <c r="D1181" i="2"/>
  <c r="D54" i="2"/>
  <c r="F54" i="2" s="1"/>
  <c r="H54" i="2" s="1"/>
  <c r="J54" i="2" s="1"/>
  <c r="L54" i="2" s="1"/>
  <c r="N54" i="2" s="1"/>
  <c r="P54" i="2" s="1"/>
  <c r="R54" i="2" s="1"/>
  <c r="T54" i="2" s="1"/>
  <c r="V54" i="2" s="1"/>
  <c r="X54" i="2" s="1"/>
  <c r="D1392" i="2"/>
  <c r="P816" i="2" l="1"/>
  <c r="R816" i="2" s="1"/>
  <c r="T816" i="2" s="1"/>
  <c r="V816" i="2" s="1"/>
  <c r="X816" i="2" s="1"/>
  <c r="Z816" i="2" s="1"/>
  <c r="D1178" i="2"/>
  <c r="F1178" i="2" s="1"/>
  <c r="H1178" i="2" s="1"/>
  <c r="J1178" i="2" s="1"/>
  <c r="L1178" i="2" s="1"/>
  <c r="N1178" i="2" s="1"/>
  <c r="P1178" i="2" s="1"/>
  <c r="R1178" i="2" s="1"/>
  <c r="T1178" i="2" s="1"/>
  <c r="V1178" i="2" s="1"/>
  <c r="X1178" i="2" s="1"/>
  <c r="F1181" i="2"/>
  <c r="H1181" i="2" s="1"/>
  <c r="J1181" i="2" s="1"/>
  <c r="L1181" i="2" s="1"/>
  <c r="N1181" i="2" s="1"/>
  <c r="P1181" i="2" s="1"/>
  <c r="R1181" i="2" s="1"/>
  <c r="T1181" i="2" s="1"/>
  <c r="V1181" i="2" s="1"/>
  <c r="X1181" i="2" s="1"/>
  <c r="D1391" i="2"/>
  <c r="F1391" i="2" s="1"/>
  <c r="H1391" i="2" s="1"/>
  <c r="J1391" i="2" s="1"/>
  <c r="L1391" i="2" s="1"/>
  <c r="N1391" i="2" s="1"/>
  <c r="P1391" i="2" s="1"/>
  <c r="R1391" i="2" s="1"/>
  <c r="T1391" i="2" s="1"/>
  <c r="V1391" i="2" s="1"/>
  <c r="X1391" i="2" s="1"/>
  <c r="F1392" i="2"/>
  <c r="H1392" i="2" s="1"/>
  <c r="J1392" i="2" s="1"/>
  <c r="L1392" i="2" s="1"/>
  <c r="N1392" i="2" s="1"/>
  <c r="P1392" i="2" s="1"/>
  <c r="R1392" i="2" s="1"/>
  <c r="T1392" i="2" s="1"/>
  <c r="V1392" i="2" s="1"/>
  <c r="X1392" i="2" s="1"/>
  <c r="D324" i="2"/>
  <c r="F324" i="2" s="1"/>
  <c r="H324" i="2" s="1"/>
  <c r="J324" i="2" s="1"/>
  <c r="L324" i="2" s="1"/>
  <c r="N324" i="2" s="1"/>
  <c r="P324" i="2" s="1"/>
  <c r="R324" i="2" s="1"/>
  <c r="T324" i="2" s="1"/>
  <c r="V324" i="2" s="1"/>
  <c r="X324" i="2" s="1"/>
  <c r="P815" i="2" l="1"/>
  <c r="R815" i="2" s="1"/>
  <c r="T815" i="2" s="1"/>
  <c r="V815" i="2" s="1"/>
  <c r="X815" i="2" s="1"/>
  <c r="D373" i="2"/>
  <c r="D1205" i="2"/>
  <c r="D1188" i="2"/>
  <c r="D1184" i="2" s="1"/>
  <c r="D24" i="2"/>
  <c r="F24" i="2" s="1"/>
  <c r="H24" i="2" s="1"/>
  <c r="J24" i="2" s="1"/>
  <c r="L24" i="2" s="1"/>
  <c r="N24" i="2" s="1"/>
  <c r="P24" i="2" s="1"/>
  <c r="R24" i="2" s="1"/>
  <c r="T24" i="2" s="1"/>
  <c r="V24" i="2" s="1"/>
  <c r="X24" i="2" s="1"/>
  <c r="D22" i="2"/>
  <c r="D31" i="2"/>
  <c r="F31" i="2" s="1"/>
  <c r="H31" i="2" s="1"/>
  <c r="J31" i="2" s="1"/>
  <c r="L31" i="2" s="1"/>
  <c r="N31" i="2" s="1"/>
  <c r="P31" i="2" s="1"/>
  <c r="R31" i="2" s="1"/>
  <c r="T31" i="2" s="1"/>
  <c r="V31" i="2" s="1"/>
  <c r="X31" i="2" s="1"/>
  <c r="D40" i="2"/>
  <c r="F40" i="2" s="1"/>
  <c r="H40" i="2" s="1"/>
  <c r="J40" i="2" s="1"/>
  <c r="L40" i="2" s="1"/>
  <c r="N40" i="2" s="1"/>
  <c r="P40" i="2" s="1"/>
  <c r="R40" i="2" s="1"/>
  <c r="T40" i="2" s="1"/>
  <c r="V40" i="2" s="1"/>
  <c r="X40" i="2" s="1"/>
  <c r="D44" i="2"/>
  <c r="F44" i="2" s="1"/>
  <c r="H44" i="2" s="1"/>
  <c r="J44" i="2" s="1"/>
  <c r="L44" i="2" s="1"/>
  <c r="N44" i="2" s="1"/>
  <c r="P44" i="2" s="1"/>
  <c r="R44" i="2" s="1"/>
  <c r="T44" i="2" s="1"/>
  <c r="V44" i="2" s="1"/>
  <c r="X44" i="2" s="1"/>
  <c r="D47" i="2"/>
  <c r="F47" i="2" s="1"/>
  <c r="H47" i="2" s="1"/>
  <c r="J47" i="2" s="1"/>
  <c r="L47" i="2" s="1"/>
  <c r="N47" i="2" s="1"/>
  <c r="P47" i="2" s="1"/>
  <c r="R47" i="2" s="1"/>
  <c r="T47" i="2" s="1"/>
  <c r="V47" i="2" s="1"/>
  <c r="X47" i="2" s="1"/>
  <c r="D52" i="2"/>
  <c r="F52" i="2" s="1"/>
  <c r="H52" i="2" s="1"/>
  <c r="J52" i="2" s="1"/>
  <c r="L52" i="2" s="1"/>
  <c r="N52" i="2" s="1"/>
  <c r="P52" i="2" s="1"/>
  <c r="R52" i="2" s="1"/>
  <c r="T52" i="2" s="1"/>
  <c r="V52" i="2" s="1"/>
  <c r="X52" i="2" s="1"/>
  <c r="D56" i="2"/>
  <c r="F56" i="2" s="1"/>
  <c r="H56" i="2" s="1"/>
  <c r="J56" i="2" s="1"/>
  <c r="L56" i="2" s="1"/>
  <c r="N56" i="2" s="1"/>
  <c r="P56" i="2" s="1"/>
  <c r="R56" i="2" s="1"/>
  <c r="T56" i="2" s="1"/>
  <c r="V56" i="2" s="1"/>
  <c r="X56" i="2" s="1"/>
  <c r="D58" i="2"/>
  <c r="F58" i="2" s="1"/>
  <c r="H58" i="2" s="1"/>
  <c r="J58" i="2" s="1"/>
  <c r="L58" i="2" s="1"/>
  <c r="N58" i="2" s="1"/>
  <c r="P58" i="2" s="1"/>
  <c r="R58" i="2" s="1"/>
  <c r="T58" i="2" s="1"/>
  <c r="V58" i="2" s="1"/>
  <c r="X58" i="2" s="1"/>
  <c r="D62" i="2"/>
  <c r="D65" i="2"/>
  <c r="D75" i="2"/>
  <c r="F75" i="2" s="1"/>
  <c r="H75" i="2" s="1"/>
  <c r="J75" i="2" s="1"/>
  <c r="L75" i="2" s="1"/>
  <c r="N75" i="2" s="1"/>
  <c r="P75" i="2" s="1"/>
  <c r="R75" i="2" s="1"/>
  <c r="T75" i="2" s="1"/>
  <c r="V75" i="2" s="1"/>
  <c r="X75" i="2" s="1"/>
  <c r="D77" i="2"/>
  <c r="F77" i="2" s="1"/>
  <c r="H77" i="2" s="1"/>
  <c r="J77" i="2" s="1"/>
  <c r="L77" i="2" s="1"/>
  <c r="N77" i="2" s="1"/>
  <c r="P77" i="2" s="1"/>
  <c r="R77" i="2" s="1"/>
  <c r="T77" i="2" s="1"/>
  <c r="V77" i="2" s="1"/>
  <c r="X77" i="2" s="1"/>
  <c r="D80" i="2"/>
  <c r="F80" i="2" s="1"/>
  <c r="H80" i="2" s="1"/>
  <c r="J80" i="2" s="1"/>
  <c r="L80" i="2" s="1"/>
  <c r="N80" i="2" s="1"/>
  <c r="P80" i="2" s="1"/>
  <c r="R80" i="2" s="1"/>
  <c r="T80" i="2" s="1"/>
  <c r="V80" i="2" s="1"/>
  <c r="X80" i="2" s="1"/>
  <c r="D82" i="2"/>
  <c r="F82" i="2" s="1"/>
  <c r="H82" i="2" s="1"/>
  <c r="J82" i="2" s="1"/>
  <c r="L82" i="2" s="1"/>
  <c r="N82" i="2" s="1"/>
  <c r="P82" i="2" s="1"/>
  <c r="R82" i="2" s="1"/>
  <c r="T82" i="2" s="1"/>
  <c r="V82" i="2" s="1"/>
  <c r="X82" i="2" s="1"/>
  <c r="D86" i="2"/>
  <c r="F86" i="2" s="1"/>
  <c r="H86" i="2" s="1"/>
  <c r="J86" i="2" s="1"/>
  <c r="L86" i="2" s="1"/>
  <c r="N86" i="2" s="1"/>
  <c r="P86" i="2" s="1"/>
  <c r="R86" i="2" s="1"/>
  <c r="T86" i="2" s="1"/>
  <c r="V86" i="2" s="1"/>
  <c r="X86" i="2" s="1"/>
  <c r="D92" i="2"/>
  <c r="F92" i="2" s="1"/>
  <c r="H92" i="2" s="1"/>
  <c r="J92" i="2" s="1"/>
  <c r="L92" i="2" s="1"/>
  <c r="N92" i="2" s="1"/>
  <c r="P92" i="2" s="1"/>
  <c r="R92" i="2" s="1"/>
  <c r="T92" i="2" s="1"/>
  <c r="V92" i="2" s="1"/>
  <c r="X92" i="2" s="1"/>
  <c r="D98" i="2"/>
  <c r="D111" i="2"/>
  <c r="F111" i="2" s="1"/>
  <c r="H111" i="2" s="1"/>
  <c r="J111" i="2" s="1"/>
  <c r="L111" i="2" s="1"/>
  <c r="N111" i="2" s="1"/>
  <c r="P111" i="2" s="1"/>
  <c r="R111" i="2" s="1"/>
  <c r="T111" i="2" s="1"/>
  <c r="V111" i="2" s="1"/>
  <c r="X111" i="2" s="1"/>
  <c r="D119" i="2"/>
  <c r="F119" i="2" s="1"/>
  <c r="H119" i="2" s="1"/>
  <c r="J119" i="2" s="1"/>
  <c r="L119" i="2" s="1"/>
  <c r="N119" i="2" s="1"/>
  <c r="P119" i="2" s="1"/>
  <c r="R119" i="2" s="1"/>
  <c r="T119" i="2" s="1"/>
  <c r="V119" i="2" s="1"/>
  <c r="X119" i="2" s="1"/>
  <c r="D122" i="2"/>
  <c r="F122" i="2" s="1"/>
  <c r="H122" i="2" s="1"/>
  <c r="J122" i="2" s="1"/>
  <c r="L122" i="2" s="1"/>
  <c r="N122" i="2" s="1"/>
  <c r="P122" i="2" s="1"/>
  <c r="R122" i="2" s="1"/>
  <c r="T122" i="2" s="1"/>
  <c r="V122" i="2" s="1"/>
  <c r="X122" i="2" s="1"/>
  <c r="D130" i="2"/>
  <c r="D154" i="2"/>
  <c r="F154" i="2" s="1"/>
  <c r="H154" i="2" s="1"/>
  <c r="J154" i="2" s="1"/>
  <c r="L154" i="2" s="1"/>
  <c r="N154" i="2" s="1"/>
  <c r="P154" i="2" s="1"/>
  <c r="R154" i="2" s="1"/>
  <c r="T154" i="2" s="1"/>
  <c r="V154" i="2" s="1"/>
  <c r="X154" i="2" s="1"/>
  <c r="D162" i="2"/>
  <c r="F162" i="2" s="1"/>
  <c r="H162" i="2" s="1"/>
  <c r="J162" i="2" s="1"/>
  <c r="L162" i="2" s="1"/>
  <c r="N162" i="2" s="1"/>
  <c r="P162" i="2" s="1"/>
  <c r="R162" i="2" s="1"/>
  <c r="T162" i="2" s="1"/>
  <c r="V162" i="2" s="1"/>
  <c r="X162" i="2" s="1"/>
  <c r="D168" i="2"/>
  <c r="F168" i="2" s="1"/>
  <c r="H168" i="2" s="1"/>
  <c r="J168" i="2" s="1"/>
  <c r="L168" i="2" s="1"/>
  <c r="N168" i="2" s="1"/>
  <c r="P168" i="2" s="1"/>
  <c r="R168" i="2" s="1"/>
  <c r="T168" i="2" s="1"/>
  <c r="V168" i="2" s="1"/>
  <c r="X168" i="2" s="1"/>
  <c r="D177" i="2"/>
  <c r="D184" i="2"/>
  <c r="D1274" i="2"/>
  <c r="D194" i="2"/>
  <c r="F194" i="2" s="1"/>
  <c r="H194" i="2" s="1"/>
  <c r="J194" i="2" s="1"/>
  <c r="L194" i="2" s="1"/>
  <c r="N194" i="2" s="1"/>
  <c r="P194" i="2" s="1"/>
  <c r="R194" i="2" s="1"/>
  <c r="T194" i="2" s="1"/>
  <c r="V194" i="2" s="1"/>
  <c r="X194" i="2" s="1"/>
  <c r="D197" i="2"/>
  <c r="F197" i="2" s="1"/>
  <c r="H197" i="2" s="1"/>
  <c r="J197" i="2" s="1"/>
  <c r="L197" i="2" s="1"/>
  <c r="N197" i="2" s="1"/>
  <c r="P197" i="2" s="1"/>
  <c r="R197" i="2" s="1"/>
  <c r="T197" i="2" s="1"/>
  <c r="V197" i="2" s="1"/>
  <c r="X197" i="2" s="1"/>
  <c r="F200" i="2"/>
  <c r="H200" i="2" s="1"/>
  <c r="J200" i="2" s="1"/>
  <c r="L200" i="2" s="1"/>
  <c r="N200" i="2" s="1"/>
  <c r="P200" i="2" s="1"/>
  <c r="R200" i="2" s="1"/>
  <c r="T200" i="2" s="1"/>
  <c r="V200" i="2" s="1"/>
  <c r="X200" i="2" s="1"/>
  <c r="D211" i="2"/>
  <c r="F211" i="2" s="1"/>
  <c r="H211" i="2" s="1"/>
  <c r="J211" i="2" s="1"/>
  <c r="L211" i="2" s="1"/>
  <c r="N211" i="2" s="1"/>
  <c r="P211" i="2" s="1"/>
  <c r="R211" i="2" s="1"/>
  <c r="T211" i="2" s="1"/>
  <c r="V211" i="2" s="1"/>
  <c r="X211" i="2" s="1"/>
  <c r="D215" i="2"/>
  <c r="F215" i="2" s="1"/>
  <c r="H215" i="2" s="1"/>
  <c r="J215" i="2" s="1"/>
  <c r="L215" i="2" s="1"/>
  <c r="N215" i="2" s="1"/>
  <c r="P215" i="2" s="1"/>
  <c r="R215" i="2" s="1"/>
  <c r="T215" i="2" s="1"/>
  <c r="V215" i="2" s="1"/>
  <c r="X215" i="2" s="1"/>
  <c r="D237" i="2"/>
  <c r="F237" i="2" s="1"/>
  <c r="H237" i="2" s="1"/>
  <c r="J237" i="2" s="1"/>
  <c r="L237" i="2" s="1"/>
  <c r="N237" i="2" s="1"/>
  <c r="P237" i="2" s="1"/>
  <c r="R237" i="2" s="1"/>
  <c r="T237" i="2" s="1"/>
  <c r="V237" i="2" s="1"/>
  <c r="X237" i="2" s="1"/>
  <c r="D242" i="2"/>
  <c r="F242" i="2" s="1"/>
  <c r="H242" i="2" s="1"/>
  <c r="J242" i="2" s="1"/>
  <c r="L242" i="2" s="1"/>
  <c r="N242" i="2" s="1"/>
  <c r="P242" i="2" s="1"/>
  <c r="R242" i="2" s="1"/>
  <c r="T242" i="2" s="1"/>
  <c r="V242" i="2" s="1"/>
  <c r="X242" i="2" s="1"/>
  <c r="D244" i="2"/>
  <c r="F244" i="2" s="1"/>
  <c r="H244" i="2" s="1"/>
  <c r="J244" i="2" s="1"/>
  <c r="L244" i="2" s="1"/>
  <c r="N244" i="2" s="1"/>
  <c r="P244" i="2" s="1"/>
  <c r="R244" i="2" s="1"/>
  <c r="T244" i="2" s="1"/>
  <c r="V244" i="2" s="1"/>
  <c r="X244" i="2" s="1"/>
  <c r="D247" i="2"/>
  <c r="F247" i="2" s="1"/>
  <c r="H247" i="2" s="1"/>
  <c r="J247" i="2" s="1"/>
  <c r="L247" i="2" s="1"/>
  <c r="N247" i="2" s="1"/>
  <c r="P247" i="2" s="1"/>
  <c r="R247" i="2" s="1"/>
  <c r="T247" i="2" s="1"/>
  <c r="V247" i="2" s="1"/>
  <c r="X247" i="2" s="1"/>
  <c r="D249" i="2"/>
  <c r="F249" i="2" s="1"/>
  <c r="H249" i="2" s="1"/>
  <c r="J249" i="2" s="1"/>
  <c r="L249" i="2" s="1"/>
  <c r="N249" i="2" s="1"/>
  <c r="P249" i="2" s="1"/>
  <c r="R249" i="2" s="1"/>
  <c r="T249" i="2" s="1"/>
  <c r="V249" i="2" s="1"/>
  <c r="X249" i="2" s="1"/>
  <c r="D259" i="2"/>
  <c r="F259" i="2" s="1"/>
  <c r="H259" i="2" s="1"/>
  <c r="J259" i="2" s="1"/>
  <c r="L259" i="2" s="1"/>
  <c r="N259" i="2" s="1"/>
  <c r="P259" i="2" s="1"/>
  <c r="R259" i="2" s="1"/>
  <c r="T259" i="2" s="1"/>
  <c r="V259" i="2" s="1"/>
  <c r="X259" i="2" s="1"/>
  <c r="D261" i="2"/>
  <c r="F261" i="2" s="1"/>
  <c r="H261" i="2" s="1"/>
  <c r="J261" i="2" s="1"/>
  <c r="L261" i="2" s="1"/>
  <c r="N261" i="2" s="1"/>
  <c r="P261" i="2" s="1"/>
  <c r="R261" i="2" s="1"/>
  <c r="T261" i="2" s="1"/>
  <c r="V261" i="2" s="1"/>
  <c r="X261" i="2" s="1"/>
  <c r="D268" i="2"/>
  <c r="F268" i="2" s="1"/>
  <c r="H268" i="2" s="1"/>
  <c r="J268" i="2" s="1"/>
  <c r="L268" i="2" s="1"/>
  <c r="N268" i="2" s="1"/>
  <c r="P268" i="2" s="1"/>
  <c r="R268" i="2" s="1"/>
  <c r="T268" i="2" s="1"/>
  <c r="V268" i="2" s="1"/>
  <c r="X268" i="2" s="1"/>
  <c r="D280" i="2"/>
  <c r="F280" i="2" s="1"/>
  <c r="H280" i="2" s="1"/>
  <c r="J280" i="2" s="1"/>
  <c r="L280" i="2" s="1"/>
  <c r="N280" i="2" s="1"/>
  <c r="P280" i="2" s="1"/>
  <c r="R280" i="2" s="1"/>
  <c r="T280" i="2" s="1"/>
  <c r="V280" i="2" s="1"/>
  <c r="X280" i="2" s="1"/>
  <c r="D284" i="2"/>
  <c r="F284" i="2" s="1"/>
  <c r="H284" i="2" s="1"/>
  <c r="J284" i="2" s="1"/>
  <c r="L284" i="2" s="1"/>
  <c r="N284" i="2" s="1"/>
  <c r="P284" i="2" s="1"/>
  <c r="R284" i="2" s="1"/>
  <c r="T284" i="2" s="1"/>
  <c r="V284" i="2" s="1"/>
  <c r="X284" i="2" s="1"/>
  <c r="D294" i="2"/>
  <c r="D299" i="2"/>
  <c r="D310" i="2"/>
  <c r="F310" i="2" s="1"/>
  <c r="H310" i="2" s="1"/>
  <c r="J310" i="2" s="1"/>
  <c r="L310" i="2" s="1"/>
  <c r="N310" i="2" s="1"/>
  <c r="P310" i="2" s="1"/>
  <c r="R310" i="2" s="1"/>
  <c r="T310" i="2" s="1"/>
  <c r="V310" i="2" s="1"/>
  <c r="X310" i="2" s="1"/>
  <c r="D320" i="2"/>
  <c r="F320" i="2" s="1"/>
  <c r="H320" i="2" s="1"/>
  <c r="J320" i="2" s="1"/>
  <c r="L320" i="2" s="1"/>
  <c r="N320" i="2" s="1"/>
  <c r="P320" i="2" s="1"/>
  <c r="R320" i="2" s="1"/>
  <c r="T320" i="2" s="1"/>
  <c r="V320" i="2" s="1"/>
  <c r="X320" i="2" s="1"/>
  <c r="D328" i="2"/>
  <c r="F328" i="2" s="1"/>
  <c r="H328" i="2" s="1"/>
  <c r="J328" i="2" s="1"/>
  <c r="L328" i="2" s="1"/>
  <c r="N328" i="2" s="1"/>
  <c r="P328" i="2" s="1"/>
  <c r="R328" i="2" s="1"/>
  <c r="T328" i="2" s="1"/>
  <c r="V328" i="2" s="1"/>
  <c r="X328" i="2" s="1"/>
  <c r="D330" i="2"/>
  <c r="F330" i="2" s="1"/>
  <c r="H330" i="2" s="1"/>
  <c r="J330" i="2" s="1"/>
  <c r="L330" i="2" s="1"/>
  <c r="N330" i="2" s="1"/>
  <c r="P330" i="2" s="1"/>
  <c r="R330" i="2" s="1"/>
  <c r="T330" i="2" s="1"/>
  <c r="V330" i="2" s="1"/>
  <c r="X330" i="2" s="1"/>
  <c r="D334" i="2"/>
  <c r="F334" i="2" s="1"/>
  <c r="H334" i="2" s="1"/>
  <c r="J334" i="2" s="1"/>
  <c r="L334" i="2" s="1"/>
  <c r="N334" i="2" s="1"/>
  <c r="P334" i="2" s="1"/>
  <c r="R334" i="2" s="1"/>
  <c r="T334" i="2" s="1"/>
  <c r="V334" i="2" s="1"/>
  <c r="X334" i="2" s="1"/>
  <c r="D336" i="2"/>
  <c r="F336" i="2" s="1"/>
  <c r="H336" i="2" s="1"/>
  <c r="J336" i="2" s="1"/>
  <c r="L336" i="2" s="1"/>
  <c r="N336" i="2" s="1"/>
  <c r="P336" i="2" s="1"/>
  <c r="R336" i="2" s="1"/>
  <c r="T336" i="2" s="1"/>
  <c r="V336" i="2" s="1"/>
  <c r="X336" i="2" s="1"/>
  <c r="D339" i="2"/>
  <c r="F339" i="2" s="1"/>
  <c r="H339" i="2" s="1"/>
  <c r="J339" i="2" s="1"/>
  <c r="L339" i="2" s="1"/>
  <c r="N339" i="2" s="1"/>
  <c r="P339" i="2" s="1"/>
  <c r="R339" i="2" s="1"/>
  <c r="T339" i="2" s="1"/>
  <c r="V339" i="2" s="1"/>
  <c r="X339" i="2" s="1"/>
  <c r="D342" i="2"/>
  <c r="D345" i="2"/>
  <c r="D350" i="2"/>
  <c r="D353" i="2"/>
  <c r="D356" i="2"/>
  <c r="D361" i="2"/>
  <c r="F361" i="2" s="1"/>
  <c r="H361" i="2" s="1"/>
  <c r="J361" i="2" s="1"/>
  <c r="L361" i="2" s="1"/>
  <c r="N361" i="2" s="1"/>
  <c r="P361" i="2" s="1"/>
  <c r="R361" i="2" s="1"/>
  <c r="T361" i="2" s="1"/>
  <c r="V361" i="2" s="1"/>
  <c r="X361" i="2" s="1"/>
  <c r="D366" i="2"/>
  <c r="F366" i="2" s="1"/>
  <c r="H366" i="2" s="1"/>
  <c r="J366" i="2" s="1"/>
  <c r="L366" i="2" s="1"/>
  <c r="N366" i="2" s="1"/>
  <c r="P366" i="2" s="1"/>
  <c r="R366" i="2" s="1"/>
  <c r="T366" i="2" s="1"/>
  <c r="V366" i="2" s="1"/>
  <c r="X366" i="2" s="1"/>
  <c r="D370" i="2"/>
  <c r="D377" i="2"/>
  <c r="F377" i="2" s="1"/>
  <c r="H377" i="2" s="1"/>
  <c r="J377" i="2" s="1"/>
  <c r="L377" i="2" s="1"/>
  <c r="N377" i="2" s="1"/>
  <c r="P377" i="2" s="1"/>
  <c r="R377" i="2" s="1"/>
  <c r="T377" i="2" s="1"/>
  <c r="V377" i="2" s="1"/>
  <c r="X377" i="2" s="1"/>
  <c r="D379" i="2"/>
  <c r="F379" i="2" s="1"/>
  <c r="H379" i="2" s="1"/>
  <c r="J379" i="2" s="1"/>
  <c r="L379" i="2" s="1"/>
  <c r="N379" i="2" s="1"/>
  <c r="P379" i="2" s="1"/>
  <c r="R379" i="2" s="1"/>
  <c r="T379" i="2" s="1"/>
  <c r="V379" i="2" s="1"/>
  <c r="X379" i="2" s="1"/>
  <c r="D384" i="2"/>
  <c r="F384" i="2" s="1"/>
  <c r="H384" i="2" s="1"/>
  <c r="J384" i="2" s="1"/>
  <c r="L384" i="2" s="1"/>
  <c r="N384" i="2" s="1"/>
  <c r="P384" i="2" s="1"/>
  <c r="R384" i="2" s="1"/>
  <c r="T384" i="2" s="1"/>
  <c r="V384" i="2" s="1"/>
  <c r="X384" i="2" s="1"/>
  <c r="D389" i="2"/>
  <c r="F389" i="2" s="1"/>
  <c r="H389" i="2" s="1"/>
  <c r="J389" i="2" s="1"/>
  <c r="L389" i="2" s="1"/>
  <c r="N389" i="2" s="1"/>
  <c r="P389" i="2" s="1"/>
  <c r="R389" i="2" s="1"/>
  <c r="T389" i="2" s="1"/>
  <c r="V389" i="2" s="1"/>
  <c r="X389" i="2" s="1"/>
  <c r="D394" i="2"/>
  <c r="F394" i="2" s="1"/>
  <c r="H394" i="2" s="1"/>
  <c r="J394" i="2" s="1"/>
  <c r="L394" i="2" s="1"/>
  <c r="N394" i="2" s="1"/>
  <c r="P394" i="2" s="1"/>
  <c r="R394" i="2" s="1"/>
  <c r="T394" i="2" s="1"/>
  <c r="V394" i="2" s="1"/>
  <c r="X394" i="2" s="1"/>
  <c r="D396" i="2"/>
  <c r="F396" i="2" s="1"/>
  <c r="H396" i="2" s="1"/>
  <c r="J396" i="2" s="1"/>
  <c r="L396" i="2" s="1"/>
  <c r="N396" i="2" s="1"/>
  <c r="P396" i="2" s="1"/>
  <c r="R396" i="2" s="1"/>
  <c r="T396" i="2" s="1"/>
  <c r="V396" i="2" s="1"/>
  <c r="X396" i="2" s="1"/>
  <c r="D399" i="2"/>
  <c r="D402" i="2"/>
  <c r="D405" i="2"/>
  <c r="D408" i="2"/>
  <c r="D411" i="2"/>
  <c r="D416" i="2"/>
  <c r="F416" i="2" s="1"/>
  <c r="H416" i="2" s="1"/>
  <c r="J416" i="2" s="1"/>
  <c r="L416" i="2" s="1"/>
  <c r="N416" i="2" s="1"/>
  <c r="P416" i="2" s="1"/>
  <c r="R416" i="2" s="1"/>
  <c r="T416" i="2" s="1"/>
  <c r="V416" i="2" s="1"/>
  <c r="X416" i="2" s="1"/>
  <c r="D418" i="2"/>
  <c r="F418" i="2" s="1"/>
  <c r="H418" i="2" s="1"/>
  <c r="J418" i="2" s="1"/>
  <c r="L418" i="2" s="1"/>
  <c r="N418" i="2" s="1"/>
  <c r="P418" i="2" s="1"/>
  <c r="R418" i="2" s="1"/>
  <c r="T418" i="2" s="1"/>
  <c r="V418" i="2" s="1"/>
  <c r="X418" i="2" s="1"/>
  <c r="D420" i="2"/>
  <c r="F420" i="2" s="1"/>
  <c r="H420" i="2" s="1"/>
  <c r="J420" i="2" s="1"/>
  <c r="L420" i="2" s="1"/>
  <c r="N420" i="2" s="1"/>
  <c r="P420" i="2" s="1"/>
  <c r="R420" i="2" s="1"/>
  <c r="T420" i="2" s="1"/>
  <c r="V420" i="2" s="1"/>
  <c r="X420" i="2" s="1"/>
  <c r="D426" i="2"/>
  <c r="F426" i="2" s="1"/>
  <c r="H426" i="2" s="1"/>
  <c r="J426" i="2" s="1"/>
  <c r="L426" i="2" s="1"/>
  <c r="N426" i="2" s="1"/>
  <c r="P426" i="2" s="1"/>
  <c r="R426" i="2" s="1"/>
  <c r="T426" i="2" s="1"/>
  <c r="V426" i="2" s="1"/>
  <c r="X426" i="2" s="1"/>
  <c r="D428" i="2"/>
  <c r="F428" i="2" s="1"/>
  <c r="H428" i="2" s="1"/>
  <c r="J428" i="2" s="1"/>
  <c r="L428" i="2" s="1"/>
  <c r="N428" i="2" s="1"/>
  <c r="P428" i="2" s="1"/>
  <c r="R428" i="2" s="1"/>
  <c r="T428" i="2" s="1"/>
  <c r="V428" i="2" s="1"/>
  <c r="X428" i="2" s="1"/>
  <c r="D437" i="2"/>
  <c r="D442" i="2"/>
  <c r="D450" i="2"/>
  <c r="F450" i="2" s="1"/>
  <c r="H450" i="2" s="1"/>
  <c r="J450" i="2" s="1"/>
  <c r="L450" i="2" s="1"/>
  <c r="N450" i="2" s="1"/>
  <c r="P450" i="2" s="1"/>
  <c r="R450" i="2" s="1"/>
  <c r="T450" i="2" s="1"/>
  <c r="V450" i="2" s="1"/>
  <c r="X450" i="2" s="1"/>
  <c r="D462" i="2"/>
  <c r="F462" i="2" s="1"/>
  <c r="H462" i="2" s="1"/>
  <c r="J462" i="2" s="1"/>
  <c r="L462" i="2" s="1"/>
  <c r="N462" i="2" s="1"/>
  <c r="P462" i="2" s="1"/>
  <c r="R462" i="2" s="1"/>
  <c r="T462" i="2" s="1"/>
  <c r="V462" i="2" s="1"/>
  <c r="X462" i="2" s="1"/>
  <c r="D473" i="2"/>
  <c r="D472" i="2" s="1"/>
  <c r="D1046" i="2"/>
  <c r="D1066" i="2"/>
  <c r="F1066" i="2" s="1"/>
  <c r="H1066" i="2" s="1"/>
  <c r="J1066" i="2" s="1"/>
  <c r="L1066" i="2" s="1"/>
  <c r="N1066" i="2" s="1"/>
  <c r="P1066" i="2" s="1"/>
  <c r="R1066" i="2" s="1"/>
  <c r="T1066" i="2" s="1"/>
  <c r="V1066" i="2" s="1"/>
  <c r="X1066" i="2" s="1"/>
  <c r="D1068" i="2"/>
  <c r="F1068" i="2" s="1"/>
  <c r="H1068" i="2" s="1"/>
  <c r="J1068" i="2" s="1"/>
  <c r="L1068" i="2" s="1"/>
  <c r="N1068" i="2" s="1"/>
  <c r="P1068" i="2" s="1"/>
  <c r="R1068" i="2" s="1"/>
  <c r="T1068" i="2" s="1"/>
  <c r="V1068" i="2" s="1"/>
  <c r="X1068" i="2" s="1"/>
  <c r="D1089" i="2"/>
  <c r="F1089" i="2" s="1"/>
  <c r="H1089" i="2" s="1"/>
  <c r="J1089" i="2" s="1"/>
  <c r="L1089" i="2" s="1"/>
  <c r="N1089" i="2" s="1"/>
  <c r="P1089" i="2" s="1"/>
  <c r="R1089" i="2" s="1"/>
  <c r="T1089" i="2" s="1"/>
  <c r="V1089" i="2" s="1"/>
  <c r="X1089" i="2" s="1"/>
  <c r="D1093" i="2"/>
  <c r="F1093" i="2" s="1"/>
  <c r="H1093" i="2" s="1"/>
  <c r="J1093" i="2" s="1"/>
  <c r="L1093" i="2" s="1"/>
  <c r="N1093" i="2" s="1"/>
  <c r="P1093" i="2" s="1"/>
  <c r="R1093" i="2" s="1"/>
  <c r="T1093" i="2" s="1"/>
  <c r="V1093" i="2" s="1"/>
  <c r="X1093" i="2" s="1"/>
  <c r="D1104" i="2"/>
  <c r="F1104" i="2" s="1"/>
  <c r="H1104" i="2" s="1"/>
  <c r="J1104" i="2" s="1"/>
  <c r="L1104" i="2" s="1"/>
  <c r="N1104" i="2" s="1"/>
  <c r="P1104" i="2" s="1"/>
  <c r="R1104" i="2" s="1"/>
  <c r="T1104" i="2" s="1"/>
  <c r="V1104" i="2" s="1"/>
  <c r="X1104" i="2" s="1"/>
  <c r="D1109" i="2"/>
  <c r="F1109" i="2" s="1"/>
  <c r="H1109" i="2" s="1"/>
  <c r="J1109" i="2" s="1"/>
  <c r="L1109" i="2" s="1"/>
  <c r="N1109" i="2" s="1"/>
  <c r="P1109" i="2" s="1"/>
  <c r="R1109" i="2" s="1"/>
  <c r="T1109" i="2" s="1"/>
  <c r="V1109" i="2" s="1"/>
  <c r="X1109" i="2" s="1"/>
  <c r="D1116" i="2"/>
  <c r="F1116" i="2" s="1"/>
  <c r="H1116" i="2" s="1"/>
  <c r="J1116" i="2" s="1"/>
  <c r="L1116" i="2" s="1"/>
  <c r="N1116" i="2" s="1"/>
  <c r="P1116" i="2" s="1"/>
  <c r="R1116" i="2" s="1"/>
  <c r="T1116" i="2" s="1"/>
  <c r="V1116" i="2" s="1"/>
  <c r="X1116" i="2" s="1"/>
  <c r="D1121" i="2"/>
  <c r="F1121" i="2" s="1"/>
  <c r="H1121" i="2" s="1"/>
  <c r="J1121" i="2" s="1"/>
  <c r="L1121" i="2" s="1"/>
  <c r="N1121" i="2" s="1"/>
  <c r="P1121" i="2" s="1"/>
  <c r="R1121" i="2" s="1"/>
  <c r="T1121" i="2" s="1"/>
  <c r="V1121" i="2" s="1"/>
  <c r="X1121" i="2" s="1"/>
  <c r="D1124" i="2"/>
  <c r="F1124" i="2" s="1"/>
  <c r="H1124" i="2" s="1"/>
  <c r="J1124" i="2" s="1"/>
  <c r="L1124" i="2" s="1"/>
  <c r="N1124" i="2" s="1"/>
  <c r="P1124" i="2" s="1"/>
  <c r="R1124" i="2" s="1"/>
  <c r="T1124" i="2" s="1"/>
  <c r="V1124" i="2" s="1"/>
  <c r="X1124" i="2" s="1"/>
  <c r="D1131" i="2"/>
  <c r="F1131" i="2" s="1"/>
  <c r="H1131" i="2" s="1"/>
  <c r="J1131" i="2" s="1"/>
  <c r="L1131" i="2" s="1"/>
  <c r="N1131" i="2" s="1"/>
  <c r="P1131" i="2" s="1"/>
  <c r="R1131" i="2" s="1"/>
  <c r="T1131" i="2" s="1"/>
  <c r="V1131" i="2" s="1"/>
  <c r="X1131" i="2" s="1"/>
  <c r="D1141" i="2"/>
  <c r="F1141" i="2" s="1"/>
  <c r="H1141" i="2" s="1"/>
  <c r="J1141" i="2" s="1"/>
  <c r="L1141" i="2" s="1"/>
  <c r="N1141" i="2" s="1"/>
  <c r="P1141" i="2" s="1"/>
  <c r="R1141" i="2" s="1"/>
  <c r="T1141" i="2" s="1"/>
  <c r="V1141" i="2" s="1"/>
  <c r="X1141" i="2" s="1"/>
  <c r="D1145" i="2"/>
  <c r="F1145" i="2" s="1"/>
  <c r="H1145" i="2" s="1"/>
  <c r="J1145" i="2" s="1"/>
  <c r="L1145" i="2" s="1"/>
  <c r="N1145" i="2" s="1"/>
  <c r="P1145" i="2" s="1"/>
  <c r="R1145" i="2" s="1"/>
  <c r="T1145" i="2" s="1"/>
  <c r="V1145" i="2" s="1"/>
  <c r="X1145" i="2" s="1"/>
  <c r="D1149" i="2"/>
  <c r="F1149" i="2" s="1"/>
  <c r="H1149" i="2" s="1"/>
  <c r="J1149" i="2" s="1"/>
  <c r="L1149" i="2" s="1"/>
  <c r="N1149" i="2" s="1"/>
  <c r="P1149" i="2" s="1"/>
  <c r="R1149" i="2" s="1"/>
  <c r="T1149" i="2" s="1"/>
  <c r="V1149" i="2" s="1"/>
  <c r="X1149" i="2" s="1"/>
  <c r="D1154" i="2"/>
  <c r="F1154" i="2" s="1"/>
  <c r="H1154" i="2" s="1"/>
  <c r="J1154" i="2" s="1"/>
  <c r="L1154" i="2" s="1"/>
  <c r="N1154" i="2" s="1"/>
  <c r="P1154" i="2" s="1"/>
  <c r="R1154" i="2" s="1"/>
  <c r="T1154" i="2" s="1"/>
  <c r="V1154" i="2" s="1"/>
  <c r="X1154" i="2" s="1"/>
  <c r="D1157" i="2"/>
  <c r="F1157" i="2" s="1"/>
  <c r="H1157" i="2" s="1"/>
  <c r="J1157" i="2" s="1"/>
  <c r="L1157" i="2" s="1"/>
  <c r="N1157" i="2" s="1"/>
  <c r="P1157" i="2" s="1"/>
  <c r="R1157" i="2" s="1"/>
  <c r="T1157" i="2" s="1"/>
  <c r="V1157" i="2" s="1"/>
  <c r="X1157" i="2" s="1"/>
  <c r="D1161" i="2"/>
  <c r="F1161" i="2" s="1"/>
  <c r="H1161" i="2" s="1"/>
  <c r="J1161" i="2" s="1"/>
  <c r="L1161" i="2" s="1"/>
  <c r="N1161" i="2" s="1"/>
  <c r="P1161" i="2" s="1"/>
  <c r="R1161" i="2" s="1"/>
  <c r="T1161" i="2" s="1"/>
  <c r="V1161" i="2" s="1"/>
  <c r="X1161" i="2" s="1"/>
  <c r="D1195" i="2"/>
  <c r="D1203" i="2"/>
  <c r="D1211" i="2"/>
  <c r="F1211" i="2" s="1"/>
  <c r="H1211" i="2" s="1"/>
  <c r="J1211" i="2" s="1"/>
  <c r="L1211" i="2" s="1"/>
  <c r="N1211" i="2" s="1"/>
  <c r="P1211" i="2" s="1"/>
  <c r="R1211" i="2" s="1"/>
  <c r="T1211" i="2" s="1"/>
  <c r="V1211" i="2" s="1"/>
  <c r="X1211" i="2" s="1"/>
  <c r="D1213" i="2"/>
  <c r="F1213" i="2" s="1"/>
  <c r="H1213" i="2" s="1"/>
  <c r="J1213" i="2" s="1"/>
  <c r="L1213" i="2" s="1"/>
  <c r="N1213" i="2" s="1"/>
  <c r="P1213" i="2" s="1"/>
  <c r="R1213" i="2" s="1"/>
  <c r="T1213" i="2" s="1"/>
  <c r="V1213" i="2" s="1"/>
  <c r="X1213" i="2" s="1"/>
  <c r="D1219" i="2"/>
  <c r="F1219" i="2" s="1"/>
  <c r="H1219" i="2" s="1"/>
  <c r="J1219" i="2" s="1"/>
  <c r="L1219" i="2" s="1"/>
  <c r="N1219" i="2" s="1"/>
  <c r="P1219" i="2" s="1"/>
  <c r="R1219" i="2" s="1"/>
  <c r="T1219" i="2" s="1"/>
  <c r="V1219" i="2" s="1"/>
  <c r="X1219" i="2" s="1"/>
  <c r="D1221" i="2"/>
  <c r="F1221" i="2" s="1"/>
  <c r="H1221" i="2" s="1"/>
  <c r="J1221" i="2" s="1"/>
  <c r="L1221" i="2" s="1"/>
  <c r="N1221" i="2" s="1"/>
  <c r="P1221" i="2" s="1"/>
  <c r="R1221" i="2" s="1"/>
  <c r="T1221" i="2" s="1"/>
  <c r="V1221" i="2" s="1"/>
  <c r="X1221" i="2" s="1"/>
  <c r="D1223" i="2"/>
  <c r="F1223" i="2" s="1"/>
  <c r="H1223" i="2" s="1"/>
  <c r="J1223" i="2" s="1"/>
  <c r="L1223" i="2" s="1"/>
  <c r="N1223" i="2" s="1"/>
  <c r="P1223" i="2" s="1"/>
  <c r="R1223" i="2" s="1"/>
  <c r="T1223" i="2" s="1"/>
  <c r="V1223" i="2" s="1"/>
  <c r="X1223" i="2" s="1"/>
  <c r="D1233" i="2"/>
  <c r="D1237" i="2"/>
  <c r="D1244" i="2"/>
  <c r="D1256" i="2"/>
  <c r="F1256" i="2" s="1"/>
  <c r="H1256" i="2" s="1"/>
  <c r="J1256" i="2" s="1"/>
  <c r="L1256" i="2" s="1"/>
  <c r="N1256" i="2" s="1"/>
  <c r="P1256" i="2" s="1"/>
  <c r="R1256" i="2" s="1"/>
  <c r="T1256" i="2" s="1"/>
  <c r="V1256" i="2" s="1"/>
  <c r="X1256" i="2" s="1"/>
  <c r="D1259" i="2"/>
  <c r="D1264" i="2"/>
  <c r="F1264" i="2" s="1"/>
  <c r="H1264" i="2" s="1"/>
  <c r="J1264" i="2" s="1"/>
  <c r="L1264" i="2" s="1"/>
  <c r="N1264" i="2" s="1"/>
  <c r="P1264" i="2" s="1"/>
  <c r="R1264" i="2" s="1"/>
  <c r="T1264" i="2" s="1"/>
  <c r="V1264" i="2" s="1"/>
  <c r="X1264" i="2" s="1"/>
  <c r="D1279" i="2"/>
  <c r="F1279" i="2" s="1"/>
  <c r="H1279" i="2" s="1"/>
  <c r="J1279" i="2" s="1"/>
  <c r="L1279" i="2" s="1"/>
  <c r="N1279" i="2" s="1"/>
  <c r="P1279" i="2" s="1"/>
  <c r="R1279" i="2" s="1"/>
  <c r="T1279" i="2" s="1"/>
  <c r="V1279" i="2" s="1"/>
  <c r="X1279" i="2" s="1"/>
  <c r="D1285" i="2"/>
  <c r="F1285" i="2" s="1"/>
  <c r="H1285" i="2" s="1"/>
  <c r="J1285" i="2" s="1"/>
  <c r="L1285" i="2" s="1"/>
  <c r="N1285" i="2" s="1"/>
  <c r="P1285" i="2" s="1"/>
  <c r="R1285" i="2" s="1"/>
  <c r="T1285" i="2" s="1"/>
  <c r="V1285" i="2" s="1"/>
  <c r="X1285" i="2" s="1"/>
  <c r="D1287" i="2"/>
  <c r="F1287" i="2" s="1"/>
  <c r="H1287" i="2" s="1"/>
  <c r="J1287" i="2" s="1"/>
  <c r="L1287" i="2" s="1"/>
  <c r="N1287" i="2" s="1"/>
  <c r="P1287" i="2" s="1"/>
  <c r="R1287" i="2" s="1"/>
  <c r="T1287" i="2" s="1"/>
  <c r="V1287" i="2" s="1"/>
  <c r="X1287" i="2" s="1"/>
  <c r="D1292" i="2"/>
  <c r="F1292" i="2" s="1"/>
  <c r="H1292" i="2" s="1"/>
  <c r="J1292" i="2" s="1"/>
  <c r="L1292" i="2" s="1"/>
  <c r="N1292" i="2" s="1"/>
  <c r="P1292" i="2" s="1"/>
  <c r="R1292" i="2" s="1"/>
  <c r="T1292" i="2" s="1"/>
  <c r="V1292" i="2" s="1"/>
  <c r="X1292" i="2" s="1"/>
  <c r="D1297" i="2"/>
  <c r="F1297" i="2" s="1"/>
  <c r="H1297" i="2" s="1"/>
  <c r="J1297" i="2" s="1"/>
  <c r="L1297" i="2" s="1"/>
  <c r="N1297" i="2" s="1"/>
  <c r="P1297" i="2" s="1"/>
  <c r="R1297" i="2" s="1"/>
  <c r="T1297" i="2" s="1"/>
  <c r="V1297" i="2" s="1"/>
  <c r="X1297" i="2" s="1"/>
  <c r="D1299" i="2"/>
  <c r="F1299" i="2" s="1"/>
  <c r="H1299" i="2" s="1"/>
  <c r="J1299" i="2" s="1"/>
  <c r="L1299" i="2" s="1"/>
  <c r="N1299" i="2" s="1"/>
  <c r="P1299" i="2" s="1"/>
  <c r="R1299" i="2" s="1"/>
  <c r="T1299" i="2" s="1"/>
  <c r="V1299" i="2" s="1"/>
  <c r="X1299" i="2" s="1"/>
  <c r="D1302" i="2"/>
  <c r="D1304" i="2"/>
  <c r="F1304" i="2" s="1"/>
  <c r="H1304" i="2" s="1"/>
  <c r="J1304" i="2" s="1"/>
  <c r="L1304" i="2" s="1"/>
  <c r="N1304" i="2" s="1"/>
  <c r="P1304" i="2" s="1"/>
  <c r="R1304" i="2" s="1"/>
  <c r="T1304" i="2" s="1"/>
  <c r="V1304" i="2" s="1"/>
  <c r="X1304" i="2" s="1"/>
  <c r="D1321" i="2"/>
  <c r="F1321" i="2" s="1"/>
  <c r="H1321" i="2" s="1"/>
  <c r="J1321" i="2" s="1"/>
  <c r="L1321" i="2" s="1"/>
  <c r="N1321" i="2" s="1"/>
  <c r="P1321" i="2" s="1"/>
  <c r="R1321" i="2" s="1"/>
  <c r="T1321" i="2" s="1"/>
  <c r="V1321" i="2" s="1"/>
  <c r="X1321" i="2" s="1"/>
  <c r="D1347" i="2"/>
  <c r="F1347" i="2" s="1"/>
  <c r="H1347" i="2" s="1"/>
  <c r="J1347" i="2" s="1"/>
  <c r="L1347" i="2" s="1"/>
  <c r="N1347" i="2" s="1"/>
  <c r="P1347" i="2" s="1"/>
  <c r="R1347" i="2" s="1"/>
  <c r="T1347" i="2" s="1"/>
  <c r="V1347" i="2" s="1"/>
  <c r="X1347" i="2" s="1"/>
  <c r="D1357" i="2"/>
  <c r="F1357" i="2" s="1"/>
  <c r="H1357" i="2" s="1"/>
  <c r="J1357" i="2" s="1"/>
  <c r="L1357" i="2" s="1"/>
  <c r="N1357" i="2" s="1"/>
  <c r="P1357" i="2" s="1"/>
  <c r="R1357" i="2" s="1"/>
  <c r="T1357" i="2" s="1"/>
  <c r="V1357" i="2" s="1"/>
  <c r="X1357" i="2" s="1"/>
  <c r="D1369" i="2"/>
  <c r="F1369" i="2" s="1"/>
  <c r="H1369" i="2" s="1"/>
  <c r="J1369" i="2" s="1"/>
  <c r="L1369" i="2" s="1"/>
  <c r="N1369" i="2" s="1"/>
  <c r="P1369" i="2" s="1"/>
  <c r="R1369" i="2" s="1"/>
  <c r="T1369" i="2" s="1"/>
  <c r="V1369" i="2" s="1"/>
  <c r="X1369" i="2" s="1"/>
  <c r="D1372" i="2"/>
  <c r="F1372" i="2" s="1"/>
  <c r="H1372" i="2" s="1"/>
  <c r="J1372" i="2" s="1"/>
  <c r="L1372" i="2" s="1"/>
  <c r="N1372" i="2" s="1"/>
  <c r="P1372" i="2" s="1"/>
  <c r="R1372" i="2" s="1"/>
  <c r="T1372" i="2" s="1"/>
  <c r="V1372" i="2" s="1"/>
  <c r="X1372" i="2" s="1"/>
  <c r="D1374" i="2"/>
  <c r="F1374" i="2" s="1"/>
  <c r="H1374" i="2" s="1"/>
  <c r="J1374" i="2" s="1"/>
  <c r="L1374" i="2" s="1"/>
  <c r="N1374" i="2" s="1"/>
  <c r="P1374" i="2" s="1"/>
  <c r="R1374" i="2" s="1"/>
  <c r="T1374" i="2" s="1"/>
  <c r="V1374" i="2" s="1"/>
  <c r="X1374" i="2" s="1"/>
  <c r="D1377" i="2"/>
  <c r="F1377" i="2" s="1"/>
  <c r="H1377" i="2" s="1"/>
  <c r="J1377" i="2" s="1"/>
  <c r="L1377" i="2" s="1"/>
  <c r="N1377" i="2" s="1"/>
  <c r="P1377" i="2" s="1"/>
  <c r="R1377" i="2" s="1"/>
  <c r="T1377" i="2" s="1"/>
  <c r="V1377" i="2" s="1"/>
  <c r="X1377" i="2" s="1"/>
  <c r="D1387" i="2"/>
  <c r="F1387" i="2" s="1"/>
  <c r="H1387" i="2" s="1"/>
  <c r="J1387" i="2" s="1"/>
  <c r="L1387" i="2" s="1"/>
  <c r="N1387" i="2" s="1"/>
  <c r="P1387" i="2" s="1"/>
  <c r="R1387" i="2" s="1"/>
  <c r="T1387" i="2" s="1"/>
  <c r="V1387" i="2" s="1"/>
  <c r="X1387" i="2" s="1"/>
  <c r="D1400" i="2"/>
  <c r="D1405" i="2"/>
  <c r="D1408" i="2"/>
  <c r="D1411" i="2"/>
  <c r="F1411" i="2" s="1"/>
  <c r="H1411" i="2" s="1"/>
  <c r="J1411" i="2" s="1"/>
  <c r="L1411" i="2" s="1"/>
  <c r="N1411" i="2" s="1"/>
  <c r="P1411" i="2" s="1"/>
  <c r="R1411" i="2" s="1"/>
  <c r="T1411" i="2" s="1"/>
  <c r="V1411" i="2" s="1"/>
  <c r="X1411" i="2" s="1"/>
  <c r="D1416" i="2"/>
  <c r="F1416" i="2" s="1"/>
  <c r="H1416" i="2" s="1"/>
  <c r="J1416" i="2" s="1"/>
  <c r="L1416" i="2" s="1"/>
  <c r="N1416" i="2" s="1"/>
  <c r="P1416" i="2" s="1"/>
  <c r="R1416" i="2" s="1"/>
  <c r="T1416" i="2" s="1"/>
  <c r="V1416" i="2" s="1"/>
  <c r="X1416" i="2" s="1"/>
  <c r="D1418" i="2"/>
  <c r="F1418" i="2" s="1"/>
  <c r="H1418" i="2" s="1"/>
  <c r="J1418" i="2" s="1"/>
  <c r="L1418" i="2" s="1"/>
  <c r="N1418" i="2" s="1"/>
  <c r="P1418" i="2" s="1"/>
  <c r="R1418" i="2" s="1"/>
  <c r="T1418" i="2" s="1"/>
  <c r="V1418" i="2" s="1"/>
  <c r="X1418" i="2" s="1"/>
  <c r="D1421" i="2"/>
  <c r="D1426" i="2"/>
  <c r="D1429" i="2"/>
  <c r="D1435" i="2"/>
  <c r="F1435" i="2" s="1"/>
  <c r="H1435" i="2" s="1"/>
  <c r="J1435" i="2" s="1"/>
  <c r="L1435" i="2" s="1"/>
  <c r="N1435" i="2" s="1"/>
  <c r="P1435" i="2" s="1"/>
  <c r="R1435" i="2" s="1"/>
  <c r="T1435" i="2" s="1"/>
  <c r="V1435" i="2" s="1"/>
  <c r="X1435" i="2" s="1"/>
  <c r="D1441" i="2"/>
  <c r="F1441" i="2" s="1"/>
  <c r="H1441" i="2" s="1"/>
  <c r="J1441" i="2" s="1"/>
  <c r="L1441" i="2" s="1"/>
  <c r="N1441" i="2" s="1"/>
  <c r="P1441" i="2" s="1"/>
  <c r="R1441" i="2" s="1"/>
  <c r="T1441" i="2" s="1"/>
  <c r="V1441" i="2" s="1"/>
  <c r="X1441" i="2" s="1"/>
  <c r="D1443" i="2"/>
  <c r="F1443" i="2" s="1"/>
  <c r="H1443" i="2" s="1"/>
  <c r="J1443" i="2" s="1"/>
  <c r="L1443" i="2" s="1"/>
  <c r="N1443" i="2" s="1"/>
  <c r="P1443" i="2" s="1"/>
  <c r="R1443" i="2" s="1"/>
  <c r="T1443" i="2" s="1"/>
  <c r="V1443" i="2" s="1"/>
  <c r="X1443" i="2" s="1"/>
  <c r="D1449" i="2"/>
  <c r="F1449" i="2" s="1"/>
  <c r="H1449" i="2" s="1"/>
  <c r="J1449" i="2" s="1"/>
  <c r="L1449" i="2" s="1"/>
  <c r="N1449" i="2" s="1"/>
  <c r="P1449" i="2" s="1"/>
  <c r="R1449" i="2" s="1"/>
  <c r="T1449" i="2" s="1"/>
  <c r="V1449" i="2" s="1"/>
  <c r="X1449" i="2" s="1"/>
  <c r="D1452" i="2"/>
  <c r="F1452" i="2" s="1"/>
  <c r="H1452" i="2" s="1"/>
  <c r="J1452" i="2" s="1"/>
  <c r="L1452" i="2" s="1"/>
  <c r="N1452" i="2" s="1"/>
  <c r="P1452" i="2" s="1"/>
  <c r="R1452" i="2" s="1"/>
  <c r="T1452" i="2" s="1"/>
  <c r="V1452" i="2" s="1"/>
  <c r="X1452" i="2" s="1"/>
  <c r="D1469" i="2"/>
  <c r="D1134" i="2"/>
  <c r="F1134" i="2" s="1"/>
  <c r="H1134" i="2" s="1"/>
  <c r="J1134" i="2" s="1"/>
  <c r="L1134" i="2" s="1"/>
  <c r="N1134" i="2" s="1"/>
  <c r="P1134" i="2" s="1"/>
  <c r="R1134" i="2" s="1"/>
  <c r="T1134" i="2" s="1"/>
  <c r="V1134" i="2" s="1"/>
  <c r="X1134" i="2" s="1"/>
  <c r="P814" i="2" l="1"/>
  <c r="R814" i="2" s="1"/>
  <c r="T814" i="2" s="1"/>
  <c r="V814" i="2" s="1"/>
  <c r="X814" i="2" s="1"/>
  <c r="Z814" i="2" s="1"/>
  <c r="D1199" i="2"/>
  <c r="D469" i="2"/>
  <c r="F469" i="2" s="1"/>
  <c r="F472" i="2"/>
  <c r="H472" i="2" s="1"/>
  <c r="J472" i="2" s="1"/>
  <c r="L472" i="2" s="1"/>
  <c r="N472" i="2" s="1"/>
  <c r="P472" i="2" s="1"/>
  <c r="R472" i="2" s="1"/>
  <c r="T472" i="2" s="1"/>
  <c r="V472" i="2" s="1"/>
  <c r="X472" i="2" s="1"/>
  <c r="F1205" i="2"/>
  <c r="H1205" i="2" s="1"/>
  <c r="J1205" i="2" s="1"/>
  <c r="L1205" i="2" s="1"/>
  <c r="N1205" i="2" s="1"/>
  <c r="P1205" i="2" s="1"/>
  <c r="R1205" i="2" s="1"/>
  <c r="T1205" i="2" s="1"/>
  <c r="V1205" i="2" s="1"/>
  <c r="X1205" i="2" s="1"/>
  <c r="F473" i="2"/>
  <c r="L473" i="2" s="1"/>
  <c r="N473" i="2" s="1"/>
  <c r="P473" i="2" s="1"/>
  <c r="R473" i="2" s="1"/>
  <c r="T473" i="2" s="1"/>
  <c r="V473" i="2" s="1"/>
  <c r="X473" i="2" s="1"/>
  <c r="F1188" i="2"/>
  <c r="H1188" i="2" s="1"/>
  <c r="J1188" i="2" s="1"/>
  <c r="L1188" i="2" s="1"/>
  <c r="N1188" i="2" s="1"/>
  <c r="P1188" i="2" s="1"/>
  <c r="R1188" i="2" s="1"/>
  <c r="T1188" i="2" s="1"/>
  <c r="V1188" i="2" s="1"/>
  <c r="X1188" i="2" s="1"/>
  <c r="F1184" i="2"/>
  <c r="H1184" i="2" s="1"/>
  <c r="J1184" i="2" s="1"/>
  <c r="L1184" i="2" s="1"/>
  <c r="N1184" i="2" s="1"/>
  <c r="P1184" i="2" s="1"/>
  <c r="R1184" i="2" s="1"/>
  <c r="T1184" i="2" s="1"/>
  <c r="V1184" i="2" s="1"/>
  <c r="X1184" i="2" s="1"/>
  <c r="D1270" i="2"/>
  <c r="F1270" i="2" s="1"/>
  <c r="H1270" i="2" s="1"/>
  <c r="J1270" i="2" s="1"/>
  <c r="L1270" i="2" s="1"/>
  <c r="N1270" i="2" s="1"/>
  <c r="P1270" i="2" s="1"/>
  <c r="R1270" i="2" s="1"/>
  <c r="T1270" i="2" s="1"/>
  <c r="V1270" i="2" s="1"/>
  <c r="X1270" i="2" s="1"/>
  <c r="F1274" i="2"/>
  <c r="H1274" i="2" s="1"/>
  <c r="J1274" i="2" s="1"/>
  <c r="D21" i="2"/>
  <c r="F21" i="2" s="1"/>
  <c r="H21" i="2" s="1"/>
  <c r="J21" i="2" s="1"/>
  <c r="L21" i="2" s="1"/>
  <c r="N21" i="2" s="1"/>
  <c r="P21" i="2" s="1"/>
  <c r="R21" i="2" s="1"/>
  <c r="T21" i="2" s="1"/>
  <c r="V21" i="2" s="1"/>
  <c r="X21" i="2" s="1"/>
  <c r="F22" i="2"/>
  <c r="H22" i="2" s="1"/>
  <c r="J22" i="2" s="1"/>
  <c r="D1399" i="2"/>
  <c r="F1400" i="2"/>
  <c r="H1400" i="2" s="1"/>
  <c r="J1400" i="2" s="1"/>
  <c r="L1400" i="2" s="1"/>
  <c r="N1400" i="2" s="1"/>
  <c r="P1400" i="2" s="1"/>
  <c r="R1400" i="2" s="1"/>
  <c r="T1400" i="2" s="1"/>
  <c r="V1400" i="2" s="1"/>
  <c r="X1400" i="2" s="1"/>
  <c r="D1241" i="2"/>
  <c r="F1244" i="2"/>
  <c r="H1244" i="2" s="1"/>
  <c r="J1244" i="2" s="1"/>
  <c r="L1244" i="2" s="1"/>
  <c r="N1244" i="2" s="1"/>
  <c r="P1244" i="2" s="1"/>
  <c r="R1244" i="2" s="1"/>
  <c r="T1244" i="2" s="1"/>
  <c r="V1244" i="2" s="1"/>
  <c r="X1244" i="2" s="1"/>
  <c r="F1203" i="2"/>
  <c r="D436" i="2"/>
  <c r="F436" i="2" s="1"/>
  <c r="H436" i="2" s="1"/>
  <c r="J436" i="2" s="1"/>
  <c r="L436" i="2" s="1"/>
  <c r="N436" i="2" s="1"/>
  <c r="P436" i="2" s="1"/>
  <c r="R436" i="2" s="1"/>
  <c r="T436" i="2" s="1"/>
  <c r="V436" i="2" s="1"/>
  <c r="X436" i="2" s="1"/>
  <c r="F437" i="2"/>
  <c r="H437" i="2" s="1"/>
  <c r="J437" i="2" s="1"/>
  <c r="L437" i="2" s="1"/>
  <c r="N437" i="2" s="1"/>
  <c r="P437" i="2" s="1"/>
  <c r="R437" i="2" s="1"/>
  <c r="T437" i="2" s="1"/>
  <c r="V437" i="2" s="1"/>
  <c r="X437" i="2" s="1"/>
  <c r="D404" i="2"/>
  <c r="F404" i="2" s="1"/>
  <c r="H404" i="2" s="1"/>
  <c r="J404" i="2" s="1"/>
  <c r="L404" i="2" s="1"/>
  <c r="N404" i="2" s="1"/>
  <c r="P404" i="2" s="1"/>
  <c r="R404" i="2" s="1"/>
  <c r="T404" i="2" s="1"/>
  <c r="V404" i="2" s="1"/>
  <c r="X404" i="2" s="1"/>
  <c r="F405" i="2"/>
  <c r="H405" i="2" s="1"/>
  <c r="J405" i="2" s="1"/>
  <c r="L405" i="2" s="1"/>
  <c r="N405" i="2" s="1"/>
  <c r="P405" i="2" s="1"/>
  <c r="R405" i="2" s="1"/>
  <c r="T405" i="2" s="1"/>
  <c r="V405" i="2" s="1"/>
  <c r="X405" i="2" s="1"/>
  <c r="D355" i="2"/>
  <c r="F355" i="2" s="1"/>
  <c r="H355" i="2" s="1"/>
  <c r="J355" i="2" s="1"/>
  <c r="L355" i="2" s="1"/>
  <c r="N355" i="2" s="1"/>
  <c r="P355" i="2" s="1"/>
  <c r="R355" i="2" s="1"/>
  <c r="T355" i="2" s="1"/>
  <c r="V355" i="2" s="1"/>
  <c r="X355" i="2" s="1"/>
  <c r="F356" i="2"/>
  <c r="H356" i="2" s="1"/>
  <c r="J356" i="2" s="1"/>
  <c r="L356" i="2" s="1"/>
  <c r="N356" i="2" s="1"/>
  <c r="P356" i="2" s="1"/>
  <c r="R356" i="2" s="1"/>
  <c r="T356" i="2" s="1"/>
  <c r="V356" i="2" s="1"/>
  <c r="X356" i="2" s="1"/>
  <c r="D1425" i="2"/>
  <c r="F1425" i="2" s="1"/>
  <c r="H1425" i="2" s="1"/>
  <c r="J1425" i="2" s="1"/>
  <c r="L1425" i="2" s="1"/>
  <c r="N1425" i="2" s="1"/>
  <c r="P1425" i="2" s="1"/>
  <c r="R1425" i="2" s="1"/>
  <c r="T1425" i="2" s="1"/>
  <c r="V1425" i="2" s="1"/>
  <c r="X1425" i="2" s="1"/>
  <c r="F1426" i="2"/>
  <c r="H1426" i="2" s="1"/>
  <c r="J1426" i="2" s="1"/>
  <c r="L1426" i="2" s="1"/>
  <c r="N1426" i="2" s="1"/>
  <c r="P1426" i="2" s="1"/>
  <c r="R1426" i="2" s="1"/>
  <c r="T1426" i="2" s="1"/>
  <c r="V1426" i="2" s="1"/>
  <c r="X1426" i="2" s="1"/>
  <c r="D1192" i="2"/>
  <c r="F1192" i="2" s="1"/>
  <c r="H1192" i="2" s="1"/>
  <c r="J1192" i="2" s="1"/>
  <c r="L1192" i="2" s="1"/>
  <c r="N1192" i="2" s="1"/>
  <c r="P1192" i="2" s="1"/>
  <c r="R1192" i="2" s="1"/>
  <c r="T1192" i="2" s="1"/>
  <c r="V1192" i="2" s="1"/>
  <c r="X1192" i="2" s="1"/>
  <c r="F1195" i="2"/>
  <c r="H1195" i="2" s="1"/>
  <c r="J1195" i="2" s="1"/>
  <c r="L1195" i="2" s="1"/>
  <c r="N1195" i="2" s="1"/>
  <c r="P1195" i="2" s="1"/>
  <c r="R1195" i="2" s="1"/>
  <c r="T1195" i="2" s="1"/>
  <c r="V1195" i="2" s="1"/>
  <c r="X1195" i="2" s="1"/>
  <c r="D401" i="2"/>
  <c r="F401" i="2" s="1"/>
  <c r="H401" i="2" s="1"/>
  <c r="J401" i="2" s="1"/>
  <c r="L401" i="2" s="1"/>
  <c r="N401" i="2" s="1"/>
  <c r="P401" i="2" s="1"/>
  <c r="R401" i="2" s="1"/>
  <c r="T401" i="2" s="1"/>
  <c r="V401" i="2" s="1"/>
  <c r="X401" i="2" s="1"/>
  <c r="F402" i="2"/>
  <c r="H402" i="2" s="1"/>
  <c r="J402" i="2" s="1"/>
  <c r="L402" i="2" s="1"/>
  <c r="N402" i="2" s="1"/>
  <c r="P402" i="2" s="1"/>
  <c r="R402" i="2" s="1"/>
  <c r="T402" i="2" s="1"/>
  <c r="V402" i="2" s="1"/>
  <c r="X402" i="2" s="1"/>
  <c r="D369" i="2"/>
  <c r="F369" i="2" s="1"/>
  <c r="H369" i="2" s="1"/>
  <c r="J369" i="2" s="1"/>
  <c r="L369" i="2" s="1"/>
  <c r="N369" i="2" s="1"/>
  <c r="P369" i="2" s="1"/>
  <c r="R369" i="2" s="1"/>
  <c r="T369" i="2" s="1"/>
  <c r="V369" i="2" s="1"/>
  <c r="X369" i="2" s="1"/>
  <c r="F370" i="2"/>
  <c r="H370" i="2" s="1"/>
  <c r="J370" i="2" s="1"/>
  <c r="L370" i="2" s="1"/>
  <c r="N370" i="2" s="1"/>
  <c r="P370" i="2" s="1"/>
  <c r="R370" i="2" s="1"/>
  <c r="T370" i="2" s="1"/>
  <c r="V370" i="2" s="1"/>
  <c r="X370" i="2" s="1"/>
  <c r="D352" i="2"/>
  <c r="F352" i="2" s="1"/>
  <c r="H352" i="2" s="1"/>
  <c r="J352" i="2" s="1"/>
  <c r="L352" i="2" s="1"/>
  <c r="N352" i="2" s="1"/>
  <c r="P352" i="2" s="1"/>
  <c r="R352" i="2" s="1"/>
  <c r="T352" i="2" s="1"/>
  <c r="V352" i="2" s="1"/>
  <c r="X352" i="2" s="1"/>
  <c r="F353" i="2"/>
  <c r="H353" i="2" s="1"/>
  <c r="J353" i="2" s="1"/>
  <c r="L353" i="2" s="1"/>
  <c r="N353" i="2" s="1"/>
  <c r="P353" i="2" s="1"/>
  <c r="R353" i="2" s="1"/>
  <c r="T353" i="2" s="1"/>
  <c r="V353" i="2" s="1"/>
  <c r="X353" i="2" s="1"/>
  <c r="D293" i="2"/>
  <c r="F293" i="2" s="1"/>
  <c r="H293" i="2" s="1"/>
  <c r="J293" i="2" s="1"/>
  <c r="L293" i="2" s="1"/>
  <c r="N293" i="2" s="1"/>
  <c r="P293" i="2" s="1"/>
  <c r="R293" i="2" s="1"/>
  <c r="T293" i="2" s="1"/>
  <c r="V293" i="2" s="1"/>
  <c r="X293" i="2" s="1"/>
  <c r="F294" i="2"/>
  <c r="H294" i="2" s="1"/>
  <c r="J294" i="2" s="1"/>
  <c r="L294" i="2" s="1"/>
  <c r="N294" i="2" s="1"/>
  <c r="P294" i="2" s="1"/>
  <c r="R294" i="2" s="1"/>
  <c r="T294" i="2" s="1"/>
  <c r="V294" i="2" s="1"/>
  <c r="X294" i="2" s="1"/>
  <c r="D1420" i="2"/>
  <c r="F1420" i="2" s="1"/>
  <c r="H1420" i="2" s="1"/>
  <c r="J1420" i="2" s="1"/>
  <c r="L1420" i="2" s="1"/>
  <c r="N1420" i="2" s="1"/>
  <c r="P1420" i="2" s="1"/>
  <c r="R1420" i="2" s="1"/>
  <c r="T1420" i="2" s="1"/>
  <c r="V1420" i="2" s="1"/>
  <c r="X1420" i="2" s="1"/>
  <c r="F1421" i="2"/>
  <c r="H1421" i="2" s="1"/>
  <c r="J1421" i="2" s="1"/>
  <c r="L1421" i="2" s="1"/>
  <c r="N1421" i="2" s="1"/>
  <c r="P1421" i="2" s="1"/>
  <c r="R1421" i="2" s="1"/>
  <c r="T1421" i="2" s="1"/>
  <c r="V1421" i="2" s="1"/>
  <c r="X1421" i="2" s="1"/>
  <c r="D1407" i="2"/>
  <c r="F1407" i="2" s="1"/>
  <c r="H1407" i="2" s="1"/>
  <c r="J1407" i="2" s="1"/>
  <c r="L1407" i="2" s="1"/>
  <c r="N1407" i="2" s="1"/>
  <c r="P1407" i="2" s="1"/>
  <c r="R1407" i="2" s="1"/>
  <c r="T1407" i="2" s="1"/>
  <c r="V1407" i="2" s="1"/>
  <c r="X1407" i="2" s="1"/>
  <c r="F1408" i="2"/>
  <c r="H1408" i="2" s="1"/>
  <c r="J1408" i="2" s="1"/>
  <c r="L1408" i="2" s="1"/>
  <c r="N1408" i="2" s="1"/>
  <c r="P1408" i="2" s="1"/>
  <c r="R1408" i="2" s="1"/>
  <c r="T1408" i="2" s="1"/>
  <c r="V1408" i="2" s="1"/>
  <c r="X1408" i="2" s="1"/>
  <c r="D1301" i="2"/>
  <c r="F1301" i="2" s="1"/>
  <c r="H1301" i="2" s="1"/>
  <c r="J1301" i="2" s="1"/>
  <c r="L1301" i="2" s="1"/>
  <c r="N1301" i="2" s="1"/>
  <c r="P1301" i="2" s="1"/>
  <c r="R1301" i="2" s="1"/>
  <c r="T1301" i="2" s="1"/>
  <c r="V1301" i="2" s="1"/>
  <c r="X1301" i="2" s="1"/>
  <c r="F1302" i="2"/>
  <c r="H1302" i="2" s="1"/>
  <c r="J1302" i="2" s="1"/>
  <c r="L1302" i="2" s="1"/>
  <c r="N1302" i="2" s="1"/>
  <c r="P1302" i="2" s="1"/>
  <c r="R1302" i="2" s="1"/>
  <c r="T1302" i="2" s="1"/>
  <c r="V1302" i="2" s="1"/>
  <c r="X1302" i="2" s="1"/>
  <c r="D1258" i="2"/>
  <c r="F1258" i="2" s="1"/>
  <c r="H1258" i="2" s="1"/>
  <c r="J1258" i="2" s="1"/>
  <c r="L1258" i="2" s="1"/>
  <c r="N1258" i="2" s="1"/>
  <c r="P1258" i="2" s="1"/>
  <c r="R1258" i="2" s="1"/>
  <c r="T1258" i="2" s="1"/>
  <c r="V1258" i="2" s="1"/>
  <c r="X1258" i="2" s="1"/>
  <c r="F1259" i="2"/>
  <c r="H1259" i="2" s="1"/>
  <c r="J1259" i="2" s="1"/>
  <c r="L1259" i="2" s="1"/>
  <c r="N1259" i="2" s="1"/>
  <c r="P1259" i="2" s="1"/>
  <c r="R1259" i="2" s="1"/>
  <c r="T1259" i="2" s="1"/>
  <c r="V1259" i="2" s="1"/>
  <c r="X1259" i="2" s="1"/>
  <c r="D1042" i="2"/>
  <c r="F1042" i="2" s="1"/>
  <c r="H1042" i="2" s="1"/>
  <c r="J1042" i="2" s="1"/>
  <c r="L1042" i="2" s="1"/>
  <c r="N1042" i="2" s="1"/>
  <c r="P1042" i="2" s="1"/>
  <c r="R1042" i="2" s="1"/>
  <c r="T1042" i="2" s="1"/>
  <c r="V1042" i="2" s="1"/>
  <c r="X1042" i="2" s="1"/>
  <c r="F1046" i="2"/>
  <c r="H1046" i="2" s="1"/>
  <c r="J1046" i="2" s="1"/>
  <c r="L1046" i="2" s="1"/>
  <c r="N1046" i="2" s="1"/>
  <c r="P1046" i="2" s="1"/>
  <c r="R1046" i="2" s="1"/>
  <c r="T1046" i="2" s="1"/>
  <c r="V1046" i="2" s="1"/>
  <c r="X1046" i="2" s="1"/>
  <c r="D410" i="2"/>
  <c r="F410" i="2" s="1"/>
  <c r="H410" i="2" s="1"/>
  <c r="J410" i="2" s="1"/>
  <c r="L410" i="2" s="1"/>
  <c r="N410" i="2" s="1"/>
  <c r="P410" i="2" s="1"/>
  <c r="R410" i="2" s="1"/>
  <c r="T410" i="2" s="1"/>
  <c r="V410" i="2" s="1"/>
  <c r="X410" i="2" s="1"/>
  <c r="F411" i="2"/>
  <c r="H411" i="2" s="1"/>
  <c r="J411" i="2" s="1"/>
  <c r="L411" i="2" s="1"/>
  <c r="N411" i="2" s="1"/>
  <c r="P411" i="2" s="1"/>
  <c r="R411" i="2" s="1"/>
  <c r="T411" i="2" s="1"/>
  <c r="V411" i="2" s="1"/>
  <c r="X411" i="2" s="1"/>
  <c r="D398" i="2"/>
  <c r="F398" i="2" s="1"/>
  <c r="H398" i="2" s="1"/>
  <c r="J398" i="2" s="1"/>
  <c r="L398" i="2" s="1"/>
  <c r="N398" i="2" s="1"/>
  <c r="P398" i="2" s="1"/>
  <c r="R398" i="2" s="1"/>
  <c r="T398" i="2" s="1"/>
  <c r="V398" i="2" s="1"/>
  <c r="X398" i="2" s="1"/>
  <c r="F399" i="2"/>
  <c r="H399" i="2" s="1"/>
  <c r="J399" i="2" s="1"/>
  <c r="L399" i="2" s="1"/>
  <c r="N399" i="2" s="1"/>
  <c r="P399" i="2" s="1"/>
  <c r="R399" i="2" s="1"/>
  <c r="T399" i="2" s="1"/>
  <c r="V399" i="2" s="1"/>
  <c r="X399" i="2" s="1"/>
  <c r="D349" i="2"/>
  <c r="F349" i="2" s="1"/>
  <c r="H349" i="2" s="1"/>
  <c r="J349" i="2" s="1"/>
  <c r="L349" i="2" s="1"/>
  <c r="N349" i="2" s="1"/>
  <c r="P349" i="2" s="1"/>
  <c r="R349" i="2" s="1"/>
  <c r="T349" i="2" s="1"/>
  <c r="V349" i="2" s="1"/>
  <c r="X349" i="2" s="1"/>
  <c r="F350" i="2"/>
  <c r="H350" i="2" s="1"/>
  <c r="J350" i="2" s="1"/>
  <c r="L350" i="2" s="1"/>
  <c r="N350" i="2" s="1"/>
  <c r="P350" i="2" s="1"/>
  <c r="R350" i="2" s="1"/>
  <c r="T350" i="2" s="1"/>
  <c r="V350" i="2" s="1"/>
  <c r="X350" i="2" s="1"/>
  <c r="D183" i="2"/>
  <c r="F183" i="2" s="1"/>
  <c r="H183" i="2" s="1"/>
  <c r="J183" i="2" s="1"/>
  <c r="L183" i="2" s="1"/>
  <c r="N183" i="2" s="1"/>
  <c r="P183" i="2" s="1"/>
  <c r="R183" i="2" s="1"/>
  <c r="T183" i="2" s="1"/>
  <c r="V183" i="2" s="1"/>
  <c r="X183" i="2" s="1"/>
  <c r="F184" i="2"/>
  <c r="H184" i="2" s="1"/>
  <c r="J184" i="2" s="1"/>
  <c r="L184" i="2" s="1"/>
  <c r="N184" i="2" s="1"/>
  <c r="P184" i="2" s="1"/>
  <c r="R184" i="2" s="1"/>
  <c r="T184" i="2" s="1"/>
  <c r="V184" i="2" s="1"/>
  <c r="X184" i="2" s="1"/>
  <c r="D64" i="2"/>
  <c r="F64" i="2" s="1"/>
  <c r="H64" i="2" s="1"/>
  <c r="J64" i="2" s="1"/>
  <c r="L64" i="2" s="1"/>
  <c r="N64" i="2" s="1"/>
  <c r="P64" i="2" s="1"/>
  <c r="R64" i="2" s="1"/>
  <c r="T64" i="2" s="1"/>
  <c r="V64" i="2" s="1"/>
  <c r="X64" i="2" s="1"/>
  <c r="F65" i="2"/>
  <c r="H65" i="2" s="1"/>
  <c r="J65" i="2" s="1"/>
  <c r="L65" i="2" s="1"/>
  <c r="N65" i="2" s="1"/>
  <c r="P65" i="2" s="1"/>
  <c r="R65" i="2" s="1"/>
  <c r="T65" i="2" s="1"/>
  <c r="V65" i="2" s="1"/>
  <c r="X65" i="2" s="1"/>
  <c r="D1428" i="2"/>
  <c r="F1428" i="2" s="1"/>
  <c r="H1428" i="2" s="1"/>
  <c r="J1428" i="2" s="1"/>
  <c r="L1428" i="2" s="1"/>
  <c r="N1428" i="2" s="1"/>
  <c r="P1428" i="2" s="1"/>
  <c r="R1428" i="2" s="1"/>
  <c r="T1428" i="2" s="1"/>
  <c r="V1428" i="2" s="1"/>
  <c r="X1428" i="2" s="1"/>
  <c r="F1429" i="2"/>
  <c r="H1429" i="2" s="1"/>
  <c r="J1429" i="2" s="1"/>
  <c r="L1429" i="2" s="1"/>
  <c r="N1429" i="2" s="1"/>
  <c r="P1429" i="2" s="1"/>
  <c r="R1429" i="2" s="1"/>
  <c r="T1429" i="2" s="1"/>
  <c r="V1429" i="2" s="1"/>
  <c r="X1429" i="2" s="1"/>
  <c r="D341" i="2"/>
  <c r="F341" i="2" s="1"/>
  <c r="H341" i="2" s="1"/>
  <c r="J341" i="2" s="1"/>
  <c r="L341" i="2" s="1"/>
  <c r="N341" i="2" s="1"/>
  <c r="P341" i="2" s="1"/>
  <c r="R341" i="2" s="1"/>
  <c r="T341" i="2" s="1"/>
  <c r="V341" i="2" s="1"/>
  <c r="X341" i="2" s="1"/>
  <c r="F342" i="2"/>
  <c r="H342" i="2" s="1"/>
  <c r="J342" i="2" s="1"/>
  <c r="L342" i="2" s="1"/>
  <c r="N342" i="2" s="1"/>
  <c r="P342" i="2" s="1"/>
  <c r="R342" i="2" s="1"/>
  <c r="T342" i="2" s="1"/>
  <c r="V342" i="2" s="1"/>
  <c r="X342" i="2" s="1"/>
  <c r="D296" i="2"/>
  <c r="F296" i="2" s="1"/>
  <c r="H296" i="2" s="1"/>
  <c r="J296" i="2" s="1"/>
  <c r="L296" i="2" s="1"/>
  <c r="N296" i="2" s="1"/>
  <c r="P296" i="2" s="1"/>
  <c r="R296" i="2" s="1"/>
  <c r="T296" i="2" s="1"/>
  <c r="V296" i="2" s="1"/>
  <c r="X296" i="2" s="1"/>
  <c r="F299" i="2"/>
  <c r="H299" i="2" s="1"/>
  <c r="J299" i="2" s="1"/>
  <c r="L299" i="2" s="1"/>
  <c r="N299" i="2" s="1"/>
  <c r="P299" i="2" s="1"/>
  <c r="R299" i="2" s="1"/>
  <c r="T299" i="2" s="1"/>
  <c r="V299" i="2" s="1"/>
  <c r="X299" i="2" s="1"/>
  <c r="D1468" i="2"/>
  <c r="F1468" i="2" s="1"/>
  <c r="H1468" i="2" s="1"/>
  <c r="J1468" i="2" s="1"/>
  <c r="L1468" i="2" s="1"/>
  <c r="N1468" i="2" s="1"/>
  <c r="P1468" i="2" s="1"/>
  <c r="R1468" i="2" s="1"/>
  <c r="T1468" i="2" s="1"/>
  <c r="V1468" i="2" s="1"/>
  <c r="X1468" i="2" s="1"/>
  <c r="F1469" i="2"/>
  <c r="H1469" i="2" s="1"/>
  <c r="J1469" i="2" s="1"/>
  <c r="L1469" i="2" s="1"/>
  <c r="N1469" i="2" s="1"/>
  <c r="P1469" i="2" s="1"/>
  <c r="R1469" i="2" s="1"/>
  <c r="T1469" i="2" s="1"/>
  <c r="V1469" i="2" s="1"/>
  <c r="X1469" i="2" s="1"/>
  <c r="D1404" i="2"/>
  <c r="F1404" i="2" s="1"/>
  <c r="H1404" i="2" s="1"/>
  <c r="J1404" i="2" s="1"/>
  <c r="L1404" i="2" s="1"/>
  <c r="N1404" i="2" s="1"/>
  <c r="P1404" i="2" s="1"/>
  <c r="R1404" i="2" s="1"/>
  <c r="T1404" i="2" s="1"/>
  <c r="V1404" i="2" s="1"/>
  <c r="X1404" i="2" s="1"/>
  <c r="F1405" i="2"/>
  <c r="H1405" i="2" s="1"/>
  <c r="J1405" i="2" s="1"/>
  <c r="L1405" i="2" s="1"/>
  <c r="N1405" i="2" s="1"/>
  <c r="P1405" i="2" s="1"/>
  <c r="R1405" i="2" s="1"/>
  <c r="T1405" i="2" s="1"/>
  <c r="V1405" i="2" s="1"/>
  <c r="X1405" i="2" s="1"/>
  <c r="D441" i="2"/>
  <c r="F441" i="2" s="1"/>
  <c r="H441" i="2" s="1"/>
  <c r="J441" i="2" s="1"/>
  <c r="L441" i="2" s="1"/>
  <c r="N441" i="2" s="1"/>
  <c r="P441" i="2" s="1"/>
  <c r="R441" i="2" s="1"/>
  <c r="T441" i="2" s="1"/>
  <c r="V441" i="2" s="1"/>
  <c r="X441" i="2" s="1"/>
  <c r="F442" i="2"/>
  <c r="H442" i="2" s="1"/>
  <c r="J442" i="2" s="1"/>
  <c r="L442" i="2" s="1"/>
  <c r="N442" i="2" s="1"/>
  <c r="P442" i="2" s="1"/>
  <c r="R442" i="2" s="1"/>
  <c r="T442" i="2" s="1"/>
  <c r="V442" i="2" s="1"/>
  <c r="X442" i="2" s="1"/>
  <c r="D407" i="2"/>
  <c r="F407" i="2" s="1"/>
  <c r="H407" i="2" s="1"/>
  <c r="J407" i="2" s="1"/>
  <c r="L407" i="2" s="1"/>
  <c r="N407" i="2" s="1"/>
  <c r="P407" i="2" s="1"/>
  <c r="R407" i="2" s="1"/>
  <c r="T407" i="2" s="1"/>
  <c r="V407" i="2" s="1"/>
  <c r="X407" i="2" s="1"/>
  <c r="F408" i="2"/>
  <c r="H408" i="2" s="1"/>
  <c r="J408" i="2" s="1"/>
  <c r="L408" i="2" s="1"/>
  <c r="N408" i="2" s="1"/>
  <c r="P408" i="2" s="1"/>
  <c r="R408" i="2" s="1"/>
  <c r="T408" i="2" s="1"/>
  <c r="V408" i="2" s="1"/>
  <c r="X408" i="2" s="1"/>
  <c r="D344" i="2"/>
  <c r="F344" i="2" s="1"/>
  <c r="H344" i="2" s="1"/>
  <c r="J344" i="2" s="1"/>
  <c r="L344" i="2" s="1"/>
  <c r="N344" i="2" s="1"/>
  <c r="P344" i="2" s="1"/>
  <c r="R344" i="2" s="1"/>
  <c r="T344" i="2" s="1"/>
  <c r="V344" i="2" s="1"/>
  <c r="X344" i="2" s="1"/>
  <c r="F345" i="2"/>
  <c r="H345" i="2" s="1"/>
  <c r="J345" i="2" s="1"/>
  <c r="L345" i="2" s="1"/>
  <c r="N345" i="2" s="1"/>
  <c r="P345" i="2" s="1"/>
  <c r="R345" i="2" s="1"/>
  <c r="T345" i="2" s="1"/>
  <c r="V345" i="2" s="1"/>
  <c r="X345" i="2" s="1"/>
  <c r="D176" i="2"/>
  <c r="F176" i="2" s="1"/>
  <c r="H176" i="2" s="1"/>
  <c r="J176" i="2" s="1"/>
  <c r="L176" i="2" s="1"/>
  <c r="N176" i="2" s="1"/>
  <c r="P176" i="2" s="1"/>
  <c r="R176" i="2" s="1"/>
  <c r="T176" i="2" s="1"/>
  <c r="V176" i="2" s="1"/>
  <c r="X176" i="2" s="1"/>
  <c r="F177" i="2"/>
  <c r="H177" i="2" s="1"/>
  <c r="J177" i="2" s="1"/>
  <c r="L177" i="2" s="1"/>
  <c r="N177" i="2" s="1"/>
  <c r="P177" i="2" s="1"/>
  <c r="R177" i="2" s="1"/>
  <c r="T177" i="2" s="1"/>
  <c r="V177" i="2" s="1"/>
  <c r="X177" i="2" s="1"/>
  <c r="D125" i="2"/>
  <c r="F125" i="2" s="1"/>
  <c r="H125" i="2" s="1"/>
  <c r="J125" i="2" s="1"/>
  <c r="L125" i="2" s="1"/>
  <c r="N125" i="2" s="1"/>
  <c r="P125" i="2" s="1"/>
  <c r="R125" i="2" s="1"/>
  <c r="T125" i="2" s="1"/>
  <c r="V125" i="2" s="1"/>
  <c r="X125" i="2" s="1"/>
  <c r="F130" i="2"/>
  <c r="H130" i="2" s="1"/>
  <c r="J130" i="2" s="1"/>
  <c r="L130" i="2" s="1"/>
  <c r="N130" i="2" s="1"/>
  <c r="P130" i="2" s="1"/>
  <c r="R130" i="2" s="1"/>
  <c r="T130" i="2" s="1"/>
  <c r="V130" i="2" s="1"/>
  <c r="X130" i="2" s="1"/>
  <c r="D61" i="2"/>
  <c r="F61" i="2" s="1"/>
  <c r="H61" i="2" s="1"/>
  <c r="J61" i="2" s="1"/>
  <c r="L61" i="2" s="1"/>
  <c r="N61" i="2" s="1"/>
  <c r="P61" i="2" s="1"/>
  <c r="R61" i="2" s="1"/>
  <c r="T61" i="2" s="1"/>
  <c r="V61" i="2" s="1"/>
  <c r="X61" i="2" s="1"/>
  <c r="F62" i="2"/>
  <c r="H62" i="2" s="1"/>
  <c r="J62" i="2" s="1"/>
  <c r="L62" i="2" s="1"/>
  <c r="N62" i="2" s="1"/>
  <c r="P62" i="2" s="1"/>
  <c r="R62" i="2" s="1"/>
  <c r="T62" i="2" s="1"/>
  <c r="V62" i="2" s="1"/>
  <c r="X62" i="2" s="1"/>
  <c r="D372" i="2"/>
  <c r="F372" i="2" s="1"/>
  <c r="H372" i="2" s="1"/>
  <c r="J372" i="2" s="1"/>
  <c r="L372" i="2" s="1"/>
  <c r="N372" i="2" s="1"/>
  <c r="P372" i="2" s="1"/>
  <c r="R372" i="2" s="1"/>
  <c r="T372" i="2" s="1"/>
  <c r="V372" i="2" s="1"/>
  <c r="X372" i="2" s="1"/>
  <c r="F373" i="2"/>
  <c r="H373" i="2" s="1"/>
  <c r="J373" i="2" s="1"/>
  <c r="L373" i="2" s="1"/>
  <c r="N373" i="2" s="1"/>
  <c r="P373" i="2" s="1"/>
  <c r="R373" i="2" s="1"/>
  <c r="T373" i="2" s="1"/>
  <c r="V373" i="2" s="1"/>
  <c r="X373" i="2" s="1"/>
  <c r="D1236" i="2"/>
  <c r="F1237" i="2"/>
  <c r="H1237" i="2" s="1"/>
  <c r="J1237" i="2" s="1"/>
  <c r="L1237" i="2" s="1"/>
  <c r="N1237" i="2" s="1"/>
  <c r="P1237" i="2" s="1"/>
  <c r="R1237" i="2" s="1"/>
  <c r="T1237" i="2" s="1"/>
  <c r="V1237" i="2" s="1"/>
  <c r="X1237" i="2" s="1"/>
  <c r="D1228" i="2"/>
  <c r="F1233" i="2"/>
  <c r="H1233" i="2" s="1"/>
  <c r="J1233" i="2" s="1"/>
  <c r="L1233" i="2" s="1"/>
  <c r="N1233" i="2" s="1"/>
  <c r="P1233" i="2" s="1"/>
  <c r="R1233" i="2" s="1"/>
  <c r="T1233" i="2" s="1"/>
  <c r="V1233" i="2" s="1"/>
  <c r="X1233" i="2" s="1"/>
  <c r="D97" i="2"/>
  <c r="F98" i="2"/>
  <c r="H98" i="2" s="1"/>
  <c r="J98" i="2" s="1"/>
  <c r="L98" i="2" s="1"/>
  <c r="N98" i="2" s="1"/>
  <c r="P98" i="2" s="1"/>
  <c r="R98" i="2" s="1"/>
  <c r="T98" i="2" s="1"/>
  <c r="V98" i="2" s="1"/>
  <c r="X98" i="2" s="1"/>
  <c r="D133" i="2"/>
  <c r="F133" i="2" s="1"/>
  <c r="H133" i="2" s="1"/>
  <c r="J133" i="2" s="1"/>
  <c r="L133" i="2" s="1"/>
  <c r="N133" i="2" s="1"/>
  <c r="P133" i="2" s="1"/>
  <c r="R133" i="2" s="1"/>
  <c r="T133" i="2" s="1"/>
  <c r="V133" i="2" s="1"/>
  <c r="X133" i="2" s="1"/>
  <c r="D302" i="2"/>
  <c r="F302" i="2" s="1"/>
  <c r="H302" i="2" s="1"/>
  <c r="J302" i="2" s="1"/>
  <c r="L302" i="2" s="1"/>
  <c r="N302" i="2" s="1"/>
  <c r="P302" i="2" s="1"/>
  <c r="R302" i="2" s="1"/>
  <c r="T302" i="2" s="1"/>
  <c r="V302" i="2" s="1"/>
  <c r="X302" i="2" s="1"/>
  <c r="D228" i="2"/>
  <c r="F228" i="2" s="1"/>
  <c r="H228" i="2" s="1"/>
  <c r="J228" i="2" s="1"/>
  <c r="L228" i="2" s="1"/>
  <c r="N228" i="2" s="1"/>
  <c r="P228" i="2" s="1"/>
  <c r="R228" i="2" s="1"/>
  <c r="T228" i="2" s="1"/>
  <c r="V228" i="2" s="1"/>
  <c r="X228" i="2" s="1"/>
  <c r="D1112" i="2"/>
  <c r="F1112" i="2" s="1"/>
  <c r="H1112" i="2" s="1"/>
  <c r="J1112" i="2" s="1"/>
  <c r="L1112" i="2" s="1"/>
  <c r="N1112" i="2" s="1"/>
  <c r="P1112" i="2" s="1"/>
  <c r="R1112" i="2" s="1"/>
  <c r="T1112" i="2" s="1"/>
  <c r="V1112" i="2" s="1"/>
  <c r="X1112" i="2" s="1"/>
  <c r="D51" i="2"/>
  <c r="F51" i="2" s="1"/>
  <c r="H51" i="2" s="1"/>
  <c r="J51" i="2" s="1"/>
  <c r="L51" i="2" s="1"/>
  <c r="N51" i="2" s="1"/>
  <c r="P51" i="2" s="1"/>
  <c r="R51" i="2" s="1"/>
  <c r="T51" i="2" s="1"/>
  <c r="V51" i="2" s="1"/>
  <c r="X51" i="2" s="1"/>
  <c r="D85" i="2"/>
  <c r="F85" i="2" s="1"/>
  <c r="H85" i="2" s="1"/>
  <c r="J85" i="2" s="1"/>
  <c r="L85" i="2" s="1"/>
  <c r="N85" i="2" s="1"/>
  <c r="P85" i="2" s="1"/>
  <c r="R85" i="2" s="1"/>
  <c r="T85" i="2" s="1"/>
  <c r="V85" i="2" s="1"/>
  <c r="X85" i="2" s="1"/>
  <c r="D393" i="2"/>
  <c r="D360" i="2"/>
  <c r="D333" i="2"/>
  <c r="D254" i="2"/>
  <c r="F254" i="2" s="1"/>
  <c r="H254" i="2" s="1"/>
  <c r="J254" i="2" s="1"/>
  <c r="L254" i="2" s="1"/>
  <c r="N254" i="2" s="1"/>
  <c r="P254" i="2" s="1"/>
  <c r="R254" i="2" s="1"/>
  <c r="T254" i="2" s="1"/>
  <c r="V254" i="2" s="1"/>
  <c r="X254" i="2" s="1"/>
  <c r="D27" i="2"/>
  <c r="F27" i="2" s="1"/>
  <c r="H27" i="2" s="1"/>
  <c r="J27" i="2" s="1"/>
  <c r="L27" i="2" s="1"/>
  <c r="N27" i="2" s="1"/>
  <c r="P27" i="2" s="1"/>
  <c r="R27" i="2" s="1"/>
  <c r="T27" i="2" s="1"/>
  <c r="V27" i="2" s="1"/>
  <c r="X27" i="2" s="1"/>
  <c r="D107" i="2"/>
  <c r="F107" i="2" s="1"/>
  <c r="H107" i="2" s="1"/>
  <c r="J107" i="2" s="1"/>
  <c r="L107" i="2" s="1"/>
  <c r="N107" i="2" s="1"/>
  <c r="P107" i="2" s="1"/>
  <c r="R107" i="2" s="1"/>
  <c r="T107" i="2" s="1"/>
  <c r="V107" i="2" s="1"/>
  <c r="X107" i="2" s="1"/>
  <c r="D72" i="2"/>
  <c r="D1371" i="2"/>
  <c r="F1371" i="2" s="1"/>
  <c r="H1371" i="2" s="1"/>
  <c r="J1371" i="2" s="1"/>
  <c r="L1371" i="2" s="1"/>
  <c r="N1371" i="2" s="1"/>
  <c r="P1371" i="2" s="1"/>
  <c r="R1371" i="2" s="1"/>
  <c r="T1371" i="2" s="1"/>
  <c r="V1371" i="2" s="1"/>
  <c r="X1371" i="2" s="1"/>
  <c r="D1296" i="2"/>
  <c r="F1296" i="2" s="1"/>
  <c r="H1296" i="2" s="1"/>
  <c r="J1296" i="2" s="1"/>
  <c r="L1296" i="2" s="1"/>
  <c r="N1296" i="2" s="1"/>
  <c r="P1296" i="2" s="1"/>
  <c r="R1296" i="2" s="1"/>
  <c r="T1296" i="2" s="1"/>
  <c r="V1296" i="2" s="1"/>
  <c r="X1296" i="2" s="1"/>
  <c r="D1085" i="2"/>
  <c r="D1057" i="2"/>
  <c r="D415" i="2"/>
  <c r="D376" i="2"/>
  <c r="F376" i="2" s="1"/>
  <c r="H376" i="2" s="1"/>
  <c r="J376" i="2" s="1"/>
  <c r="L376" i="2" s="1"/>
  <c r="N376" i="2" s="1"/>
  <c r="P376" i="2" s="1"/>
  <c r="R376" i="2" s="1"/>
  <c r="T376" i="2" s="1"/>
  <c r="V376" i="2" s="1"/>
  <c r="X376" i="2" s="1"/>
  <c r="D444" i="2"/>
  <c r="F444" i="2" s="1"/>
  <c r="H444" i="2" s="1"/>
  <c r="J444" i="2" s="1"/>
  <c r="L444" i="2" s="1"/>
  <c r="N444" i="2" s="1"/>
  <c r="P444" i="2" s="1"/>
  <c r="R444" i="2" s="1"/>
  <c r="T444" i="2" s="1"/>
  <c r="V444" i="2" s="1"/>
  <c r="X444" i="2" s="1"/>
  <c r="D425" i="2"/>
  <c r="D264" i="2"/>
  <c r="F264" i="2" s="1"/>
  <c r="H264" i="2" s="1"/>
  <c r="J264" i="2" s="1"/>
  <c r="L264" i="2" s="1"/>
  <c r="N264" i="2" s="1"/>
  <c r="P264" i="2" s="1"/>
  <c r="R264" i="2" s="1"/>
  <c r="T264" i="2" s="1"/>
  <c r="V264" i="2" s="1"/>
  <c r="X264" i="2" s="1"/>
  <c r="D193" i="2"/>
  <c r="D1208" i="2"/>
  <c r="D1415" i="2"/>
  <c r="D1376" i="2"/>
  <c r="F1376" i="2" s="1"/>
  <c r="H1376" i="2" s="1"/>
  <c r="J1376" i="2" s="1"/>
  <c r="L1376" i="2" s="1"/>
  <c r="N1376" i="2" s="1"/>
  <c r="P1376" i="2" s="1"/>
  <c r="R1376" i="2" s="1"/>
  <c r="T1376" i="2" s="1"/>
  <c r="V1376" i="2" s="1"/>
  <c r="X1376" i="2" s="1"/>
  <c r="D1314" i="2"/>
  <c r="F1314" i="2" s="1"/>
  <c r="H1314" i="2" s="1"/>
  <c r="J1314" i="2" s="1"/>
  <c r="L1314" i="2" s="1"/>
  <c r="N1314" i="2" s="1"/>
  <c r="P1314" i="2" s="1"/>
  <c r="R1314" i="2" s="1"/>
  <c r="T1314" i="2" s="1"/>
  <c r="V1314" i="2" s="1"/>
  <c r="X1314" i="2" s="1"/>
  <c r="D1278" i="2"/>
  <c r="F1278" i="2" s="1"/>
  <c r="H1278" i="2" s="1"/>
  <c r="J1278" i="2" s="1"/>
  <c r="L1278" i="2" s="1"/>
  <c r="N1278" i="2" s="1"/>
  <c r="P1278" i="2" s="1"/>
  <c r="R1278" i="2" s="1"/>
  <c r="T1278" i="2" s="1"/>
  <c r="V1278" i="2" s="1"/>
  <c r="X1278" i="2" s="1"/>
  <c r="D1251" i="2"/>
  <c r="F1251" i="2" s="1"/>
  <c r="H1251" i="2" s="1"/>
  <c r="J1251" i="2" s="1"/>
  <c r="L1251" i="2" s="1"/>
  <c r="N1251" i="2" s="1"/>
  <c r="P1251" i="2" s="1"/>
  <c r="R1251" i="2" s="1"/>
  <c r="T1251" i="2" s="1"/>
  <c r="V1251" i="2" s="1"/>
  <c r="X1251" i="2" s="1"/>
  <c r="P813" i="2" l="1"/>
  <c r="R813" i="2" s="1"/>
  <c r="T813" i="2" s="1"/>
  <c r="V813" i="2" s="1"/>
  <c r="X813" i="2" s="1"/>
  <c r="L22" i="2"/>
  <c r="L1274" i="2"/>
  <c r="H469" i="2"/>
  <c r="J469" i="2" s="1"/>
  <c r="L469" i="2" s="1"/>
  <c r="N469" i="2" s="1"/>
  <c r="P469" i="2" s="1"/>
  <c r="R469" i="2" s="1"/>
  <c r="T469" i="2" s="1"/>
  <c r="V469" i="2" s="1"/>
  <c r="X469" i="2" s="1"/>
  <c r="F1085" i="2"/>
  <c r="H1085" i="2" s="1"/>
  <c r="J1085" i="2" s="1"/>
  <c r="L1085" i="2" s="1"/>
  <c r="N1085" i="2" s="1"/>
  <c r="P1085" i="2" s="1"/>
  <c r="R1085" i="2" s="1"/>
  <c r="T1085" i="2" s="1"/>
  <c r="V1085" i="2" s="1"/>
  <c r="X1085" i="2" s="1"/>
  <c r="D1084" i="2"/>
  <c r="H1203" i="2"/>
  <c r="J1203" i="2" s="1"/>
  <c r="L1203" i="2" s="1"/>
  <c r="N1203" i="2" s="1"/>
  <c r="P1203" i="2" s="1"/>
  <c r="R1203" i="2" s="1"/>
  <c r="T1203" i="2" s="1"/>
  <c r="V1203" i="2" s="1"/>
  <c r="X1203" i="2" s="1"/>
  <c r="F1199" i="2"/>
  <c r="H1199" i="2" s="1"/>
  <c r="J1199" i="2" s="1"/>
  <c r="L1199" i="2" s="1"/>
  <c r="N1199" i="2" s="1"/>
  <c r="P1199" i="2" s="1"/>
  <c r="R1199" i="2" s="1"/>
  <c r="T1199" i="2" s="1"/>
  <c r="V1199" i="2" s="1"/>
  <c r="X1199" i="2" s="1"/>
  <c r="D1424" i="2"/>
  <c r="F1424" i="2" s="1"/>
  <c r="H1424" i="2" s="1"/>
  <c r="J1424" i="2" s="1"/>
  <c r="L1424" i="2" s="1"/>
  <c r="N1424" i="2" s="1"/>
  <c r="P1424" i="2" s="1"/>
  <c r="R1424" i="2" s="1"/>
  <c r="T1424" i="2" s="1"/>
  <c r="V1424" i="2" s="1"/>
  <c r="X1424" i="2" s="1"/>
  <c r="D1263" i="2"/>
  <c r="F1263" i="2" s="1"/>
  <c r="H1263" i="2" s="1"/>
  <c r="J1263" i="2" s="1"/>
  <c r="L1263" i="2" s="1"/>
  <c r="N1263" i="2" s="1"/>
  <c r="P1263" i="2" s="1"/>
  <c r="R1263" i="2" s="1"/>
  <c r="T1263" i="2" s="1"/>
  <c r="V1263" i="2" s="1"/>
  <c r="X1263" i="2" s="1"/>
  <c r="D1431" i="2"/>
  <c r="F1431" i="2" s="1"/>
  <c r="H1431" i="2" s="1"/>
  <c r="J1431" i="2" s="1"/>
  <c r="L1431" i="2" s="1"/>
  <c r="N1431" i="2" s="1"/>
  <c r="P1431" i="2" s="1"/>
  <c r="R1431" i="2" s="1"/>
  <c r="T1431" i="2" s="1"/>
  <c r="V1431" i="2" s="1"/>
  <c r="X1431" i="2" s="1"/>
  <c r="D1403" i="2"/>
  <c r="F1403" i="2" s="1"/>
  <c r="H1403" i="2" s="1"/>
  <c r="J1403" i="2" s="1"/>
  <c r="L1403" i="2" s="1"/>
  <c r="N1403" i="2" s="1"/>
  <c r="P1403" i="2" s="1"/>
  <c r="R1403" i="2" s="1"/>
  <c r="T1403" i="2" s="1"/>
  <c r="V1403" i="2" s="1"/>
  <c r="X1403" i="2" s="1"/>
  <c r="D348" i="2"/>
  <c r="F348" i="2" s="1"/>
  <c r="H348" i="2" s="1"/>
  <c r="J348" i="2" s="1"/>
  <c r="L348" i="2" s="1"/>
  <c r="N348" i="2" s="1"/>
  <c r="P348" i="2" s="1"/>
  <c r="R348" i="2" s="1"/>
  <c r="T348" i="2" s="1"/>
  <c r="V348" i="2" s="1"/>
  <c r="X348" i="2" s="1"/>
  <c r="D292" i="2"/>
  <c r="F292" i="2" s="1"/>
  <c r="H292" i="2" s="1"/>
  <c r="J292" i="2" s="1"/>
  <c r="L292" i="2" s="1"/>
  <c r="N292" i="2" s="1"/>
  <c r="P292" i="2" s="1"/>
  <c r="R292" i="2" s="1"/>
  <c r="T292" i="2" s="1"/>
  <c r="V292" i="2" s="1"/>
  <c r="X292" i="2" s="1"/>
  <c r="D18" i="2"/>
  <c r="F18" i="2" s="1"/>
  <c r="H18" i="2" s="1"/>
  <c r="J18" i="2" s="1"/>
  <c r="L18" i="2" s="1"/>
  <c r="N18" i="2" s="1"/>
  <c r="P18" i="2" s="1"/>
  <c r="R18" i="2" s="1"/>
  <c r="T18" i="2" s="1"/>
  <c r="V18" i="2" s="1"/>
  <c r="X18" i="2" s="1"/>
  <c r="D1410" i="2"/>
  <c r="F1410" i="2" s="1"/>
  <c r="H1410" i="2" s="1"/>
  <c r="J1410" i="2" s="1"/>
  <c r="L1410" i="2" s="1"/>
  <c r="N1410" i="2" s="1"/>
  <c r="P1410" i="2" s="1"/>
  <c r="R1410" i="2" s="1"/>
  <c r="T1410" i="2" s="1"/>
  <c r="V1410" i="2" s="1"/>
  <c r="X1410" i="2" s="1"/>
  <c r="F1415" i="2"/>
  <c r="H1415" i="2" s="1"/>
  <c r="J1415" i="2" s="1"/>
  <c r="L1415" i="2" s="1"/>
  <c r="N1415" i="2" s="1"/>
  <c r="P1415" i="2" s="1"/>
  <c r="R1415" i="2" s="1"/>
  <c r="T1415" i="2" s="1"/>
  <c r="V1415" i="2" s="1"/>
  <c r="X1415" i="2" s="1"/>
  <c r="D192" i="2"/>
  <c r="F192" i="2" s="1"/>
  <c r="H192" i="2" s="1"/>
  <c r="J192" i="2" s="1"/>
  <c r="L192" i="2" s="1"/>
  <c r="N192" i="2" s="1"/>
  <c r="P192" i="2" s="1"/>
  <c r="R192" i="2" s="1"/>
  <c r="T192" i="2" s="1"/>
  <c r="V192" i="2" s="1"/>
  <c r="X192" i="2" s="1"/>
  <c r="F193" i="2"/>
  <c r="H193" i="2" s="1"/>
  <c r="J193" i="2" s="1"/>
  <c r="L193" i="2" s="1"/>
  <c r="N193" i="2" s="1"/>
  <c r="P193" i="2" s="1"/>
  <c r="R193" i="2" s="1"/>
  <c r="T193" i="2" s="1"/>
  <c r="V193" i="2" s="1"/>
  <c r="X193" i="2" s="1"/>
  <c r="D1041" i="2"/>
  <c r="F1041" i="2" s="1"/>
  <c r="H1041" i="2" s="1"/>
  <c r="J1041" i="2" s="1"/>
  <c r="L1041" i="2" s="1"/>
  <c r="N1041" i="2" s="1"/>
  <c r="P1041" i="2" s="1"/>
  <c r="R1041" i="2" s="1"/>
  <c r="T1041" i="2" s="1"/>
  <c r="V1041" i="2" s="1"/>
  <c r="X1041" i="2" s="1"/>
  <c r="F1057" i="2"/>
  <c r="H1057" i="2" s="1"/>
  <c r="J1057" i="2" s="1"/>
  <c r="L1057" i="2" s="1"/>
  <c r="N1057" i="2" s="1"/>
  <c r="P1057" i="2" s="1"/>
  <c r="R1057" i="2" s="1"/>
  <c r="T1057" i="2" s="1"/>
  <c r="V1057" i="2" s="1"/>
  <c r="X1057" i="2" s="1"/>
  <c r="D1240" i="2"/>
  <c r="F1240" i="2" s="1"/>
  <c r="H1240" i="2" s="1"/>
  <c r="J1240" i="2" s="1"/>
  <c r="L1240" i="2" s="1"/>
  <c r="N1240" i="2" s="1"/>
  <c r="P1240" i="2" s="1"/>
  <c r="R1240" i="2" s="1"/>
  <c r="T1240" i="2" s="1"/>
  <c r="V1240" i="2" s="1"/>
  <c r="X1240" i="2" s="1"/>
  <c r="F1241" i="2"/>
  <c r="H1241" i="2" s="1"/>
  <c r="J1241" i="2" s="1"/>
  <c r="L1241" i="2" s="1"/>
  <c r="N1241" i="2" s="1"/>
  <c r="P1241" i="2" s="1"/>
  <c r="R1241" i="2" s="1"/>
  <c r="T1241" i="2" s="1"/>
  <c r="V1241" i="2" s="1"/>
  <c r="X1241" i="2" s="1"/>
  <c r="D392" i="2"/>
  <c r="F392" i="2" s="1"/>
  <c r="H392" i="2" s="1"/>
  <c r="J392" i="2" s="1"/>
  <c r="L392" i="2" s="1"/>
  <c r="N392" i="2" s="1"/>
  <c r="P392" i="2" s="1"/>
  <c r="R392" i="2" s="1"/>
  <c r="T392" i="2" s="1"/>
  <c r="V392" i="2" s="1"/>
  <c r="X392" i="2" s="1"/>
  <c r="F393" i="2"/>
  <c r="H393" i="2" s="1"/>
  <c r="J393" i="2" s="1"/>
  <c r="L393" i="2" s="1"/>
  <c r="N393" i="2" s="1"/>
  <c r="P393" i="2" s="1"/>
  <c r="R393" i="2" s="1"/>
  <c r="T393" i="2" s="1"/>
  <c r="V393" i="2" s="1"/>
  <c r="X393" i="2" s="1"/>
  <c r="D1207" i="2"/>
  <c r="F1207" i="2" s="1"/>
  <c r="H1207" i="2" s="1"/>
  <c r="J1207" i="2" s="1"/>
  <c r="L1207" i="2" s="1"/>
  <c r="N1207" i="2" s="1"/>
  <c r="P1207" i="2" s="1"/>
  <c r="R1207" i="2" s="1"/>
  <c r="T1207" i="2" s="1"/>
  <c r="V1207" i="2" s="1"/>
  <c r="X1207" i="2" s="1"/>
  <c r="F1208" i="2"/>
  <c r="H1208" i="2" s="1"/>
  <c r="J1208" i="2" s="1"/>
  <c r="L1208" i="2" s="1"/>
  <c r="N1208" i="2" s="1"/>
  <c r="P1208" i="2" s="1"/>
  <c r="R1208" i="2" s="1"/>
  <c r="T1208" i="2" s="1"/>
  <c r="V1208" i="2" s="1"/>
  <c r="X1208" i="2" s="1"/>
  <c r="D301" i="2"/>
  <c r="F301" i="2" s="1"/>
  <c r="H301" i="2" s="1"/>
  <c r="J301" i="2" s="1"/>
  <c r="L301" i="2" s="1"/>
  <c r="N301" i="2" s="1"/>
  <c r="P301" i="2" s="1"/>
  <c r="R301" i="2" s="1"/>
  <c r="T301" i="2" s="1"/>
  <c r="V301" i="2" s="1"/>
  <c r="X301" i="2" s="1"/>
  <c r="D71" i="2"/>
  <c r="F71" i="2" s="1"/>
  <c r="H71" i="2" s="1"/>
  <c r="J71" i="2" s="1"/>
  <c r="L71" i="2" s="1"/>
  <c r="N71" i="2" s="1"/>
  <c r="P71" i="2" s="1"/>
  <c r="R71" i="2" s="1"/>
  <c r="T71" i="2" s="1"/>
  <c r="V71" i="2" s="1"/>
  <c r="X71" i="2" s="1"/>
  <c r="F72" i="2"/>
  <c r="H72" i="2" s="1"/>
  <c r="J72" i="2" s="1"/>
  <c r="L72" i="2" s="1"/>
  <c r="N72" i="2" s="1"/>
  <c r="P72" i="2" s="1"/>
  <c r="R72" i="2" s="1"/>
  <c r="T72" i="2" s="1"/>
  <c r="V72" i="2" s="1"/>
  <c r="X72" i="2" s="1"/>
  <c r="D332" i="2"/>
  <c r="F332" i="2" s="1"/>
  <c r="H332" i="2" s="1"/>
  <c r="J332" i="2" s="1"/>
  <c r="L332" i="2" s="1"/>
  <c r="N332" i="2" s="1"/>
  <c r="P332" i="2" s="1"/>
  <c r="R332" i="2" s="1"/>
  <c r="T332" i="2" s="1"/>
  <c r="V332" i="2" s="1"/>
  <c r="X332" i="2" s="1"/>
  <c r="F333" i="2"/>
  <c r="H333" i="2" s="1"/>
  <c r="J333" i="2" s="1"/>
  <c r="L333" i="2" s="1"/>
  <c r="N333" i="2" s="1"/>
  <c r="P333" i="2" s="1"/>
  <c r="R333" i="2" s="1"/>
  <c r="T333" i="2" s="1"/>
  <c r="V333" i="2" s="1"/>
  <c r="X333" i="2" s="1"/>
  <c r="D414" i="2"/>
  <c r="F414" i="2" s="1"/>
  <c r="H414" i="2" s="1"/>
  <c r="J414" i="2" s="1"/>
  <c r="L414" i="2" s="1"/>
  <c r="N414" i="2" s="1"/>
  <c r="P414" i="2" s="1"/>
  <c r="R414" i="2" s="1"/>
  <c r="T414" i="2" s="1"/>
  <c r="V414" i="2" s="1"/>
  <c r="X414" i="2" s="1"/>
  <c r="F415" i="2"/>
  <c r="H415" i="2" s="1"/>
  <c r="J415" i="2" s="1"/>
  <c r="L415" i="2" s="1"/>
  <c r="N415" i="2" s="1"/>
  <c r="P415" i="2" s="1"/>
  <c r="R415" i="2" s="1"/>
  <c r="T415" i="2" s="1"/>
  <c r="V415" i="2" s="1"/>
  <c r="X415" i="2" s="1"/>
  <c r="D424" i="2"/>
  <c r="F424" i="2" s="1"/>
  <c r="H424" i="2" s="1"/>
  <c r="J424" i="2" s="1"/>
  <c r="L424" i="2" s="1"/>
  <c r="N424" i="2" s="1"/>
  <c r="P424" i="2" s="1"/>
  <c r="R424" i="2" s="1"/>
  <c r="T424" i="2" s="1"/>
  <c r="V424" i="2" s="1"/>
  <c r="X424" i="2" s="1"/>
  <c r="F425" i="2"/>
  <c r="H425" i="2" s="1"/>
  <c r="J425" i="2" s="1"/>
  <c r="L425" i="2" s="1"/>
  <c r="N425" i="2" s="1"/>
  <c r="P425" i="2" s="1"/>
  <c r="R425" i="2" s="1"/>
  <c r="T425" i="2" s="1"/>
  <c r="V425" i="2" s="1"/>
  <c r="X425" i="2" s="1"/>
  <c r="D359" i="2"/>
  <c r="F359" i="2" s="1"/>
  <c r="H359" i="2" s="1"/>
  <c r="J359" i="2" s="1"/>
  <c r="L359" i="2" s="1"/>
  <c r="N359" i="2" s="1"/>
  <c r="P359" i="2" s="1"/>
  <c r="R359" i="2" s="1"/>
  <c r="T359" i="2" s="1"/>
  <c r="V359" i="2" s="1"/>
  <c r="X359" i="2" s="1"/>
  <c r="F360" i="2"/>
  <c r="H360" i="2" s="1"/>
  <c r="J360" i="2" s="1"/>
  <c r="L360" i="2" s="1"/>
  <c r="N360" i="2" s="1"/>
  <c r="P360" i="2" s="1"/>
  <c r="R360" i="2" s="1"/>
  <c r="T360" i="2" s="1"/>
  <c r="V360" i="2" s="1"/>
  <c r="X360" i="2" s="1"/>
  <c r="D1398" i="2"/>
  <c r="F1398" i="2" s="1"/>
  <c r="H1398" i="2" s="1"/>
  <c r="J1398" i="2" s="1"/>
  <c r="L1398" i="2" s="1"/>
  <c r="N1398" i="2" s="1"/>
  <c r="P1398" i="2" s="1"/>
  <c r="R1398" i="2" s="1"/>
  <c r="T1398" i="2" s="1"/>
  <c r="V1398" i="2" s="1"/>
  <c r="X1398" i="2" s="1"/>
  <c r="F1399" i="2"/>
  <c r="H1399" i="2" s="1"/>
  <c r="J1399" i="2" s="1"/>
  <c r="L1399" i="2" s="1"/>
  <c r="N1399" i="2" s="1"/>
  <c r="P1399" i="2" s="1"/>
  <c r="R1399" i="2" s="1"/>
  <c r="T1399" i="2" s="1"/>
  <c r="V1399" i="2" s="1"/>
  <c r="X1399" i="2" s="1"/>
  <c r="D1227" i="2"/>
  <c r="F1227" i="2" s="1"/>
  <c r="H1227" i="2" s="1"/>
  <c r="J1227" i="2" s="1"/>
  <c r="L1227" i="2" s="1"/>
  <c r="N1227" i="2" s="1"/>
  <c r="P1227" i="2" s="1"/>
  <c r="R1227" i="2" s="1"/>
  <c r="T1227" i="2" s="1"/>
  <c r="V1227" i="2" s="1"/>
  <c r="X1227" i="2" s="1"/>
  <c r="F1228" i="2"/>
  <c r="H1228" i="2" s="1"/>
  <c r="J1228" i="2" s="1"/>
  <c r="L1228" i="2" s="1"/>
  <c r="N1228" i="2" s="1"/>
  <c r="P1228" i="2" s="1"/>
  <c r="R1228" i="2" s="1"/>
  <c r="T1228" i="2" s="1"/>
  <c r="V1228" i="2" s="1"/>
  <c r="X1228" i="2" s="1"/>
  <c r="D1235" i="2"/>
  <c r="F1235" i="2" s="1"/>
  <c r="H1235" i="2" s="1"/>
  <c r="J1235" i="2" s="1"/>
  <c r="L1235" i="2" s="1"/>
  <c r="N1235" i="2" s="1"/>
  <c r="P1235" i="2" s="1"/>
  <c r="R1235" i="2" s="1"/>
  <c r="T1235" i="2" s="1"/>
  <c r="V1235" i="2" s="1"/>
  <c r="X1235" i="2" s="1"/>
  <c r="F1236" i="2"/>
  <c r="H1236" i="2" s="1"/>
  <c r="J1236" i="2" s="1"/>
  <c r="L1236" i="2" s="1"/>
  <c r="N1236" i="2" s="1"/>
  <c r="P1236" i="2" s="1"/>
  <c r="R1236" i="2" s="1"/>
  <c r="T1236" i="2" s="1"/>
  <c r="V1236" i="2" s="1"/>
  <c r="X1236" i="2" s="1"/>
  <c r="D96" i="2"/>
  <c r="F96" i="2" s="1"/>
  <c r="H96" i="2" s="1"/>
  <c r="J96" i="2" s="1"/>
  <c r="L96" i="2" s="1"/>
  <c r="N96" i="2" s="1"/>
  <c r="P96" i="2" s="1"/>
  <c r="R96" i="2" s="1"/>
  <c r="T96" i="2" s="1"/>
  <c r="V96" i="2" s="1"/>
  <c r="X96" i="2" s="1"/>
  <c r="F97" i="2"/>
  <c r="H97" i="2" s="1"/>
  <c r="J97" i="2" s="1"/>
  <c r="L97" i="2" s="1"/>
  <c r="N97" i="2" s="1"/>
  <c r="P97" i="2" s="1"/>
  <c r="R97" i="2" s="1"/>
  <c r="T97" i="2" s="1"/>
  <c r="V97" i="2" s="1"/>
  <c r="X97" i="2" s="1"/>
  <c r="D1295" i="2"/>
  <c r="D368" i="2"/>
  <c r="D214" i="2"/>
  <c r="F214" i="2" s="1"/>
  <c r="H214" i="2" s="1"/>
  <c r="J214" i="2" s="1"/>
  <c r="L214" i="2" s="1"/>
  <c r="N214" i="2" s="1"/>
  <c r="P214" i="2" s="1"/>
  <c r="R214" i="2" s="1"/>
  <c r="T214" i="2" s="1"/>
  <c r="V214" i="2" s="1"/>
  <c r="X214" i="2" s="1"/>
  <c r="D435" i="2"/>
  <c r="F435" i="2" s="1"/>
  <c r="H435" i="2" s="1"/>
  <c r="J435" i="2" s="1"/>
  <c r="L435" i="2" s="1"/>
  <c r="N435" i="2" s="1"/>
  <c r="P435" i="2" s="1"/>
  <c r="R435" i="2" s="1"/>
  <c r="T435" i="2" s="1"/>
  <c r="V435" i="2" s="1"/>
  <c r="X435" i="2" s="1"/>
  <c r="D106" i="2"/>
  <c r="F106" i="2" s="1"/>
  <c r="H106" i="2" s="1"/>
  <c r="J106" i="2" s="1"/>
  <c r="L106" i="2" s="1"/>
  <c r="N106" i="2" s="1"/>
  <c r="P106" i="2" s="1"/>
  <c r="R106" i="2" s="1"/>
  <c r="T106" i="2" s="1"/>
  <c r="V106" i="2" s="1"/>
  <c r="X106" i="2" s="1"/>
  <c r="P812" i="2" l="1"/>
  <c r="R812" i="2" s="1"/>
  <c r="T812" i="2" s="1"/>
  <c r="V812" i="2" s="1"/>
  <c r="X812" i="2" s="1"/>
  <c r="Z812" i="2" s="1"/>
  <c r="N1274" i="2"/>
  <c r="P1274" i="2" s="1"/>
  <c r="R1274" i="2" s="1"/>
  <c r="T1274" i="2" s="1"/>
  <c r="V1274" i="2" s="1"/>
  <c r="X1274" i="2" s="1"/>
  <c r="Z1274" i="2" s="1"/>
  <c r="N22" i="2"/>
  <c r="P22" i="2" s="1"/>
  <c r="R22" i="2" s="1"/>
  <c r="T22" i="2" s="1"/>
  <c r="V22" i="2" s="1"/>
  <c r="X22" i="2" s="1"/>
  <c r="Z22" i="2" s="1"/>
  <c r="D17" i="2"/>
  <c r="F17" i="2" s="1"/>
  <c r="H17" i="2" s="1"/>
  <c r="J17" i="2" s="1"/>
  <c r="L17" i="2" s="1"/>
  <c r="N17" i="2" s="1"/>
  <c r="P17" i="2" s="1"/>
  <c r="R17" i="2" s="1"/>
  <c r="T17" i="2" s="1"/>
  <c r="V17" i="2" s="1"/>
  <c r="X17" i="2" s="1"/>
  <c r="D1250" i="2"/>
  <c r="D1239" i="2" s="1"/>
  <c r="F1239" i="2" s="1"/>
  <c r="H1239" i="2" s="1"/>
  <c r="J1239" i="2" s="1"/>
  <c r="L1239" i="2" s="1"/>
  <c r="N1239" i="2" s="1"/>
  <c r="P1239" i="2" s="1"/>
  <c r="R1239" i="2" s="1"/>
  <c r="T1239" i="2" s="1"/>
  <c r="V1239" i="2" s="1"/>
  <c r="X1239" i="2" s="1"/>
  <c r="D1083" i="2"/>
  <c r="F1083" i="2" s="1"/>
  <c r="H1083" i="2" s="1"/>
  <c r="J1083" i="2" s="1"/>
  <c r="L1083" i="2" s="1"/>
  <c r="N1083" i="2" s="1"/>
  <c r="P1083" i="2" s="1"/>
  <c r="R1083" i="2" s="1"/>
  <c r="T1083" i="2" s="1"/>
  <c r="V1083" i="2" s="1"/>
  <c r="X1083" i="2" s="1"/>
  <c r="F1084" i="2"/>
  <c r="H1084" i="2" s="1"/>
  <c r="J1084" i="2" s="1"/>
  <c r="L1084" i="2" s="1"/>
  <c r="N1084" i="2" s="1"/>
  <c r="P1084" i="2" s="1"/>
  <c r="R1084" i="2" s="1"/>
  <c r="T1084" i="2" s="1"/>
  <c r="V1084" i="2" s="1"/>
  <c r="X1084" i="2" s="1"/>
  <c r="D413" i="2"/>
  <c r="F413" i="2" s="1"/>
  <c r="H413" i="2" s="1"/>
  <c r="J413" i="2" s="1"/>
  <c r="L413" i="2" s="1"/>
  <c r="N413" i="2" s="1"/>
  <c r="P413" i="2" s="1"/>
  <c r="R413" i="2" s="1"/>
  <c r="T413" i="2" s="1"/>
  <c r="V413" i="2" s="1"/>
  <c r="X413" i="2" s="1"/>
  <c r="D347" i="2"/>
  <c r="F347" i="2" s="1"/>
  <c r="H347" i="2" s="1"/>
  <c r="J347" i="2" s="1"/>
  <c r="L347" i="2" s="1"/>
  <c r="N347" i="2" s="1"/>
  <c r="P347" i="2" s="1"/>
  <c r="R347" i="2" s="1"/>
  <c r="T347" i="2" s="1"/>
  <c r="V347" i="2" s="1"/>
  <c r="X347" i="2" s="1"/>
  <c r="F368" i="2"/>
  <c r="H368" i="2" s="1"/>
  <c r="J368" i="2" s="1"/>
  <c r="L368" i="2" s="1"/>
  <c r="N368" i="2" s="1"/>
  <c r="P368" i="2" s="1"/>
  <c r="R368" i="2" s="1"/>
  <c r="T368" i="2" s="1"/>
  <c r="V368" i="2" s="1"/>
  <c r="X368" i="2" s="1"/>
  <c r="D1294" i="2"/>
  <c r="F1294" i="2" s="1"/>
  <c r="H1294" i="2" s="1"/>
  <c r="J1294" i="2" s="1"/>
  <c r="L1294" i="2" s="1"/>
  <c r="N1294" i="2" s="1"/>
  <c r="P1294" i="2" s="1"/>
  <c r="R1294" i="2" s="1"/>
  <c r="T1294" i="2" s="1"/>
  <c r="V1294" i="2" s="1"/>
  <c r="X1294" i="2" s="1"/>
  <c r="F1295" i="2"/>
  <c r="H1295" i="2" s="1"/>
  <c r="J1295" i="2" s="1"/>
  <c r="L1295" i="2" s="1"/>
  <c r="N1295" i="2" s="1"/>
  <c r="P1295" i="2" s="1"/>
  <c r="R1295" i="2" s="1"/>
  <c r="T1295" i="2" s="1"/>
  <c r="V1295" i="2" s="1"/>
  <c r="X1295" i="2" s="1"/>
  <c r="P811" i="2" l="1"/>
  <c r="R811" i="2" s="1"/>
  <c r="T811" i="2" s="1"/>
  <c r="V811" i="2" s="1"/>
  <c r="X811" i="2" s="1"/>
  <c r="D16" i="2"/>
  <c r="D1471" i="2" s="1"/>
  <c r="F1471" i="2" s="1"/>
  <c r="H1471" i="2" s="1"/>
  <c r="J1471" i="2" s="1"/>
  <c r="L1471" i="2" s="1"/>
  <c r="N1471" i="2" s="1"/>
  <c r="P1471" i="2" s="1"/>
  <c r="R1471" i="2" s="1"/>
  <c r="T1471" i="2" s="1"/>
  <c r="V1471" i="2" s="1"/>
  <c r="X1471" i="2" s="1"/>
  <c r="F1250" i="2"/>
  <c r="H1250" i="2" s="1"/>
  <c r="J1250" i="2" s="1"/>
  <c r="L1250" i="2" s="1"/>
  <c r="N1250" i="2" s="1"/>
  <c r="P1250" i="2" s="1"/>
  <c r="R1250" i="2" s="1"/>
  <c r="T1250" i="2" s="1"/>
  <c r="V1250" i="2" s="1"/>
  <c r="X1250" i="2" s="1"/>
  <c r="P810" i="2" l="1"/>
  <c r="R810" i="2" s="1"/>
  <c r="T810" i="2" s="1"/>
  <c r="V810" i="2" s="1"/>
  <c r="X810" i="2" s="1"/>
  <c r="Z810" i="2" s="1"/>
  <c r="D1472" i="2"/>
  <c r="F16" i="2"/>
  <c r="H16" i="2" s="1"/>
  <c r="P809" i="2" l="1"/>
  <c r="R809" i="2" s="1"/>
  <c r="T809" i="2" s="1"/>
  <c r="V809" i="2" s="1"/>
  <c r="X809" i="2" s="1"/>
  <c r="F1472" i="2"/>
  <c r="H1472" i="2"/>
  <c r="J16" i="2"/>
  <c r="P808" i="2" l="1"/>
  <c r="R808" i="2" s="1"/>
  <c r="T808" i="2" s="1"/>
  <c r="V808" i="2" s="1"/>
  <c r="X808" i="2" s="1"/>
  <c r="Z808" i="2" s="1"/>
  <c r="J1472" i="2"/>
  <c r="L16" i="2"/>
  <c r="P807" i="2" l="1"/>
  <c r="R807" i="2" s="1"/>
  <c r="T807" i="2" s="1"/>
  <c r="V807" i="2" s="1"/>
  <c r="X807" i="2" s="1"/>
  <c r="L1472" i="2"/>
  <c r="N16" i="2"/>
  <c r="P806" i="2" l="1"/>
  <c r="R806" i="2" s="1"/>
  <c r="T806" i="2" s="1"/>
  <c r="V806" i="2" s="1"/>
  <c r="X806" i="2" s="1"/>
  <c r="Z806" i="2" s="1"/>
  <c r="N1472" i="2"/>
  <c r="P16" i="2"/>
  <c r="P1472" i="2" l="1"/>
  <c r="R16" i="2"/>
  <c r="P805" i="2"/>
  <c r="R805" i="2" s="1"/>
  <c r="T805" i="2" s="1"/>
  <c r="V805" i="2" s="1"/>
  <c r="X805" i="2" s="1"/>
  <c r="R1472" i="2" l="1"/>
  <c r="T16" i="2"/>
  <c r="P804" i="2"/>
  <c r="R804" i="2" s="1"/>
  <c r="T804" i="2" s="1"/>
  <c r="V804" i="2" s="1"/>
  <c r="X804" i="2" s="1"/>
  <c r="Z804" i="2" s="1"/>
  <c r="T1472" i="2" l="1"/>
  <c r="V16" i="2"/>
  <c r="P803" i="2"/>
  <c r="R803" i="2" s="1"/>
  <c r="T803" i="2" s="1"/>
  <c r="V803" i="2" s="1"/>
  <c r="X803" i="2" s="1"/>
  <c r="V1472" i="2" l="1"/>
  <c r="X16" i="2"/>
  <c r="X1472" i="2" s="1"/>
  <c r="P802" i="2"/>
  <c r="R802" i="2" s="1"/>
  <c r="T802" i="2" s="1"/>
  <c r="V802" i="2" s="1"/>
  <c r="X802" i="2" s="1"/>
  <c r="Z802" i="2" s="1"/>
  <c r="P801" i="2" l="1"/>
  <c r="R801" i="2" s="1"/>
  <c r="T801" i="2" s="1"/>
  <c r="V801" i="2" s="1"/>
  <c r="X801" i="2" s="1"/>
  <c r="P800" i="2" l="1"/>
  <c r="R800" i="2" s="1"/>
  <c r="T800" i="2" s="1"/>
  <c r="V800" i="2" s="1"/>
  <c r="X800" i="2" s="1"/>
  <c r="Z800" i="2" s="1"/>
  <c r="P799" i="2" l="1"/>
  <c r="R799" i="2" s="1"/>
  <c r="T799" i="2" s="1"/>
  <c r="V799" i="2" s="1"/>
  <c r="X799" i="2" s="1"/>
  <c r="P798" i="2" l="1"/>
  <c r="R798" i="2" s="1"/>
  <c r="T798" i="2" s="1"/>
  <c r="V798" i="2" s="1"/>
  <c r="X798" i="2" s="1"/>
  <c r="Z798" i="2" s="1"/>
  <c r="P797" i="2" l="1"/>
  <c r="R797" i="2" s="1"/>
  <c r="T797" i="2" s="1"/>
  <c r="V797" i="2" s="1"/>
  <c r="X797" i="2" s="1"/>
  <c r="P796" i="2" l="1"/>
  <c r="R796" i="2" s="1"/>
  <c r="T796" i="2" s="1"/>
  <c r="V796" i="2" s="1"/>
  <c r="X796" i="2" s="1"/>
  <c r="Z796" i="2" s="1"/>
  <c r="P795" i="2" l="1"/>
  <c r="R795" i="2" s="1"/>
  <c r="T795" i="2" s="1"/>
  <c r="V795" i="2" s="1"/>
  <c r="X795" i="2" s="1"/>
  <c r="P794" i="2" l="1"/>
  <c r="R794" i="2" s="1"/>
  <c r="T794" i="2" s="1"/>
  <c r="V794" i="2" s="1"/>
  <c r="X794" i="2" s="1"/>
  <c r="Z794" i="2" s="1"/>
  <c r="P793" i="2" l="1"/>
  <c r="R793" i="2" s="1"/>
  <c r="T793" i="2" s="1"/>
  <c r="V793" i="2" s="1"/>
  <c r="X793" i="2" s="1"/>
  <c r="P792" i="2" l="1"/>
  <c r="R792" i="2" s="1"/>
  <c r="T792" i="2" s="1"/>
  <c r="V792" i="2" s="1"/>
  <c r="X792" i="2" s="1"/>
  <c r="Z792" i="2" s="1"/>
  <c r="P791" i="2" l="1"/>
  <c r="R791" i="2" s="1"/>
  <c r="T791" i="2" s="1"/>
  <c r="V791" i="2" s="1"/>
  <c r="X791" i="2" s="1"/>
  <c r="P790" i="2" l="1"/>
  <c r="R790" i="2" s="1"/>
  <c r="T790" i="2" s="1"/>
  <c r="V790" i="2" s="1"/>
  <c r="X790" i="2" s="1"/>
  <c r="Z790" i="2" s="1"/>
  <c r="P789" i="2" l="1"/>
  <c r="R789" i="2" s="1"/>
  <c r="T789" i="2" s="1"/>
  <c r="V789" i="2" s="1"/>
  <c r="X789" i="2" s="1"/>
  <c r="P788" i="2" l="1"/>
  <c r="R788" i="2" s="1"/>
  <c r="T788" i="2" s="1"/>
  <c r="V788" i="2" s="1"/>
  <c r="X788" i="2" s="1"/>
  <c r="Z788" i="2" s="1"/>
  <c r="P787" i="2" l="1"/>
  <c r="R787" i="2" s="1"/>
  <c r="T787" i="2" s="1"/>
  <c r="V787" i="2" s="1"/>
  <c r="X787" i="2" s="1"/>
  <c r="P786" i="2" l="1"/>
  <c r="R786" i="2" s="1"/>
  <c r="T786" i="2" s="1"/>
  <c r="V786" i="2" s="1"/>
  <c r="X786" i="2" s="1"/>
  <c r="Z786" i="2" s="1"/>
  <c r="P785" i="2" l="1"/>
  <c r="R785" i="2" s="1"/>
  <c r="T785" i="2" s="1"/>
  <c r="V785" i="2" s="1"/>
  <c r="X785" i="2" s="1"/>
  <c r="P784" i="2" l="1"/>
  <c r="R784" i="2" s="1"/>
  <c r="T784" i="2" s="1"/>
  <c r="V784" i="2" s="1"/>
  <c r="X784" i="2" s="1"/>
  <c r="Z784" i="2" s="1"/>
  <c r="P783" i="2" l="1"/>
  <c r="R783" i="2" s="1"/>
  <c r="T783" i="2" s="1"/>
  <c r="V783" i="2" s="1"/>
  <c r="X783" i="2" s="1"/>
  <c r="P782" i="2" l="1"/>
  <c r="R782" i="2" s="1"/>
  <c r="T782" i="2" s="1"/>
  <c r="V782" i="2" s="1"/>
  <c r="X782" i="2" s="1"/>
  <c r="Z782" i="2" s="1"/>
  <c r="P781" i="2" l="1"/>
  <c r="R781" i="2" s="1"/>
  <c r="T781" i="2" s="1"/>
  <c r="V781" i="2" s="1"/>
  <c r="X781" i="2" s="1"/>
  <c r="P780" i="2" l="1"/>
  <c r="R780" i="2" s="1"/>
  <c r="T780" i="2" s="1"/>
  <c r="V780" i="2" s="1"/>
  <c r="X780" i="2" s="1"/>
  <c r="Z780" i="2" s="1"/>
  <c r="P779" i="2" l="1"/>
  <c r="R779" i="2" s="1"/>
  <c r="T779" i="2" s="1"/>
  <c r="V779" i="2" s="1"/>
  <c r="X779" i="2" s="1"/>
  <c r="P778" i="2" l="1"/>
  <c r="R778" i="2" s="1"/>
  <c r="T778" i="2" s="1"/>
  <c r="V778" i="2" s="1"/>
  <c r="X778" i="2" s="1"/>
  <c r="Z778" i="2" s="1"/>
  <c r="P777" i="2" l="1"/>
  <c r="R777" i="2" s="1"/>
  <c r="T777" i="2" s="1"/>
  <c r="V777" i="2" s="1"/>
  <c r="X777" i="2" s="1"/>
  <c r="P776" i="2" l="1"/>
  <c r="R776" i="2" s="1"/>
  <c r="T776" i="2" s="1"/>
  <c r="V776" i="2" s="1"/>
  <c r="X776" i="2" s="1"/>
  <c r="Z776" i="2" s="1"/>
  <c r="P775" i="2" l="1"/>
  <c r="R775" i="2" s="1"/>
  <c r="T775" i="2" s="1"/>
  <c r="V775" i="2" s="1"/>
  <c r="X775" i="2" s="1"/>
  <c r="P774" i="2" l="1"/>
  <c r="R774" i="2" s="1"/>
  <c r="T774" i="2" s="1"/>
  <c r="V774" i="2" s="1"/>
  <c r="X774" i="2" s="1"/>
  <c r="Z774" i="2" s="1"/>
  <c r="P773" i="2" l="1"/>
  <c r="R773" i="2" s="1"/>
  <c r="T773" i="2" s="1"/>
  <c r="V773" i="2" s="1"/>
  <c r="X773" i="2" s="1"/>
  <c r="P772" i="2" l="1"/>
  <c r="R772" i="2" s="1"/>
  <c r="T772" i="2" s="1"/>
  <c r="V772" i="2" s="1"/>
  <c r="X772" i="2" s="1"/>
  <c r="Z772" i="2" s="1"/>
  <c r="P771" i="2" l="1"/>
  <c r="R771" i="2" s="1"/>
  <c r="T771" i="2" s="1"/>
  <c r="V771" i="2" s="1"/>
  <c r="X771" i="2" s="1"/>
  <c r="P770" i="2" l="1"/>
  <c r="R770" i="2" s="1"/>
  <c r="T770" i="2" s="1"/>
  <c r="V770" i="2" s="1"/>
  <c r="X770" i="2" s="1"/>
  <c r="Z770" i="2" s="1"/>
  <c r="P769" i="2" l="1"/>
  <c r="R769" i="2" s="1"/>
  <c r="T769" i="2" s="1"/>
  <c r="V769" i="2" s="1"/>
  <c r="X769" i="2" s="1"/>
  <c r="P768" i="2" l="1"/>
  <c r="R768" i="2" s="1"/>
  <c r="T768" i="2" s="1"/>
  <c r="V768" i="2" s="1"/>
  <c r="X768" i="2" s="1"/>
  <c r="Z768" i="2" s="1"/>
  <c r="P767" i="2" l="1"/>
  <c r="R767" i="2" s="1"/>
  <c r="T767" i="2" s="1"/>
  <c r="V767" i="2" s="1"/>
  <c r="X767" i="2" s="1"/>
  <c r="P766" i="2" l="1"/>
  <c r="R766" i="2" s="1"/>
  <c r="T766" i="2" s="1"/>
  <c r="V766" i="2" s="1"/>
  <c r="X766" i="2" s="1"/>
  <c r="Z766" i="2" s="1"/>
  <c r="P765" i="2" l="1"/>
  <c r="R765" i="2" s="1"/>
  <c r="T765" i="2" s="1"/>
  <c r="V765" i="2" s="1"/>
  <c r="X765" i="2" s="1"/>
  <c r="P764" i="2" l="1"/>
  <c r="R764" i="2" s="1"/>
  <c r="T764" i="2" s="1"/>
  <c r="V764" i="2" s="1"/>
  <c r="X764" i="2" s="1"/>
  <c r="Z764" i="2" s="1"/>
  <c r="P763" i="2" l="1"/>
  <c r="R763" i="2" s="1"/>
  <c r="T763" i="2" s="1"/>
  <c r="V763" i="2" s="1"/>
  <c r="X763" i="2" s="1"/>
  <c r="P762" i="2" l="1"/>
  <c r="R762" i="2" s="1"/>
  <c r="T762" i="2" s="1"/>
  <c r="V762" i="2" s="1"/>
  <c r="X762" i="2" s="1"/>
  <c r="Z762" i="2" s="1"/>
  <c r="P761" i="2" l="1"/>
  <c r="R761" i="2" s="1"/>
  <c r="T761" i="2" s="1"/>
  <c r="V761" i="2" s="1"/>
  <c r="X761" i="2" s="1"/>
  <c r="P760" i="2" l="1"/>
  <c r="R760" i="2" s="1"/>
  <c r="T760" i="2" s="1"/>
  <c r="V760" i="2" s="1"/>
  <c r="X760" i="2" s="1"/>
  <c r="Z760" i="2" s="1"/>
  <c r="P759" i="2" l="1"/>
  <c r="R759" i="2" s="1"/>
  <c r="T759" i="2" s="1"/>
  <c r="V759" i="2" s="1"/>
  <c r="X759" i="2" s="1"/>
  <c r="P758" i="2" l="1"/>
  <c r="R758" i="2" s="1"/>
  <c r="T758" i="2" s="1"/>
  <c r="V758" i="2" s="1"/>
  <c r="X758" i="2" s="1"/>
  <c r="Z758" i="2" s="1"/>
  <c r="P757" i="2" l="1"/>
  <c r="R757" i="2" s="1"/>
  <c r="T757" i="2" s="1"/>
  <c r="V757" i="2" s="1"/>
  <c r="X757" i="2" s="1"/>
  <c r="P756" i="2" l="1"/>
  <c r="R756" i="2" s="1"/>
  <c r="T756" i="2" s="1"/>
  <c r="V756" i="2" s="1"/>
  <c r="X756" i="2" s="1"/>
  <c r="Z756" i="2" s="1"/>
  <c r="P755" i="2" l="1"/>
  <c r="R755" i="2" s="1"/>
  <c r="T755" i="2" s="1"/>
  <c r="V755" i="2" s="1"/>
  <c r="X755" i="2" s="1"/>
  <c r="P754" i="2" l="1"/>
  <c r="R754" i="2" s="1"/>
  <c r="T754" i="2" s="1"/>
  <c r="V754" i="2" s="1"/>
  <c r="X754" i="2" s="1"/>
  <c r="Z754" i="2" s="1"/>
  <c r="P753" i="2" l="1"/>
  <c r="R753" i="2" s="1"/>
  <c r="T753" i="2" s="1"/>
  <c r="V753" i="2" s="1"/>
  <c r="X753" i="2" s="1"/>
  <c r="P752" i="2" l="1"/>
  <c r="R752" i="2" s="1"/>
  <c r="T752" i="2" s="1"/>
  <c r="V752" i="2" s="1"/>
  <c r="X752" i="2" s="1"/>
  <c r="Z752" i="2" s="1"/>
  <c r="P751" i="2" l="1"/>
  <c r="R751" i="2" s="1"/>
  <c r="T751" i="2" s="1"/>
  <c r="V751" i="2" s="1"/>
  <c r="X751" i="2" s="1"/>
  <c r="P750" i="2" l="1"/>
  <c r="R750" i="2" s="1"/>
  <c r="T750" i="2" s="1"/>
  <c r="V750" i="2" s="1"/>
  <c r="X750" i="2" s="1"/>
  <c r="Z750" i="2" s="1"/>
  <c r="P749" i="2" l="1"/>
  <c r="R749" i="2" s="1"/>
  <c r="T749" i="2" s="1"/>
  <c r="V749" i="2" s="1"/>
  <c r="X749" i="2" s="1"/>
  <c r="P748" i="2" l="1"/>
  <c r="R748" i="2" s="1"/>
  <c r="T748" i="2" s="1"/>
  <c r="V748" i="2" s="1"/>
  <c r="X748" i="2" s="1"/>
  <c r="Z748" i="2" s="1"/>
  <c r="P747" i="2" l="1"/>
  <c r="R747" i="2" s="1"/>
  <c r="T747" i="2" s="1"/>
  <c r="V747" i="2" s="1"/>
  <c r="X747" i="2" s="1"/>
  <c r="P746" i="2" l="1"/>
  <c r="R746" i="2" s="1"/>
  <c r="T746" i="2" s="1"/>
  <c r="V746" i="2" s="1"/>
  <c r="X746" i="2" s="1"/>
  <c r="Z746" i="2" s="1"/>
  <c r="P745" i="2" l="1"/>
  <c r="R745" i="2" s="1"/>
  <c r="T745" i="2" s="1"/>
  <c r="V745" i="2" s="1"/>
  <c r="X745" i="2" s="1"/>
  <c r="P744" i="2" l="1"/>
  <c r="R744" i="2" s="1"/>
  <c r="T744" i="2" s="1"/>
  <c r="V744" i="2" s="1"/>
  <c r="X744" i="2" s="1"/>
  <c r="Z744" i="2" s="1"/>
  <c r="P743" i="2" l="1"/>
  <c r="R743" i="2" s="1"/>
  <c r="T743" i="2" s="1"/>
  <c r="V743" i="2" s="1"/>
  <c r="X743" i="2" s="1"/>
  <c r="P742" i="2" l="1"/>
  <c r="R742" i="2" s="1"/>
  <c r="T742" i="2" s="1"/>
  <c r="V742" i="2" s="1"/>
  <c r="X742" i="2" s="1"/>
  <c r="Z742" i="2" s="1"/>
  <c r="P741" i="2" l="1"/>
  <c r="R741" i="2" s="1"/>
  <c r="T741" i="2" s="1"/>
  <c r="V741" i="2" s="1"/>
  <c r="X741" i="2" s="1"/>
  <c r="P740" i="2" l="1"/>
  <c r="R740" i="2" s="1"/>
  <c r="T740" i="2" s="1"/>
  <c r="V740" i="2" s="1"/>
  <c r="X740" i="2" s="1"/>
  <c r="Z740" i="2" s="1"/>
  <c r="P739" i="2" l="1"/>
  <c r="R739" i="2" s="1"/>
  <c r="T739" i="2" s="1"/>
  <c r="V739" i="2" s="1"/>
  <c r="X739" i="2" s="1"/>
  <c r="P738" i="2" l="1"/>
  <c r="R738" i="2" s="1"/>
  <c r="T738" i="2" s="1"/>
  <c r="V738" i="2" s="1"/>
  <c r="X738" i="2" s="1"/>
  <c r="Z738" i="2" s="1"/>
  <c r="P737" i="2" l="1"/>
  <c r="R737" i="2" s="1"/>
  <c r="T737" i="2" s="1"/>
  <c r="V737" i="2" s="1"/>
  <c r="X737" i="2" s="1"/>
  <c r="P736" i="2" l="1"/>
  <c r="R736" i="2" s="1"/>
  <c r="T736" i="2" s="1"/>
  <c r="V736" i="2" s="1"/>
  <c r="X736" i="2" s="1"/>
  <c r="Z736" i="2" s="1"/>
  <c r="P735" i="2" l="1"/>
  <c r="R735" i="2" s="1"/>
  <c r="T735" i="2" s="1"/>
  <c r="V735" i="2" s="1"/>
  <c r="X735" i="2" s="1"/>
  <c r="P734" i="2" l="1"/>
  <c r="R734" i="2" s="1"/>
  <c r="T734" i="2" s="1"/>
  <c r="V734" i="2" s="1"/>
  <c r="X734" i="2" s="1"/>
  <c r="Z734" i="2" s="1"/>
  <c r="P733" i="2" l="1"/>
  <c r="R733" i="2" s="1"/>
  <c r="T733" i="2" s="1"/>
  <c r="V733" i="2" s="1"/>
  <c r="X733" i="2" s="1"/>
  <c r="P732" i="2" l="1"/>
  <c r="R732" i="2" s="1"/>
  <c r="T732" i="2" s="1"/>
  <c r="V732" i="2" s="1"/>
  <c r="X732" i="2" s="1"/>
  <c r="Z732" i="2" s="1"/>
  <c r="P731" i="2" l="1"/>
  <c r="R731" i="2" s="1"/>
  <c r="T731" i="2" s="1"/>
  <c r="V731" i="2" s="1"/>
  <c r="X731" i="2" s="1"/>
  <c r="P730" i="2" l="1"/>
  <c r="R730" i="2" s="1"/>
  <c r="T730" i="2" s="1"/>
  <c r="V730" i="2" s="1"/>
  <c r="X730" i="2" s="1"/>
  <c r="Z730" i="2" s="1"/>
  <c r="P729" i="2" l="1"/>
  <c r="R729" i="2" s="1"/>
  <c r="T729" i="2" s="1"/>
  <c r="V729" i="2" s="1"/>
  <c r="X729" i="2" s="1"/>
  <c r="P728" i="2" l="1"/>
  <c r="R728" i="2" s="1"/>
  <c r="T728" i="2" s="1"/>
  <c r="V728" i="2" s="1"/>
  <c r="X728" i="2" s="1"/>
  <c r="Z728" i="2" s="1"/>
  <c r="P727" i="2" l="1"/>
  <c r="R727" i="2" s="1"/>
  <c r="T727" i="2" s="1"/>
  <c r="V727" i="2" s="1"/>
  <c r="X727" i="2" s="1"/>
  <c r="P726" i="2" l="1"/>
  <c r="R726" i="2" s="1"/>
  <c r="T726" i="2" s="1"/>
  <c r="V726" i="2" s="1"/>
  <c r="X726" i="2" s="1"/>
  <c r="Z726" i="2" s="1"/>
  <c r="P725" i="2" l="1"/>
  <c r="R725" i="2" s="1"/>
  <c r="T725" i="2" s="1"/>
  <c r="V725" i="2" s="1"/>
  <c r="X725" i="2" s="1"/>
  <c r="P724" i="2" l="1"/>
  <c r="R724" i="2" s="1"/>
  <c r="T724" i="2" s="1"/>
  <c r="V724" i="2" s="1"/>
  <c r="X724" i="2" s="1"/>
  <c r="Z724" i="2" s="1"/>
  <c r="P723" i="2" l="1"/>
  <c r="R723" i="2" s="1"/>
  <c r="T723" i="2" s="1"/>
  <c r="V723" i="2" s="1"/>
  <c r="X723" i="2" s="1"/>
  <c r="P722" i="2" l="1"/>
  <c r="R722" i="2" s="1"/>
  <c r="T722" i="2" s="1"/>
  <c r="V722" i="2" s="1"/>
  <c r="X722" i="2" s="1"/>
  <c r="Z722" i="2" s="1"/>
  <c r="P721" i="2" l="1"/>
  <c r="R721" i="2" s="1"/>
  <c r="T721" i="2" s="1"/>
  <c r="V721" i="2" s="1"/>
  <c r="X721" i="2" s="1"/>
  <c r="P718" i="2" l="1"/>
  <c r="R718" i="2" s="1"/>
  <c r="T718" i="2" s="1"/>
  <c r="V718" i="2" s="1"/>
  <c r="X718" i="2" s="1"/>
  <c r="Z718" i="2" s="1"/>
  <c r="P717" i="2" l="1"/>
  <c r="R717" i="2" s="1"/>
  <c r="T717" i="2" s="1"/>
  <c r="V717" i="2" s="1"/>
  <c r="X717" i="2" s="1"/>
  <c r="P716" i="2" l="1"/>
  <c r="R716" i="2" s="1"/>
  <c r="T716" i="2" s="1"/>
  <c r="V716" i="2" s="1"/>
  <c r="X716" i="2" s="1"/>
  <c r="Z716" i="2" s="1"/>
  <c r="P715" i="2" l="1"/>
  <c r="R715" i="2" s="1"/>
  <c r="T715" i="2" s="1"/>
  <c r="V715" i="2" s="1"/>
  <c r="X715" i="2" s="1"/>
  <c r="P714" i="2" l="1"/>
  <c r="R714" i="2" s="1"/>
  <c r="T714" i="2" s="1"/>
  <c r="V714" i="2" s="1"/>
  <c r="X714" i="2" s="1"/>
  <c r="Z714" i="2" s="1"/>
  <c r="P713" i="2" l="1"/>
  <c r="R713" i="2" s="1"/>
  <c r="T713" i="2" s="1"/>
  <c r="V713" i="2" s="1"/>
  <c r="X713" i="2" s="1"/>
  <c r="P712" i="2" l="1"/>
  <c r="R712" i="2" s="1"/>
  <c r="T712" i="2" s="1"/>
  <c r="V712" i="2" s="1"/>
  <c r="X712" i="2" s="1"/>
  <c r="Z712" i="2" s="1"/>
  <c r="P711" i="2" l="1"/>
  <c r="R711" i="2" s="1"/>
  <c r="T711" i="2" s="1"/>
  <c r="V711" i="2" s="1"/>
  <c r="X711" i="2" s="1"/>
  <c r="P710" i="2" l="1"/>
  <c r="R710" i="2" s="1"/>
  <c r="T710" i="2" s="1"/>
  <c r="V710" i="2" s="1"/>
  <c r="X710" i="2" s="1"/>
  <c r="Z710" i="2" s="1"/>
  <c r="P709" i="2" l="1"/>
  <c r="R709" i="2" s="1"/>
  <c r="T709" i="2" s="1"/>
  <c r="V709" i="2" s="1"/>
  <c r="X709" i="2" s="1"/>
  <c r="P708" i="2" l="1"/>
  <c r="R708" i="2" s="1"/>
  <c r="T708" i="2" s="1"/>
  <c r="V708" i="2" s="1"/>
  <c r="X708" i="2" s="1"/>
  <c r="Z708" i="2" s="1"/>
  <c r="P707" i="2" l="1"/>
  <c r="R707" i="2" s="1"/>
  <c r="T707" i="2" s="1"/>
  <c r="V707" i="2" s="1"/>
  <c r="X707" i="2" s="1"/>
  <c r="P706" i="2" l="1"/>
  <c r="R706" i="2" s="1"/>
  <c r="T706" i="2" s="1"/>
  <c r="V706" i="2" s="1"/>
  <c r="X706" i="2" s="1"/>
  <c r="Z706" i="2" s="1"/>
  <c r="P705" i="2" l="1"/>
  <c r="R705" i="2" s="1"/>
  <c r="T705" i="2" s="1"/>
  <c r="V705" i="2" s="1"/>
  <c r="X705" i="2" s="1"/>
  <c r="P704" i="2" l="1"/>
  <c r="R704" i="2" s="1"/>
  <c r="T704" i="2" s="1"/>
  <c r="V704" i="2" s="1"/>
  <c r="X704" i="2" s="1"/>
  <c r="Z704" i="2" s="1"/>
  <c r="P703" i="2" l="1"/>
  <c r="R703" i="2" s="1"/>
  <c r="T703" i="2" s="1"/>
  <c r="V703" i="2" s="1"/>
  <c r="X703" i="2" s="1"/>
  <c r="P702" i="2" l="1"/>
  <c r="R702" i="2" s="1"/>
  <c r="T702" i="2" s="1"/>
  <c r="V702" i="2" s="1"/>
  <c r="X702" i="2" s="1"/>
  <c r="Z702" i="2" s="1"/>
  <c r="P701" i="2" l="1"/>
  <c r="R701" i="2" s="1"/>
  <c r="T701" i="2" s="1"/>
  <c r="V701" i="2" s="1"/>
  <c r="X701" i="2" s="1"/>
  <c r="P700" i="2" l="1"/>
  <c r="R700" i="2" s="1"/>
  <c r="T700" i="2" s="1"/>
  <c r="V700" i="2" s="1"/>
  <c r="X700" i="2" s="1"/>
  <c r="Z700" i="2" s="1"/>
  <c r="P699" i="2" l="1"/>
  <c r="R699" i="2" s="1"/>
  <c r="T699" i="2" s="1"/>
  <c r="V699" i="2" s="1"/>
  <c r="X699" i="2" s="1"/>
  <c r="P698" i="2" l="1"/>
  <c r="R698" i="2" s="1"/>
  <c r="T698" i="2" s="1"/>
  <c r="V698" i="2" s="1"/>
  <c r="X698" i="2" s="1"/>
  <c r="Z698" i="2" s="1"/>
  <c r="P697" i="2" l="1"/>
  <c r="R697" i="2" s="1"/>
  <c r="T697" i="2" s="1"/>
  <c r="V697" i="2" s="1"/>
  <c r="X697" i="2" s="1"/>
  <c r="P696" i="2" l="1"/>
  <c r="R696" i="2" s="1"/>
  <c r="T696" i="2" s="1"/>
  <c r="V696" i="2" s="1"/>
  <c r="X696" i="2" s="1"/>
  <c r="Z696" i="2" s="1"/>
  <c r="P695" i="2" l="1"/>
  <c r="R695" i="2" s="1"/>
  <c r="T695" i="2" s="1"/>
  <c r="V695" i="2" s="1"/>
  <c r="X695" i="2" s="1"/>
  <c r="P694" i="2" l="1"/>
  <c r="R694" i="2" s="1"/>
  <c r="T694" i="2" s="1"/>
  <c r="V694" i="2" s="1"/>
  <c r="X694" i="2" s="1"/>
  <c r="Z694" i="2" s="1"/>
  <c r="P693" i="2" l="1"/>
  <c r="R693" i="2" s="1"/>
  <c r="T693" i="2" s="1"/>
  <c r="V693" i="2" s="1"/>
  <c r="X693" i="2" s="1"/>
  <c r="P692" i="2" l="1"/>
  <c r="R692" i="2" s="1"/>
  <c r="T692" i="2" s="1"/>
  <c r="V692" i="2" s="1"/>
  <c r="X692" i="2" s="1"/>
  <c r="Z692" i="2" s="1"/>
  <c r="P691" i="2" l="1"/>
  <c r="R691" i="2" s="1"/>
  <c r="T691" i="2" s="1"/>
  <c r="V691" i="2" s="1"/>
  <c r="X691" i="2" s="1"/>
  <c r="P690" i="2" l="1"/>
  <c r="R690" i="2" s="1"/>
  <c r="T690" i="2" s="1"/>
  <c r="V690" i="2" s="1"/>
  <c r="X690" i="2" s="1"/>
  <c r="Z690" i="2" s="1"/>
  <c r="P689" i="2" l="1"/>
  <c r="R689" i="2" s="1"/>
  <c r="T689" i="2" s="1"/>
  <c r="V689" i="2" s="1"/>
  <c r="X689" i="2" s="1"/>
  <c r="P688" i="2" l="1"/>
  <c r="R688" i="2" s="1"/>
  <c r="T688" i="2" s="1"/>
  <c r="V688" i="2" s="1"/>
  <c r="X688" i="2" s="1"/>
  <c r="Z688" i="2" s="1"/>
  <c r="P687" i="2" l="1"/>
  <c r="R687" i="2" s="1"/>
  <c r="T687" i="2" s="1"/>
  <c r="V687" i="2" s="1"/>
  <c r="X687" i="2" s="1"/>
  <c r="P686" i="2" l="1"/>
  <c r="R686" i="2" s="1"/>
  <c r="T686" i="2" s="1"/>
  <c r="V686" i="2" s="1"/>
  <c r="X686" i="2" s="1"/>
  <c r="Z686" i="2" s="1"/>
  <c r="P685" i="2" l="1"/>
  <c r="R685" i="2" s="1"/>
  <c r="T685" i="2" s="1"/>
  <c r="V685" i="2" s="1"/>
  <c r="X685" i="2" s="1"/>
  <c r="P684" i="2" l="1"/>
  <c r="R684" i="2" s="1"/>
  <c r="T684" i="2" s="1"/>
  <c r="V684" i="2" s="1"/>
  <c r="X684" i="2" s="1"/>
  <c r="Z684" i="2" s="1"/>
  <c r="P683" i="2" l="1"/>
  <c r="R683" i="2" s="1"/>
  <c r="T683" i="2" s="1"/>
  <c r="V683" i="2" s="1"/>
  <c r="X683" i="2" s="1"/>
  <c r="P682" i="2" l="1"/>
  <c r="R682" i="2" s="1"/>
  <c r="T682" i="2" s="1"/>
  <c r="V682" i="2" s="1"/>
  <c r="X682" i="2" s="1"/>
  <c r="Z682" i="2" s="1"/>
  <c r="P681" i="2" l="1"/>
  <c r="R681" i="2" s="1"/>
  <c r="T681" i="2" s="1"/>
  <c r="V681" i="2" s="1"/>
  <c r="X681" i="2" s="1"/>
  <c r="P680" i="2" l="1"/>
  <c r="R680" i="2" s="1"/>
  <c r="T680" i="2" s="1"/>
  <c r="V680" i="2" s="1"/>
  <c r="X680" i="2" s="1"/>
  <c r="Z680" i="2" s="1"/>
  <c r="P679" i="2" l="1"/>
  <c r="R679" i="2" s="1"/>
  <c r="T679" i="2" s="1"/>
  <c r="V679" i="2" s="1"/>
  <c r="X679" i="2" s="1"/>
  <c r="P678" i="2" l="1"/>
  <c r="R678" i="2" s="1"/>
  <c r="T678" i="2" s="1"/>
  <c r="V678" i="2" s="1"/>
  <c r="X678" i="2" s="1"/>
  <c r="Z678" i="2" s="1"/>
  <c r="P677" i="2" l="1"/>
  <c r="R677" i="2" s="1"/>
  <c r="T677" i="2" s="1"/>
  <c r="V677" i="2" s="1"/>
  <c r="X677" i="2" s="1"/>
  <c r="P676" i="2" l="1"/>
  <c r="R676" i="2" s="1"/>
  <c r="T676" i="2" s="1"/>
  <c r="V676" i="2" s="1"/>
  <c r="X676" i="2" s="1"/>
  <c r="Z676" i="2" s="1"/>
  <c r="P675" i="2" l="1"/>
  <c r="R675" i="2" s="1"/>
  <c r="T675" i="2" s="1"/>
  <c r="V675" i="2" s="1"/>
  <c r="X675" i="2" s="1"/>
  <c r="P674" i="2" l="1"/>
  <c r="R674" i="2" s="1"/>
  <c r="T674" i="2" s="1"/>
  <c r="V674" i="2" s="1"/>
  <c r="X674" i="2" s="1"/>
  <c r="Z674" i="2" s="1"/>
  <c r="P673" i="2" l="1"/>
  <c r="R673" i="2" s="1"/>
  <c r="T673" i="2" s="1"/>
  <c r="V673" i="2" s="1"/>
  <c r="X673" i="2" s="1"/>
  <c r="P672" i="2" l="1"/>
  <c r="R672" i="2" s="1"/>
  <c r="T672" i="2" s="1"/>
  <c r="V672" i="2" s="1"/>
  <c r="X672" i="2" s="1"/>
  <c r="Z672" i="2" s="1"/>
  <c r="P671" i="2" l="1"/>
  <c r="R671" i="2" s="1"/>
  <c r="T671" i="2" s="1"/>
  <c r="V671" i="2" s="1"/>
  <c r="X671" i="2" s="1"/>
  <c r="P670" i="2" l="1"/>
  <c r="R670" i="2" s="1"/>
  <c r="T670" i="2" s="1"/>
  <c r="V670" i="2" s="1"/>
  <c r="X670" i="2" s="1"/>
  <c r="Z670" i="2" s="1"/>
  <c r="P669" i="2" l="1"/>
  <c r="R669" i="2" s="1"/>
  <c r="T669" i="2" s="1"/>
  <c r="V669" i="2" s="1"/>
  <c r="X669" i="2" s="1"/>
  <c r="P668" i="2" l="1"/>
  <c r="R668" i="2" s="1"/>
  <c r="T668" i="2" s="1"/>
  <c r="V668" i="2" s="1"/>
  <c r="X668" i="2" s="1"/>
  <c r="Z668" i="2" s="1"/>
  <c r="P667" i="2" l="1"/>
  <c r="R667" i="2" s="1"/>
  <c r="T667" i="2" s="1"/>
  <c r="V667" i="2" s="1"/>
  <c r="X667" i="2" s="1"/>
  <c r="P666" i="2" l="1"/>
  <c r="R666" i="2" s="1"/>
  <c r="T666" i="2" s="1"/>
  <c r="V666" i="2" s="1"/>
  <c r="X666" i="2" s="1"/>
  <c r="Z666" i="2" s="1"/>
  <c r="P665" i="2" l="1"/>
  <c r="R665" i="2" s="1"/>
  <c r="T665" i="2" s="1"/>
  <c r="V665" i="2" s="1"/>
  <c r="X665" i="2" s="1"/>
  <c r="P664" i="2" l="1"/>
  <c r="R664" i="2" s="1"/>
  <c r="T664" i="2" s="1"/>
  <c r="V664" i="2" s="1"/>
  <c r="X664" i="2" s="1"/>
  <c r="Z664" i="2" s="1"/>
  <c r="P663" i="2" l="1"/>
  <c r="R663" i="2" s="1"/>
  <c r="T663" i="2" s="1"/>
  <c r="V663" i="2" s="1"/>
  <c r="X663" i="2" s="1"/>
  <c r="P662" i="2" l="1"/>
  <c r="R662" i="2" s="1"/>
  <c r="T662" i="2" s="1"/>
  <c r="V662" i="2" s="1"/>
  <c r="X662" i="2" s="1"/>
  <c r="Z662" i="2" s="1"/>
  <c r="P661" i="2" l="1"/>
  <c r="R661" i="2" s="1"/>
  <c r="T661" i="2" s="1"/>
  <c r="V661" i="2" s="1"/>
  <c r="X661" i="2" s="1"/>
  <c r="P660" i="2" l="1"/>
  <c r="R660" i="2" s="1"/>
  <c r="T660" i="2" s="1"/>
  <c r="V660" i="2" s="1"/>
  <c r="X660" i="2" s="1"/>
  <c r="Z660" i="2" s="1"/>
  <c r="P659" i="2" l="1"/>
  <c r="R659" i="2" s="1"/>
  <c r="T659" i="2" s="1"/>
  <c r="V659" i="2" s="1"/>
  <c r="X659" i="2" s="1"/>
  <c r="P658" i="2" l="1"/>
  <c r="R658" i="2" s="1"/>
  <c r="T658" i="2" s="1"/>
  <c r="V658" i="2" s="1"/>
  <c r="X658" i="2" s="1"/>
  <c r="Z658" i="2" s="1"/>
  <c r="P657" i="2" l="1"/>
  <c r="R657" i="2" s="1"/>
  <c r="T657" i="2" s="1"/>
  <c r="V657" i="2" s="1"/>
  <c r="X657" i="2" s="1"/>
  <c r="P656" i="2" l="1"/>
  <c r="R656" i="2" s="1"/>
  <c r="T656" i="2" s="1"/>
  <c r="V656" i="2" s="1"/>
  <c r="X656" i="2" s="1"/>
  <c r="Z656" i="2" s="1"/>
  <c r="P655" i="2" l="1"/>
  <c r="R655" i="2" s="1"/>
  <c r="T655" i="2" s="1"/>
  <c r="V655" i="2" s="1"/>
  <c r="X655" i="2" s="1"/>
  <c r="P654" i="2" l="1"/>
  <c r="R654" i="2" s="1"/>
  <c r="T654" i="2" s="1"/>
  <c r="V654" i="2" s="1"/>
  <c r="X654" i="2" s="1"/>
  <c r="Z654" i="2" s="1"/>
  <c r="P653" i="2" l="1"/>
  <c r="R653" i="2" s="1"/>
  <c r="T653" i="2" s="1"/>
  <c r="V653" i="2" s="1"/>
  <c r="X653" i="2" s="1"/>
  <c r="P652" i="2" l="1"/>
  <c r="R652" i="2" s="1"/>
  <c r="T652" i="2" s="1"/>
  <c r="V652" i="2" s="1"/>
  <c r="X652" i="2" s="1"/>
  <c r="Z652" i="2" s="1"/>
  <c r="P651" i="2" l="1"/>
  <c r="R651" i="2" s="1"/>
  <c r="T651" i="2" s="1"/>
  <c r="V651" i="2" s="1"/>
  <c r="X651" i="2" s="1"/>
  <c r="P650" i="2" l="1"/>
  <c r="R650" i="2" s="1"/>
  <c r="T650" i="2" s="1"/>
  <c r="V650" i="2" s="1"/>
  <c r="X650" i="2" s="1"/>
  <c r="Z650" i="2" s="1"/>
  <c r="P649" i="2" l="1"/>
  <c r="R649" i="2" s="1"/>
  <c r="T649" i="2" s="1"/>
  <c r="V649" i="2" s="1"/>
  <c r="X649" i="2" s="1"/>
  <c r="P648" i="2" l="1"/>
  <c r="R648" i="2" s="1"/>
  <c r="T648" i="2" s="1"/>
  <c r="V648" i="2" s="1"/>
  <c r="X648" i="2" s="1"/>
  <c r="Z648" i="2" s="1"/>
  <c r="P647" i="2" l="1"/>
  <c r="R647" i="2" s="1"/>
  <c r="T647" i="2" s="1"/>
  <c r="V647" i="2" s="1"/>
  <c r="X647" i="2" s="1"/>
  <c r="P646" i="2" l="1"/>
  <c r="R646" i="2" s="1"/>
  <c r="T646" i="2" s="1"/>
  <c r="V646" i="2" s="1"/>
  <c r="X646" i="2" s="1"/>
  <c r="Z646" i="2" s="1"/>
  <c r="P645" i="2" l="1"/>
  <c r="R645" i="2" s="1"/>
  <c r="T645" i="2" s="1"/>
  <c r="V645" i="2" s="1"/>
  <c r="X645" i="2" s="1"/>
  <c r="P644" i="2" l="1"/>
  <c r="R644" i="2" s="1"/>
  <c r="T644" i="2" s="1"/>
  <c r="V644" i="2" s="1"/>
  <c r="X644" i="2" s="1"/>
  <c r="Z644" i="2" s="1"/>
  <c r="P643" i="2" l="1"/>
  <c r="R643" i="2" s="1"/>
  <c r="T643" i="2" s="1"/>
  <c r="V643" i="2" s="1"/>
  <c r="X643" i="2" s="1"/>
  <c r="P642" i="2" l="1"/>
  <c r="R642" i="2" s="1"/>
  <c r="T642" i="2" s="1"/>
  <c r="V642" i="2" s="1"/>
  <c r="X642" i="2" s="1"/>
  <c r="Z642" i="2" s="1"/>
  <c r="P641" i="2" l="1"/>
  <c r="R641" i="2" s="1"/>
  <c r="T641" i="2" s="1"/>
  <c r="V641" i="2" s="1"/>
  <c r="X641" i="2" s="1"/>
  <c r="P640" i="2" l="1"/>
  <c r="R640" i="2" s="1"/>
  <c r="T640" i="2" s="1"/>
  <c r="V640" i="2" s="1"/>
  <c r="X640" i="2" s="1"/>
  <c r="Z640" i="2" s="1"/>
  <c r="P639" i="2" l="1"/>
  <c r="R639" i="2" s="1"/>
  <c r="T639" i="2" s="1"/>
  <c r="V639" i="2" s="1"/>
  <c r="X639" i="2" s="1"/>
  <c r="P638" i="2" l="1"/>
  <c r="R638" i="2" s="1"/>
  <c r="T638" i="2" s="1"/>
  <c r="V638" i="2" s="1"/>
  <c r="X638" i="2" s="1"/>
  <c r="Z638" i="2" s="1"/>
  <c r="P637" i="2" l="1"/>
  <c r="R637" i="2" s="1"/>
  <c r="T637" i="2" s="1"/>
  <c r="V637" i="2" s="1"/>
  <c r="X637" i="2" s="1"/>
  <c r="P636" i="2" l="1"/>
  <c r="R636" i="2" s="1"/>
  <c r="T636" i="2" s="1"/>
  <c r="V636" i="2" s="1"/>
  <c r="X636" i="2" s="1"/>
  <c r="Z636" i="2" s="1"/>
  <c r="P635" i="2" l="1"/>
  <c r="R635" i="2" s="1"/>
  <c r="T635" i="2" s="1"/>
  <c r="V635" i="2" s="1"/>
  <c r="X635" i="2" s="1"/>
  <c r="P634" i="2" l="1"/>
  <c r="R634" i="2" s="1"/>
  <c r="T634" i="2" s="1"/>
  <c r="V634" i="2" s="1"/>
  <c r="X634" i="2" s="1"/>
  <c r="Z634" i="2" s="1"/>
  <c r="P633" i="2" l="1"/>
  <c r="R633" i="2" s="1"/>
  <c r="T633" i="2" s="1"/>
  <c r="V633" i="2" s="1"/>
  <c r="X633" i="2" s="1"/>
  <c r="P632" i="2" l="1"/>
  <c r="R632" i="2" s="1"/>
  <c r="T632" i="2" s="1"/>
  <c r="V632" i="2" s="1"/>
  <c r="X632" i="2" s="1"/>
  <c r="Z632" i="2" s="1"/>
  <c r="P631" i="2" l="1"/>
  <c r="R631" i="2" s="1"/>
  <c r="T631" i="2" s="1"/>
  <c r="V631" i="2" s="1"/>
  <c r="X631" i="2" s="1"/>
  <c r="P630" i="2" l="1"/>
  <c r="R630" i="2" s="1"/>
  <c r="T630" i="2" s="1"/>
  <c r="V630" i="2" s="1"/>
  <c r="X630" i="2" s="1"/>
  <c r="Z630" i="2" s="1"/>
  <c r="P629" i="2" l="1"/>
  <c r="R629" i="2" s="1"/>
  <c r="T629" i="2" s="1"/>
  <c r="V629" i="2" s="1"/>
  <c r="X629" i="2" s="1"/>
  <c r="P628" i="2" l="1"/>
  <c r="R628" i="2" s="1"/>
  <c r="T628" i="2" s="1"/>
  <c r="V628" i="2" s="1"/>
  <c r="X628" i="2" s="1"/>
  <c r="Z628" i="2" s="1"/>
  <c r="P627" i="2" l="1"/>
  <c r="R627" i="2" s="1"/>
  <c r="T627" i="2" s="1"/>
  <c r="V627" i="2" s="1"/>
  <c r="X627" i="2" s="1"/>
  <c r="P626" i="2" l="1"/>
  <c r="R626" i="2" s="1"/>
  <c r="T626" i="2" s="1"/>
  <c r="V626" i="2" s="1"/>
  <c r="X626" i="2" s="1"/>
  <c r="Z626" i="2" s="1"/>
  <c r="P625" i="2" l="1"/>
  <c r="R625" i="2" s="1"/>
  <c r="T625" i="2" s="1"/>
  <c r="V625" i="2" s="1"/>
  <c r="X625" i="2" s="1"/>
  <c r="P624" i="2" l="1"/>
  <c r="R624" i="2" s="1"/>
  <c r="T624" i="2" s="1"/>
  <c r="V624" i="2" s="1"/>
  <c r="X624" i="2" s="1"/>
  <c r="Z624" i="2" s="1"/>
  <c r="P623" i="2" l="1"/>
  <c r="R623" i="2" s="1"/>
  <c r="T623" i="2" s="1"/>
  <c r="V623" i="2" s="1"/>
  <c r="X623" i="2" s="1"/>
  <c r="P622" i="2" l="1"/>
  <c r="R622" i="2" s="1"/>
  <c r="T622" i="2" s="1"/>
  <c r="V622" i="2" s="1"/>
  <c r="X622" i="2" s="1"/>
  <c r="Z622" i="2" s="1"/>
  <c r="P621" i="2" l="1"/>
  <c r="R621" i="2" s="1"/>
  <c r="T621" i="2" s="1"/>
  <c r="V621" i="2" s="1"/>
  <c r="X621" i="2" s="1"/>
  <c r="P620" i="2" l="1"/>
  <c r="R620" i="2" s="1"/>
  <c r="T620" i="2" s="1"/>
  <c r="V620" i="2" s="1"/>
  <c r="X620" i="2" s="1"/>
  <c r="Z620" i="2" s="1"/>
  <c r="P619" i="2" l="1"/>
  <c r="R619" i="2" s="1"/>
  <c r="T619" i="2" s="1"/>
  <c r="V619" i="2" s="1"/>
  <c r="X619" i="2" s="1"/>
  <c r="P618" i="2" l="1"/>
  <c r="R618" i="2" s="1"/>
  <c r="T618" i="2" s="1"/>
  <c r="V618" i="2" s="1"/>
  <c r="X618" i="2" s="1"/>
  <c r="Z618" i="2" s="1"/>
  <c r="P617" i="2" l="1"/>
  <c r="R617" i="2" s="1"/>
  <c r="T617" i="2" s="1"/>
  <c r="V617" i="2" s="1"/>
  <c r="X617" i="2" s="1"/>
  <c r="P616" i="2" l="1"/>
  <c r="R616" i="2" s="1"/>
  <c r="T616" i="2" s="1"/>
  <c r="V616" i="2" s="1"/>
  <c r="X616" i="2" s="1"/>
  <c r="Z616" i="2" s="1"/>
  <c r="P615" i="2" l="1"/>
  <c r="R615" i="2" s="1"/>
  <c r="T615" i="2" s="1"/>
  <c r="V615" i="2" s="1"/>
  <c r="X615" i="2" s="1"/>
  <c r="P614" i="2" l="1"/>
  <c r="R614" i="2" s="1"/>
  <c r="T614" i="2" s="1"/>
  <c r="V614" i="2" s="1"/>
  <c r="X614" i="2" s="1"/>
  <c r="Z614" i="2" s="1"/>
  <c r="P613" i="2" l="1"/>
  <c r="R613" i="2" s="1"/>
  <c r="T613" i="2" s="1"/>
  <c r="V613" i="2" s="1"/>
  <c r="X613" i="2" s="1"/>
  <c r="P612" i="2" l="1"/>
  <c r="R612" i="2" s="1"/>
  <c r="T612" i="2" s="1"/>
  <c r="V612" i="2" s="1"/>
  <c r="X612" i="2" s="1"/>
  <c r="Z612" i="2" s="1"/>
  <c r="P611" i="2" l="1"/>
  <c r="R611" i="2" s="1"/>
  <c r="T611" i="2" s="1"/>
  <c r="V611" i="2" s="1"/>
  <c r="X611" i="2" s="1"/>
  <c r="P610" i="2" l="1"/>
  <c r="R610" i="2" s="1"/>
  <c r="T610" i="2" s="1"/>
  <c r="V610" i="2" s="1"/>
  <c r="X610" i="2" s="1"/>
  <c r="Z610" i="2" s="1"/>
  <c r="P609" i="2" l="1"/>
  <c r="R609" i="2" s="1"/>
  <c r="T609" i="2" s="1"/>
  <c r="V609" i="2" s="1"/>
  <c r="X609" i="2" s="1"/>
  <c r="P608" i="2" l="1"/>
  <c r="R608" i="2" s="1"/>
  <c r="T608" i="2" s="1"/>
  <c r="V608" i="2" s="1"/>
  <c r="X608" i="2" s="1"/>
  <c r="Z608" i="2" s="1"/>
  <c r="P607" i="2" l="1"/>
  <c r="R607" i="2" s="1"/>
  <c r="T607" i="2" s="1"/>
  <c r="V607" i="2" s="1"/>
  <c r="X607" i="2" s="1"/>
  <c r="P606" i="2" l="1"/>
  <c r="R606" i="2" s="1"/>
  <c r="T606" i="2" s="1"/>
  <c r="V606" i="2" s="1"/>
  <c r="X606" i="2" s="1"/>
  <c r="Z606" i="2" s="1"/>
  <c r="P605" i="2" l="1"/>
  <c r="R605" i="2" s="1"/>
  <c r="T605" i="2" s="1"/>
  <c r="V605" i="2" s="1"/>
  <c r="X605" i="2" s="1"/>
  <c r="P604" i="2" l="1"/>
  <c r="R604" i="2" s="1"/>
  <c r="T604" i="2" s="1"/>
  <c r="V604" i="2" s="1"/>
  <c r="X604" i="2" s="1"/>
  <c r="Z604" i="2" s="1"/>
  <c r="P603" i="2" l="1"/>
  <c r="R603" i="2" s="1"/>
  <c r="T603" i="2" s="1"/>
  <c r="V603" i="2" s="1"/>
  <c r="X603" i="2" s="1"/>
  <c r="P602" i="2" l="1"/>
  <c r="R602" i="2" s="1"/>
  <c r="T602" i="2" s="1"/>
  <c r="V602" i="2" s="1"/>
  <c r="X602" i="2" s="1"/>
  <c r="Z602" i="2" s="1"/>
  <c r="P601" i="2" l="1"/>
  <c r="R601" i="2" s="1"/>
  <c r="T601" i="2" s="1"/>
  <c r="V601" i="2" s="1"/>
  <c r="X601" i="2" s="1"/>
  <c r="P599" i="2" l="1"/>
  <c r="R599" i="2" s="1"/>
  <c r="T599" i="2" s="1"/>
  <c r="V599" i="2" s="1"/>
  <c r="X599" i="2" s="1"/>
  <c r="P600" i="2"/>
  <c r="R600" i="2" s="1"/>
  <c r="T600" i="2" s="1"/>
  <c r="V600" i="2" s="1"/>
  <c r="X600" i="2" s="1"/>
  <c r="Z600" i="2" s="1"/>
  <c r="Z1472" i="2" s="1"/>
</calcChain>
</file>

<file path=xl/sharedStrings.xml><?xml version="1.0" encoding="utf-8"?>
<sst xmlns="http://schemas.openxmlformats.org/spreadsheetml/2006/main" count="4036" uniqueCount="1313">
  <si>
    <t>Название</t>
  </si>
  <si>
    <t>Целевая статья</t>
  </si>
  <si>
    <t/>
  </si>
  <si>
    <t>ИТОГО РАСХОДОВ</t>
  </si>
  <si>
    <t>Непрограммные направления деятельности</t>
  </si>
  <si>
    <t>9900000000</t>
  </si>
  <si>
    <t>Глава муниципального образования</t>
  </si>
  <si>
    <t>9900060010</t>
  </si>
  <si>
    <t>121</t>
  </si>
  <si>
    <t>129</t>
  </si>
  <si>
    <t>Содержание представительного органа муниципального округа - Совет депутатов муниципального образования «Муниципальный округ Завьяловский район Удмуртской Республики»</t>
  </si>
  <si>
    <t>9900060041</t>
  </si>
  <si>
    <t>0600000000</t>
  </si>
  <si>
    <t>Подпрограмма «Безопасное детство»</t>
  </si>
  <si>
    <t>0620000000</t>
  </si>
  <si>
    <t>Мероприятия, направленные на ранее выявление детского и семейного неблагополучия</t>
  </si>
  <si>
    <t>0620100000</t>
  </si>
  <si>
    <t>Создание и организация деятельности комиссий по делам несовершеннолетних и защите их прав</t>
  </si>
  <si>
    <t>0620104350</t>
  </si>
  <si>
    <t>Подпрограмма «Социальная поддержка и обеспечение жильем отдельных категорий граждан, формирование условий устойчивого развития доступной среды для инвалидов и других маломобильных групп населения»</t>
  </si>
  <si>
    <t>0630000000</t>
  </si>
  <si>
    <t>Организация обеспечения жильем льготных категорий граждан</t>
  </si>
  <si>
    <t>0630300000</t>
  </si>
  <si>
    <t>Расходы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</si>
  <si>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0630307860</t>
  </si>
  <si>
    <t>1400000000</t>
  </si>
  <si>
    <t>Подпрограмма «Совершенствование системы муниципального управления»</t>
  </si>
  <si>
    <t>1410000000</t>
  </si>
  <si>
    <t>Обеспечение деятельности муниципальных учреждений</t>
  </si>
  <si>
    <t>1410600000</t>
  </si>
  <si>
    <t>Оказание муниципальными учреждениями муниципальных услуг, выполнение работ, финансовое обеспечение деятельности муниципальных учреждений</t>
  </si>
  <si>
    <t>1410666770</t>
  </si>
  <si>
    <t>122</t>
  </si>
  <si>
    <t>242</t>
  </si>
  <si>
    <t>244</t>
  </si>
  <si>
    <t>247</t>
  </si>
  <si>
    <t>851</t>
  </si>
  <si>
    <t>Уплата прочих налогов, сборов</t>
  </si>
  <si>
    <t>852</t>
  </si>
  <si>
    <t>Уплата иных платежей</t>
  </si>
  <si>
    <t>853</t>
  </si>
  <si>
    <t>Расходы на уплату земельного налога</t>
  </si>
  <si>
    <t>Обеспечение деятельности Администрации</t>
  </si>
  <si>
    <t>1410700000</t>
  </si>
  <si>
    <t>Центральный аппарат</t>
  </si>
  <si>
    <t>1410760030</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</si>
  <si>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</si>
  <si>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9900051200</t>
  </si>
  <si>
    <t>0900000000</t>
  </si>
  <si>
    <t>Создание условий для реализации управления муниципальными финансами</t>
  </si>
  <si>
    <t>0900500000</t>
  </si>
  <si>
    <t>0900560030</t>
  </si>
  <si>
    <t>Контрольно-счетный орган муниципального образования</t>
  </si>
  <si>
    <t>9900060050</t>
  </si>
  <si>
    <t>Прочая закупка товаров, работ и услуг</t>
  </si>
  <si>
    <t>Резервные фонды</t>
  </si>
  <si>
    <t>Нормативно-методическое обеспечение и организация бюджетного процесса</t>
  </si>
  <si>
    <t>0900100000</t>
  </si>
  <si>
    <t>0900160080</t>
  </si>
  <si>
    <t>870</t>
  </si>
  <si>
    <t>Муниципальная программа "Развитие образования"</t>
  </si>
  <si>
    <t>0100000000</t>
  </si>
  <si>
    <t>Подпрограмма «Создание условий для реализации муниципальной программы»</t>
  </si>
  <si>
    <t>0140000000</t>
  </si>
  <si>
    <t>Обеспечение деятельности службы материально-технического обеспечения</t>
  </si>
  <si>
    <t>0140200000</t>
  </si>
  <si>
    <t>612</t>
  </si>
  <si>
    <t>0140266770</t>
  </si>
  <si>
    <t>611</t>
  </si>
  <si>
    <t>Обеспечение деятельности централизованных бухгалтерий и прочих учреждений</t>
  </si>
  <si>
    <t>0900560120</t>
  </si>
  <si>
    <t>111</t>
  </si>
  <si>
    <t>Иные выплаты персоналу учреждений, за исключением фонда оплаты труда</t>
  </si>
  <si>
    <t>112</t>
  </si>
  <si>
    <t>119</t>
  </si>
  <si>
    <t>Повышение эффективности бюджетных расходов и повышение качества управления муниципальными финансами</t>
  </si>
  <si>
    <t>0900600000</t>
  </si>
  <si>
    <t>Муниципальная программа "Управление муниципальным имуществом"</t>
  </si>
  <si>
    <t>1000000000</t>
  </si>
  <si>
    <t>Реализация установленных полномочий (функций) в сфере имущественных и земельных отношений</t>
  </si>
  <si>
    <t>1000100000</t>
  </si>
  <si>
    <t>1000160030</t>
  </si>
  <si>
    <t>Мероприятия в области имущественных и земельных отношений</t>
  </si>
  <si>
    <t>1000200000</t>
  </si>
  <si>
    <t>Расходы на проведение кадастровых работ по формированию земельных участков, проведение работ по технической инвентаризации муниципального имущества,  по межеванию земельных участков, оценка недвижимости, признание прав и регулирование отношений в сфере управления государственной и муниципальной собственностью</t>
  </si>
  <si>
    <t>1000260090</t>
  </si>
  <si>
    <t>Субвенция на реализацию Закона Удмуртской Республики от 17 сентября 2007 года № 53-РЗ "Об административных комиссиях в Удмуртской Республике"</t>
  </si>
  <si>
    <t>9901000000</t>
  </si>
  <si>
    <t>Субвенция на реализацию Закона Удмуртской Республики от 17 сентября 2007 года № 53-РЗ «Об административных комиссиях в Удмуртской Республике»</t>
  </si>
  <si>
    <t>9901004510</t>
  </si>
  <si>
    <t>1200000000</t>
  </si>
  <si>
    <t>Подготовка документов территориального планирования, градостроительного зонирования, координатное описание границ населенных пунктов и территориальных зон, осуществление деятельности в области размещения объектов наружной рекламы</t>
  </si>
  <si>
    <t>1200100000</t>
  </si>
  <si>
    <t>Расходы на проведение мероприятий в области строительства, архитектуры и градостроительства, размещение наружной рекламы и информации</t>
  </si>
  <si>
    <t>1200162200</t>
  </si>
  <si>
    <t>1410100000</t>
  </si>
  <si>
    <t>Расходы на проведение конкурсов профессионального мастерства в сфере муниципального управления</t>
  </si>
  <si>
    <t>1410162700</t>
  </si>
  <si>
    <t>Оказание муниципальных услуг (выполнение функций) органами местного самоуправления</t>
  </si>
  <si>
    <t>1410500000</t>
  </si>
  <si>
    <t>Расходы на реализацию мероприятий по административной реформе</t>
  </si>
  <si>
    <t>1410562720</t>
  </si>
  <si>
    <t>Расходы на организацию и проведение мероприятий</t>
  </si>
  <si>
    <t>Прочие расходы, не отнесенные к другим направлениям расходов</t>
  </si>
  <si>
    <t>1410760110</t>
  </si>
  <si>
    <t>350</t>
  </si>
  <si>
    <t>Подпрограмма «Управление общественными отношениями»</t>
  </si>
  <si>
    <t>1420000000</t>
  </si>
  <si>
    <t>Поддержка и создание условий для деятельности общественных организаций</t>
  </si>
  <si>
    <t>1420100000</t>
  </si>
  <si>
    <t>Расходы на проведение мероприятий по подпрограмме «Управление общественными отношениями»</t>
  </si>
  <si>
    <t>1420162730</t>
  </si>
  <si>
    <t>Осуществление первичного воинского учёта на территориях, где отсутствуют военные комиссариаты</t>
  </si>
  <si>
    <t>9900051180</t>
  </si>
  <si>
    <t>1300000000</t>
  </si>
  <si>
    <t>1330000000</t>
  </si>
  <si>
    <t>Повышение эффективности работы в области обеспечения безопасности жизнедеятельности населения, обеспечение защиты информации и режима секретности</t>
  </si>
  <si>
    <t>1330200000</t>
  </si>
  <si>
    <t>Расходы на проведение мероприятий в сфере гражданской обороны, защиты населения и территорий от чрезвычайных ситуаций</t>
  </si>
  <si>
    <t>1330262100</t>
  </si>
  <si>
    <t>1600000000</t>
  </si>
  <si>
    <t>Информационно-аналитическая работа по профилактике терроризма и экстремизма</t>
  </si>
  <si>
    <t>1600100000</t>
  </si>
  <si>
    <t>1600162100</t>
  </si>
  <si>
    <t>Предупреждение и ликвидация последствий чрезвычайных ситуаций, реализация мер пожарной безопасности и безопасности людей на водных объектах</t>
  </si>
  <si>
    <t>1330100000</t>
  </si>
  <si>
    <t>Обеспечение первичных мер пожарной безопасности</t>
  </si>
  <si>
    <t>1330162110</t>
  </si>
  <si>
    <t>360</t>
  </si>
  <si>
    <t>Обеспечение деятельности МКУ "Завьяловский центр обеспечения безопасности"</t>
  </si>
  <si>
    <t>1330300000</t>
  </si>
  <si>
    <t>1330366770</t>
  </si>
  <si>
    <t>Расходы на обеспечение мер по профилактике распостранения новой коронавирусной инфекции</t>
  </si>
  <si>
    <t>1330362150</t>
  </si>
  <si>
    <t>1310000000</t>
  </si>
  <si>
    <t>Обеспечение общественного порядка</t>
  </si>
  <si>
    <t>1310100000</t>
  </si>
  <si>
    <t>Расходы на проведение мероприятий по профилактике правонарушений</t>
  </si>
  <si>
    <t>1310162130</t>
  </si>
  <si>
    <t>Расходы на обеспечение безопасности людей на водных объектах</t>
  </si>
  <si>
    <t>1330162120</t>
  </si>
  <si>
    <t>Муниципальная программа "Развитие агропромышленного комплекса Завьяловского района"</t>
  </si>
  <si>
    <t>0800000000</t>
  </si>
  <si>
    <t>Подпрограмма "Развитие сельскохозяйственной отрасли Завьяловского района"</t>
  </si>
  <si>
    <t>0810000000</t>
  </si>
  <si>
    <t>Мероприятия  направленные на развитие агропромышленного комплекса Завьяловского района</t>
  </si>
  <si>
    <t>0810100000</t>
  </si>
  <si>
    <t>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</si>
  <si>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0810109020</t>
  </si>
  <si>
    <t>1100000000</t>
  </si>
  <si>
    <t>1120000000</t>
  </si>
  <si>
    <t>Развитие и содержание дорожной сети на территории Завьяловского района</t>
  </si>
  <si>
    <t>1120200000</t>
  </si>
  <si>
    <t>1120260990</t>
  </si>
  <si>
    <t>1120262510</t>
  </si>
  <si>
    <t>Субсидии  на комплекс работ по содержанию автомобильных дорог</t>
  </si>
  <si>
    <t>1120201380</t>
  </si>
  <si>
    <t>Развитие сети автомобильных дорог Удмуртской Республики</t>
  </si>
  <si>
    <t>1120204650</t>
  </si>
  <si>
    <t>Муниципальная программа "Создание условий для развития предпринимательства и привлечения инвестиций"</t>
  </si>
  <si>
    <t>0700000000</t>
  </si>
  <si>
    <t>Оказание поддержки субъектам малого и среднего предпринимательства</t>
  </si>
  <si>
    <t>0700100000</t>
  </si>
  <si>
    <t>Расходы на создание условий для развития малого и среднего предпринимательства</t>
  </si>
  <si>
    <t>0700162020</t>
  </si>
  <si>
    <t>0700500000</t>
  </si>
  <si>
    <t>0700562020</t>
  </si>
  <si>
    <t>Организация и проведение открытого конкурса на право заключения договора на размещение сезонных нестационарных торговых объектов, летних кафе</t>
  </si>
  <si>
    <t>0700800000</t>
  </si>
  <si>
    <t>0700862020</t>
  </si>
  <si>
    <t>0700700000</t>
  </si>
  <si>
    <t>0700762020</t>
  </si>
  <si>
    <t>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</si>
  <si>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245</t>
  </si>
  <si>
    <t>Субсидии из бюджета Удмуртской Республики в целях реализации государственной программы Удмуртской Республики "Управление государственным имуществом"</t>
  </si>
  <si>
    <t>1000207930</t>
  </si>
  <si>
    <t>1110000000</t>
  </si>
  <si>
    <t>Содержание и развитие объектов муниципальной собственности</t>
  </si>
  <si>
    <t>1110200000</t>
  </si>
  <si>
    <t>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</si>
  <si>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1110206800</t>
  </si>
  <si>
    <t>811</t>
  </si>
  <si>
    <t>Реализация установленных полномочий (функций) в сфере муниципального хозяйства</t>
  </si>
  <si>
    <t>1110100000</t>
  </si>
  <si>
    <t>1110160030</t>
  </si>
  <si>
    <t>1110160480</t>
  </si>
  <si>
    <t>1430000000</t>
  </si>
  <si>
    <t>Разработка и реализация с участием сторон социального партнерства, мер экономического стимулирования деятельности работодателей по сохранению жизни и здоровья граждан в процессе трудовой деятельности</t>
  </si>
  <si>
    <t>1430100000</t>
  </si>
  <si>
    <t>Расходы на охрану труда работников</t>
  </si>
  <si>
    <t>1430160190</t>
  </si>
  <si>
    <t>Соблюдение работодателями Завьяловского района требований трудового законодательствами</t>
  </si>
  <si>
    <t>1430200000</t>
  </si>
  <si>
    <t>1430260190</t>
  </si>
  <si>
    <t>Расходы на проведение капитального ремонта (ремонта), модернизации, реконструкции объектов муниципальной собственности</t>
  </si>
  <si>
    <t>Расходы на строительство объектов муниципальной собственности</t>
  </si>
  <si>
    <t>1110160140</t>
  </si>
  <si>
    <t>Расходы на переселение граждан из аварийного жилищного фонда, осуществляемые за счет средств, поступивших от Фонда содействия реформированию жилищно-коммунального хозяйства</t>
  </si>
  <si>
    <t>111F300000</t>
  </si>
  <si>
    <t>Субсидии на переселение граждан из аварийного жилищного фонда, осуществляемые за счет средств бюджетов субъектов РФ, в том числе за счет субсидий из бюджетов субъектов РФ местным бюджетам</t>
  </si>
  <si>
    <t>111F367484</t>
  </si>
  <si>
    <t>414</t>
  </si>
  <si>
    <t>1110260140</t>
  </si>
  <si>
    <t>Расходы на разработку проектно-сметной документации</t>
  </si>
  <si>
    <t>1110260170</t>
  </si>
  <si>
    <t>Капитальные вложения в объекты государственной (муниципальной) собственности</t>
  </si>
  <si>
    <t>1110200820</t>
  </si>
  <si>
    <t>Мероприятия в области поддержки и развития коммунального хозяйства</t>
  </si>
  <si>
    <t>1110201440</t>
  </si>
  <si>
    <t>243</t>
  </si>
  <si>
    <t>Расходы на содержание имущества казны</t>
  </si>
  <si>
    <t>1110260145</t>
  </si>
  <si>
    <t>Cтроительство и реконструкция (модернизация) объектов питьевого водоснабжения, сверх установленного уровня софинансирования</t>
  </si>
  <si>
    <t>111F500000</t>
  </si>
  <si>
    <t>Субсидии на строительство и реконструкцию (модернизацию) объектов питьевого водоснабжения</t>
  </si>
  <si>
    <t>111F552430</t>
  </si>
  <si>
    <t>1130000000</t>
  </si>
  <si>
    <t>Развитие системы энергосбережения</t>
  </si>
  <si>
    <t>1130100000</t>
  </si>
  <si>
    <t>Расходы на проведение мероприятий по энергосбережению и повышению энергетической эффективности</t>
  </si>
  <si>
    <t>1130162600</t>
  </si>
  <si>
    <t>Содействие в реализации комплекса мер, направленных на уничтожение борщевика Сосновского</t>
  </si>
  <si>
    <t>0810162011</t>
  </si>
  <si>
    <t>0820000000</t>
  </si>
  <si>
    <t>0820100000</t>
  </si>
  <si>
    <t>Софинансирование мероприятий, направленных на обеспечение комплексного развития сельских территорий</t>
  </si>
  <si>
    <t>0820162012</t>
  </si>
  <si>
    <t>1110260990</t>
  </si>
  <si>
    <t>1110262400</t>
  </si>
  <si>
    <t>1110262430</t>
  </si>
  <si>
    <t>1110262440</t>
  </si>
  <si>
    <t>Обеспечение комплексного развития сельских территорий</t>
  </si>
  <si>
    <t>Расходы на поддержку государственных программ субъектов Российской Федерации и муниципальных программ формирования современной городской среды (бюджет РФ)</t>
  </si>
  <si>
    <t>Расходы на поддержку государственных программ субъектов Российской Федерации и муниципальных программ формирования современной городской среды (местный бюджет)</t>
  </si>
  <si>
    <t>Обеспечение экологической безопасности населения</t>
  </si>
  <si>
    <t>1330400000</t>
  </si>
  <si>
    <t>Расходы по отлову и содержанию безнадзорных животных</t>
  </si>
  <si>
    <t>1330405400</t>
  </si>
  <si>
    <t>1330462430</t>
  </si>
  <si>
    <t>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</si>
  <si>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1110106200</t>
  </si>
  <si>
    <t>Расходы на проведение мероприятий по охране окружающей среды</t>
  </si>
  <si>
    <t>1330462470</t>
  </si>
  <si>
    <t>Расходы на проведение мероприятий по охране окружающей среды в целях софинансирования из бюджета Удмуртской Республики</t>
  </si>
  <si>
    <t>13304S2470</t>
  </si>
  <si>
    <t>Подпрограмма «Развитие общего образования»</t>
  </si>
  <si>
    <t>0110000000</t>
  </si>
  <si>
    <t>Предоставление дошкольного образования</t>
  </si>
  <si>
    <t>0110100000</t>
  </si>
  <si>
    <t>0110166770</t>
  </si>
  <si>
    <t>621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</si>
  <si>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</si>
  <si>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0110105470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</si>
  <si>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</si>
  <si>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Подпрограмма «Совершенствование кадрового обеспечения»</t>
  </si>
  <si>
    <t>0130000000</t>
  </si>
  <si>
    <t>Социальная поддержка педагогических работников</t>
  </si>
  <si>
    <t>0130100000</t>
  </si>
  <si>
    <t>Расходы на предоставление мер социальной поддержки работникам муниципальных учреждений</t>
  </si>
  <si>
    <t>0130160250</t>
  </si>
  <si>
    <t>321</t>
  </si>
  <si>
    <t>Реализация установленных полномочий (функций) в сфере образования</t>
  </si>
  <si>
    <t>0140100000</t>
  </si>
  <si>
    <t>Расходы на уплату налога на имущество организаций</t>
  </si>
  <si>
    <t>0140160280</t>
  </si>
  <si>
    <t>0140160480</t>
  </si>
  <si>
    <t>Субсидии автономным учреждениям на иные цели</t>
  </si>
  <si>
    <t>622</t>
  </si>
  <si>
    <t>Организация мероприятий по созданию современной инфраструктуры образовательных учреждений, а так же их комплексной безопасности</t>
  </si>
  <si>
    <t>0140300000</t>
  </si>
  <si>
    <t>0140360150</t>
  </si>
  <si>
    <t>Расходы на мероприятия, направленные на создание комплексной безопасности образовательных учреждений, в том числе  на подготовку образовательных учреждений к новому учебному году</t>
  </si>
  <si>
    <t>0140361040</t>
  </si>
  <si>
    <t>Предоставление общего образования</t>
  </si>
  <si>
    <t>0110200000</t>
  </si>
  <si>
    <t>0110266770</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</si>
  <si>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</si>
  <si>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0110204310</t>
  </si>
  <si>
    <t>Реализация национального проекта "Образование"</t>
  </si>
  <si>
    <t>0110900000</t>
  </si>
  <si>
    <t>Расходы на реализацию мероприятий по созданию и функционированию центров образования цифрового и гуманитарного профилей "Точка роста"</t>
  </si>
  <si>
    <t>0110965500</t>
  </si>
  <si>
    <t>0140360140</t>
  </si>
  <si>
    <t>0140360170</t>
  </si>
  <si>
    <t>Создание новых мест в общеобразовательных организациях, расположенных в сельской местности и поселках городского типа</t>
  </si>
  <si>
    <t>014E100000</t>
  </si>
  <si>
    <t>014E153050</t>
  </si>
  <si>
    <t>Субсидии на создание в общеобразовательных организациях. расположенных в сельской местности. условий для занятий физической культурой и спортом за счет средств федерального бюджета</t>
  </si>
  <si>
    <t>014E200000</t>
  </si>
  <si>
    <t>Субсидии на создание в общеобразовательных организациях, расположенных в сельской местности, условий для занятий физической культурой и спортом</t>
  </si>
  <si>
    <t>014E250970</t>
  </si>
  <si>
    <t>Подпрограмма «Организация детского и школьного питания»</t>
  </si>
  <si>
    <t>0150000000</t>
  </si>
  <si>
    <t>Организация детского и школьного питания</t>
  </si>
  <si>
    <t>0150100000</t>
  </si>
  <si>
    <t>Расходы на обеспечение учащихся образовательных учреждений  питанием</t>
  </si>
  <si>
    <t>0150161030</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</si>
  <si>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</si>
  <si>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01501L3040</t>
  </si>
  <si>
    <t>Расходы на обеспечение учащихся образовательных учреждений питанием в целях софинансирования из бюджета Удмуртской Республики</t>
  </si>
  <si>
    <t>01501S6960</t>
  </si>
  <si>
    <t>Подпрограмма «Развитие системы воспитания и дополнительного образования детей»</t>
  </si>
  <si>
    <t>0120000000</t>
  </si>
  <si>
    <t>Предоставление дополнительного образования</t>
  </si>
  <si>
    <t>0120100000</t>
  </si>
  <si>
    <t>0120160250</t>
  </si>
  <si>
    <t>0120166770</t>
  </si>
  <si>
    <t>Расходы на реализацию программы персонифицированного финансирования дополнительного образования детей</t>
  </si>
  <si>
    <t>0120165300</t>
  </si>
  <si>
    <t>Расходы на дополнительное профессиональное образование на муниципальной службе</t>
  </si>
  <si>
    <t>1410162710</t>
  </si>
  <si>
    <t>Оздоровление и отдых детей</t>
  </si>
  <si>
    <t>0120200000</t>
  </si>
  <si>
    <t>Республиканская целевая программа «Организация отдыха, оздоровления и занятости детей, подростков и молодёжи в Удмуртской Республике (2011-2015 годы)»</t>
  </si>
  <si>
    <t>0120205230</t>
  </si>
  <si>
    <t>0300000000</t>
  </si>
  <si>
    <t>0300100000</t>
  </si>
  <si>
    <t>0300166770</t>
  </si>
  <si>
    <t>Содействие в организации временного трудоустройства несовершеннолетних граждан в возрастеот 14 до 18 лет в свободное от учебы время</t>
  </si>
  <si>
    <t>0300200000</t>
  </si>
  <si>
    <t>Содействие в организации временного трудоустройства несовершеннолетних граждан в возрасте от 14 до 18 лет в свободное от учебы время</t>
  </si>
  <si>
    <t>0300261420</t>
  </si>
  <si>
    <t>Расходы на организацию и проведение муниципального этапа Всероссийской олимпиады школьников, а так же иных олимпиад по общеобразовательным предметам на муниципальном уровне</t>
  </si>
  <si>
    <t>0110261220</t>
  </si>
  <si>
    <t>Расходы на Государственную итоговую аттестацию выпускников, обеспечение документами об образовании</t>
  </si>
  <si>
    <t>0110261230</t>
  </si>
  <si>
    <t>Разработка и внедрение системы независимой оценки качества на уровне образовательных организаций</t>
  </si>
  <si>
    <t>0110600000</t>
  </si>
  <si>
    <t>Расходы на проведение независимой оценки качества условий осуществления образовательной деятельности</t>
  </si>
  <si>
    <t>0110665400</t>
  </si>
  <si>
    <t>Расходы на проведение мероприятий различной направленности по предоставлению дополнительного образования</t>
  </si>
  <si>
    <t>0120161340</t>
  </si>
  <si>
    <t>Софинансирование организации отдыха. оздоровления и занятости детей. подростков и молодежи за счет средств Удмуртской Республики</t>
  </si>
  <si>
    <t>01202S5230</t>
  </si>
  <si>
    <t>0140160030</t>
  </si>
  <si>
    <t>Муниципальная программа "Сохранение здоровья и формирование здорового образа жизни населения Завьяловского района"</t>
  </si>
  <si>
    <t>0500000000</t>
  </si>
  <si>
    <t>Развитие системы профилактики неинфекционных, социально-значимых заболеваний и формирование здорового образа жизни</t>
  </si>
  <si>
    <t>0500100000</t>
  </si>
  <si>
    <t>Расходы на информационно-коммуникационную кампанию, реализацию специальных проектов по  профилактике инфекционных заболеваний</t>
  </si>
  <si>
    <t>0500161510</t>
  </si>
  <si>
    <t>Профилактика ВИЧ-инфекции, вирусных гепатитов В и С</t>
  </si>
  <si>
    <t>0500300000</t>
  </si>
  <si>
    <t>Расходы на информационно-коммуникационную кампанию, реализацию специальных проектов по профилактике ВИЧ-инфекции, вирусных гепатитов В и С</t>
  </si>
  <si>
    <t>0500361520</t>
  </si>
  <si>
    <t>Организация и проведение мероприятий для социально незащищенных слоев населения</t>
  </si>
  <si>
    <t>0630200000</t>
  </si>
  <si>
    <t>Расходы направленные на социальную поддержку отдельных категорий граждан</t>
  </si>
  <si>
    <t>0630261920</t>
  </si>
  <si>
    <t>Реализация мер, направленных на популяризацию роли предпринимательства</t>
  </si>
  <si>
    <t>0700200000</t>
  </si>
  <si>
    <t>0700262020</t>
  </si>
  <si>
    <t>1500000000</t>
  </si>
  <si>
    <t>Совершенствование антинаркотической деятельности</t>
  </si>
  <si>
    <t>1500100000</t>
  </si>
  <si>
    <t>Расходы на выявление и диагностику правонарушений в сфере незаконного оборота наркотиков</t>
  </si>
  <si>
    <t>1500161530</t>
  </si>
  <si>
    <t>Профилактика и раннее выявление незаконного потребления наркотиков среди населения</t>
  </si>
  <si>
    <t>1500200000</t>
  </si>
  <si>
    <t>1500261530</t>
  </si>
  <si>
    <t>0200000000</t>
  </si>
  <si>
    <t>Осуществление библиотечного обслуживания населения</t>
  </si>
  <si>
    <t>0200100000</t>
  </si>
  <si>
    <t>0200166770</t>
  </si>
  <si>
    <t>Организация досуга и развитие народного творчества</t>
  </si>
  <si>
    <t>0200200000</t>
  </si>
  <si>
    <t>0200266770</t>
  </si>
  <si>
    <t>0200260480</t>
  </si>
  <si>
    <t>Расходы на предоставление субсидий бюджетным и автономным организациям на обслуживание кредитов, полученных в российских кредитных организациях</t>
  </si>
  <si>
    <t>0200266772</t>
  </si>
  <si>
    <t>Расходы на предоставление субсидий бюджетным и автономным организациям на компенсацию процентных ставок по кредитам, полученным в российских кредитных организациях</t>
  </si>
  <si>
    <t>0200266773</t>
  </si>
  <si>
    <t>Организация деятельности музейного дела</t>
  </si>
  <si>
    <t>0200300000</t>
  </si>
  <si>
    <t>0200366770</t>
  </si>
  <si>
    <t>0200360480</t>
  </si>
  <si>
    <t>Реализация установленных полномочий муниципального образования (функций) в культуре</t>
  </si>
  <si>
    <t>0200400000</t>
  </si>
  <si>
    <t>0200460250</t>
  </si>
  <si>
    <t>0200460030</t>
  </si>
  <si>
    <t>0200460120</t>
  </si>
  <si>
    <t>Расходы на организационно-методическое и информационное обеспечение деятельности учреждений</t>
  </si>
  <si>
    <t>0200460260</t>
  </si>
  <si>
    <t>0200460990</t>
  </si>
  <si>
    <t>633</t>
  </si>
  <si>
    <t>0500161520</t>
  </si>
  <si>
    <t>Подпрограмма «Повышение благосостояния семей с детьми»</t>
  </si>
  <si>
    <t>0610000000</t>
  </si>
  <si>
    <t>Мероприятия, напрвленные на повышение общественного престижа и качества жизни института семьи, пропаганда семейных ценностей</t>
  </si>
  <si>
    <t>0610100000</t>
  </si>
  <si>
    <t>Расходы на реализацию мер социальной поддержки семей с детьми</t>
  </si>
  <si>
    <t>0610161900</t>
  </si>
  <si>
    <t>Повышение предпринимательской активности</t>
  </si>
  <si>
    <t>0700300000</t>
  </si>
  <si>
    <t>0700362020</t>
  </si>
  <si>
    <t>0810160110</t>
  </si>
  <si>
    <t>1410900000</t>
  </si>
  <si>
    <t>Содержание архивного отдела за счет средств местного бюджета</t>
  </si>
  <si>
    <t>1410960200</t>
  </si>
  <si>
    <t>Осуществление отдельных государственных полномочий в области архивного дела</t>
  </si>
  <si>
    <t>1410904360</t>
  </si>
  <si>
    <t>Расходы на организацию и проведение мероприятий по профилактике наркомании</t>
  </si>
  <si>
    <t>1500261531</t>
  </si>
  <si>
    <t>Практическая работа по профилактике терроризма и экстремизма</t>
  </si>
  <si>
    <t>1600200000</t>
  </si>
  <si>
    <t>1600262100</t>
  </si>
  <si>
    <t>Расходы на информационно-коммуникационную кампанию, организацию и проведению социологических мониторингов по профилактике неинфекционных заболеваний</t>
  </si>
  <si>
    <t>0500161500</t>
  </si>
  <si>
    <t>Профилактика инфекционных заболеваний, включая иммунопрофилактику</t>
  </si>
  <si>
    <t>0500200000</t>
  </si>
  <si>
    <t>0500261510</t>
  </si>
  <si>
    <t>Лечебная и реабилитационная помощь наркозависимым лицам</t>
  </si>
  <si>
    <t>1500300000</t>
  </si>
  <si>
    <t>1500361530</t>
  </si>
  <si>
    <t>Публичные нормативные обязательства</t>
  </si>
  <si>
    <t>1410800000</t>
  </si>
  <si>
    <t>Доплаты к пенсиям муниципальных служащих</t>
  </si>
  <si>
    <t>1410860210</t>
  </si>
  <si>
    <t>313</t>
  </si>
  <si>
    <t>Мероприятия, направленные на обеспечение социальной поддержки семей и детей, находящихся в особых условиях</t>
  </si>
  <si>
    <t>0610200000</t>
  </si>
  <si>
    <t>0610261900</t>
  </si>
  <si>
    <t>Расходы на реализацию мер по профилактике социального сиротства</t>
  </si>
  <si>
    <t>0620161910</t>
  </si>
  <si>
    <t>Оказание адресной социальной помощи</t>
  </si>
  <si>
    <t>0630100000</t>
  </si>
  <si>
    <t>Прочие расходы на мероприятия в области социальной политики</t>
  </si>
  <si>
    <t>0630160300</t>
  </si>
  <si>
    <t>0630361920</t>
  </si>
  <si>
    <t>322</t>
  </si>
  <si>
    <t>Расходы на реализацию мероприятий по обеспечению жильем молодых семей</t>
  </si>
  <si>
    <t>06303L4970</t>
  </si>
  <si>
    <t>Ежемесячное вознаграждение гражданам, имеющим звание «Почётный гражданин Завьяловского района»</t>
  </si>
  <si>
    <t>1410860220</t>
  </si>
  <si>
    <t>Материальная поддержка семей с детьми дошкольного возраста</t>
  </si>
  <si>
    <t>0110300000</t>
  </si>
  <si>
    <t>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</si>
  <si>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0110304240</t>
  </si>
  <si>
    <t>Расходы по присмотру и уходу детьми-инвалидами, детьми-сиротами и детьми оставшихся без попечения родителей, а так же за детьми тубуркулезной интоксикацией,   обучающимися в муниципальных образовательных организациях, нпходящихся на территории УР</t>
  </si>
  <si>
    <t>0110307120</t>
  </si>
  <si>
    <t>Софинансирование расходов по присмотру и уходу детьми-инвалидами, детьми-сиротами и детьми оставшихся без попечения родителей, а так же за детьми тубуркулезной интоксикацией, обучающимися в муниципальных образовательных организациях,</t>
  </si>
  <si>
    <t>01103S7120</t>
  </si>
  <si>
    <t>Обеспечение питанием детей дошкольного и школьного возраста в Удмуртской Республике</t>
  </si>
  <si>
    <t>0150106960</t>
  </si>
  <si>
    <t>Предоставление мер социальной поддержки многодетным семьям</t>
  </si>
  <si>
    <t>061P100000</t>
  </si>
  <si>
    <t>Предоставление мер социальной поддержки многодетным семьям (бесплатное питание для обучающихся общеобразовательных организаций)</t>
  </si>
  <si>
    <t>061P104343</t>
  </si>
  <si>
    <t>Расходы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</si>
  <si>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0630305660</t>
  </si>
  <si>
    <t>0400000000</t>
  </si>
  <si>
    <t>Обеспечение условий для развития физической культуры и массового спорта</t>
  </si>
  <si>
    <t>0400100000</t>
  </si>
  <si>
    <t>0400160140</t>
  </si>
  <si>
    <t>0400166770</t>
  </si>
  <si>
    <t>0400160480</t>
  </si>
  <si>
    <t>0400166772</t>
  </si>
  <si>
    <t>0400166773</t>
  </si>
  <si>
    <t>Управление муниципальным долгом</t>
  </si>
  <si>
    <t>0900300000</t>
  </si>
  <si>
    <t>Процентные платежи по муниципальному долгу</t>
  </si>
  <si>
    <t>0900360070</t>
  </si>
  <si>
    <t>730</t>
  </si>
  <si>
    <t>к решению Совета депутатов</t>
  </si>
  <si>
    <t>муниципального образования</t>
  </si>
  <si>
    <t>Завьяловский район</t>
  </si>
  <si>
    <t>тыс. руб.</t>
  </si>
  <si>
    <t>Вид расхода</t>
  </si>
  <si>
    <t>Территориальные органы Администрации</t>
  </si>
  <si>
    <t>1410760031</t>
  </si>
  <si>
    <t>Муниципальная программа "Культура Завьяловского района»</t>
  </si>
  <si>
    <t>Муниципальная программа "Реализация молодежной политики в Завьяловском районе»</t>
  </si>
  <si>
    <t>Мероприятия направленные на реализацию молодежной политики в Завьяловском районе</t>
  </si>
  <si>
    <t>Муниципальная программа "Развитие физической культуры и массового спорта в Завьяловском районе"</t>
  </si>
  <si>
    <t>Муниципальная программа "Реализация демографической и социальной политики на  территории Завьяловского района"</t>
  </si>
  <si>
    <t xml:space="preserve">Формирование инвестиционно привлекательного имиджа </t>
  </si>
  <si>
    <t>Подпрограмма "Комплексное развитие сельских территорий Завьяловского района"</t>
  </si>
  <si>
    <t>Муниципальная программа "Управление муниципальными финансами в Завьяловском районе"</t>
  </si>
  <si>
    <t xml:space="preserve">Расходы на софинансирование инициативных проектов </t>
  </si>
  <si>
    <t>0900668000</t>
  </si>
  <si>
    <t>Муниципальная программа "Содержание и развитие муниципального хозяйства Завьяловского района"</t>
  </si>
  <si>
    <t>Подпрограмма «Содержание и развитие коммунальной инфраструктуры Завьяловского района"</t>
  </si>
  <si>
    <t>Расходы на уличное освещение</t>
  </si>
  <si>
    <t>Расходы на проведение прочих мероприятий по благоустройству</t>
  </si>
  <si>
    <t>Расходы на организацию сбора и вывоза твердых бытовых отходов</t>
  </si>
  <si>
    <t>Подпрограмма «Дорожное хозяйство и транспортная система Завьяловского района"</t>
  </si>
  <si>
    <t>Подпрограмма «Энергосбережение и повышение энергетической эффективности Завьяловского района"</t>
  </si>
  <si>
    <t>Муниципальная программа "Территориальное развитие Завьяловского района"</t>
  </si>
  <si>
    <t>Муниципальная программа "Обеспечение безопасности населения Завьяловского района"</t>
  </si>
  <si>
    <t>Подпрограмма «Профилактика правонарушений на территории Завьяловского района»</t>
  </si>
  <si>
    <t>Подпрограмма «Обеспечение безопасности жизнедеятельности населения Завьяловского района»</t>
  </si>
  <si>
    <t>Муниципальная программа "Муниципальное управление и развитие гражданского общества в Завьяловском районе"</t>
  </si>
  <si>
    <t>Внедрение современных методов управления кадровой политикой, направленных на повышение профессиональной компетентности работников органов местного самоуправления Завьяловского района, обеспечение условий для их результативной профессиональной деятельности</t>
  </si>
  <si>
    <t>Реализация  установленных полномочий в сфере архивного дела Администрацией Завьяловского района</t>
  </si>
  <si>
    <t>Подпрограмма «Улучшение условий и охраны труда Завьяловского района»</t>
  </si>
  <si>
    <t>Муниципальная программа "Комплексные меры противодействия немедицинскому потреблению наркотических средств и их незаконному обороту в Завьяловском районе"</t>
  </si>
  <si>
    <t>Фонд оплаты труда учреждений</t>
  </si>
  <si>
    <t>Взносы по обязательному социальному страхованию на выплаты по оплате труда работников и иные выплаты работникам учреждений</t>
  </si>
  <si>
    <t>Фонд оплаты труда государственных (муниципальных) органов</t>
  </si>
  <si>
    <t>Иные выплаты персоналу государственных (муниципальных) органов, за исключением фонда оплаты труда</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</si>
  <si>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</si>
  <si>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Закупка товаров, работ, услуг в сфере информационно-коммуникационных технологий</t>
  </si>
  <si>
    <t>Закупка товаров, работ, услуг в целях капитального ремонта государственного (муниципального) имущества</t>
  </si>
  <si>
    <t>Закупка энергетических ресурсов</t>
  </si>
  <si>
    <t>Пособия, компенсации, меры социальной поддержки по публичным нормативным обязательствам</t>
  </si>
  <si>
    <t>Пособия, компенсации и иные социальные выплаты гражданам, кроме публичных нормативных обязательств</t>
  </si>
  <si>
    <t>Субсидии гражданам на приобретение жилья</t>
  </si>
  <si>
    <t>Премии и гранты</t>
  </si>
  <si>
    <t>Иные выплаты населению</t>
  </si>
  <si>
    <t>Бюджетные инвестиции в объекты капитального строительства государственной (муниципальной) собственности</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</si>
  <si>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</si>
  <si>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иные цели</t>
  </si>
  <si>
    <t>Субсидии (гранты в форме субсидий), не подлежащие казначейскому сопровождению</t>
  </si>
  <si>
    <t>Обслуживание муниципального долга</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</si>
  <si>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</si>
  <si>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Уплата налога на имущество организаций и земельного налога</t>
  </si>
  <si>
    <t>Резервные средства</t>
  </si>
  <si>
    <t>1410760480</t>
  </si>
  <si>
    <t>1410760990</t>
  </si>
  <si>
    <t>0140360321</t>
  </si>
  <si>
    <t>0200260321</t>
  </si>
  <si>
    <t>1110260321</t>
  </si>
  <si>
    <t>1120260321</t>
  </si>
  <si>
    <t>Расходы на выполнение наказов избирателей депутатам Совета депутатов муниципального образования "Муниципальный округ Завьяловский район Удмуртской Республики"</t>
  </si>
  <si>
    <t>Расходы на выполнение наказов избирателей депутатам Госсовета Удмуртской Республики</t>
  </si>
  <si>
    <t>Организация и проведение аукциона на право заключения договора на размещение нестационарного торгового объекта</t>
  </si>
  <si>
    <t>0820165769</t>
  </si>
  <si>
    <t>Муниципальная программа "Профилактика терроризма и экстремизма, а также минимизация и (или) ликвидация последствий их проявления на территории Завьяловского района"</t>
  </si>
  <si>
    <t>111F2Д5550</t>
  </si>
  <si>
    <t>Осуществление переданных государственных полномочий на государственную регистрации актов гражданского состояния</t>
  </si>
  <si>
    <t>Государственная регистрация актов гражданского состояния</t>
  </si>
  <si>
    <t>1411300000</t>
  </si>
  <si>
    <t>1411359300</t>
  </si>
  <si>
    <t>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</si>
  <si>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0110304480</t>
  </si>
  <si>
    <t>Мероприятия по стимулированию программ развития жилищного строительства</t>
  </si>
  <si>
    <t>111F100000</t>
  </si>
  <si>
    <t>111F150210</t>
  </si>
  <si>
    <t>Расходы на мероприятия по стимулированию программ развития жилищного строительства</t>
  </si>
  <si>
    <t>1110300000</t>
  </si>
  <si>
    <t>1110366770</t>
  </si>
  <si>
    <t>1110260322</t>
  </si>
  <si>
    <t>0140360322</t>
  </si>
  <si>
    <t>0200260322</t>
  </si>
  <si>
    <t>0400160322</t>
  </si>
  <si>
    <t>Софинансирование мероприятий, направленных на обеспечение комплексного развития сельских территорий в рамках государственной программы Российской Федерации "Комплексное развитие сельских территорий"</t>
  </si>
  <si>
    <t>0200160322</t>
  </si>
  <si>
    <t>0140361050</t>
  </si>
  <si>
    <t>Расходы на реализацию мероприятий по охране образовательных учреждений</t>
  </si>
  <si>
    <t>Удмуртской Республики»</t>
  </si>
  <si>
    <t>Распределение бюджетных ассигнований по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бюджета муниципального образования «Муниципальный округ Завьяловский район Удмуртской Республики» на 2022 год</t>
  </si>
  <si>
    <t>«Муниципальный округ</t>
  </si>
  <si>
    <t>Утвержденная сумма на 2022 год</t>
  </si>
  <si>
    <t>поправки (+/-)</t>
  </si>
  <si>
    <t>Уточненная сумма на 2022 год</t>
  </si>
  <si>
    <t>Приложение № 8</t>
  </si>
  <si>
    <t>Всего поправок</t>
  </si>
  <si>
    <t>Бюджет р-на</t>
  </si>
  <si>
    <t>Безвозмездные</t>
  </si>
  <si>
    <t>0630362012</t>
  </si>
  <si>
    <t>0200160170</t>
  </si>
  <si>
    <t>Расходы на укрепление материально-технической базы</t>
  </si>
  <si>
    <t>0200360180</t>
  </si>
  <si>
    <t>1410960150</t>
  </si>
  <si>
    <t>Расходы на реализацию государственных
программ субъектов Российской Федерации в области использования и охраны водных
объектов (обеспечение безопасности гидротехнических сооружений (капитальный ремонт
гидротехнических сооружений, находящихся в собственности субъектов Российской
Федерации, муниципальной собственности, капитальный ремонт и ликвидация
бесхозяйных гидротехнических сооружений))</t>
  </si>
  <si>
    <t>13304L0651</t>
  </si>
  <si>
    <t>111F367483</t>
  </si>
  <si>
    <t>111F522430</t>
  </si>
  <si>
    <t>Мероприятия по проведению капитального ремонта объектов государственной (муниципальной) собственности, включенных в Перечень объектов капитального ремонта, финансируемых за счёт средств бюджета Удмуртской Республики, утвержденный Правительством Удмуртской Республики</t>
  </si>
  <si>
    <t>0140300830</t>
  </si>
  <si>
    <t>Расходы на создание новых мест в общеобразовательных организациях в связи с ростом числа обучающихся, вызванным демографическим фактором, сверх установленного уровня</t>
  </si>
  <si>
    <t>014E123050</t>
  </si>
  <si>
    <t>Субсидии на создание новых мест в общеобразовательных организациях в связи с ростом числа обучающихся, вызванным демографическим фактором</t>
  </si>
  <si>
    <t>0400100820</t>
  </si>
  <si>
    <t>Расходы на обеспечение развития и укрепление материально-технической базы муниципальных домов культуры в населенных пунктах с числом жителей до 50 тысяч челове</t>
  </si>
  <si>
    <t>02002L4670</t>
  </si>
  <si>
    <t>0140360180</t>
  </si>
  <si>
    <t>Расходы, связанные с судебными издержками и оплатой государственной пошлины</t>
  </si>
  <si>
    <t>Исполнение судебных актов Российской Федерации и мировых соглашений по возмещению причиненного вреда</t>
  </si>
  <si>
    <t>9900060100</t>
  </si>
  <si>
    <t>831</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</si>
  <si>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</si>
  <si>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464</t>
  </si>
  <si>
    <t>от 26.01.2022 № 176</t>
  </si>
  <si>
    <t>111F555550</t>
  </si>
  <si>
    <t>Поддержка государственных программ субъектов Российской Федерации и муниципальных программ формирования комфортной городской среды</t>
  </si>
  <si>
    <t>Субсидии на реализацию программ формирования современной городской среды</t>
  </si>
  <si>
    <t>111F200000</t>
  </si>
  <si>
    <t>111F255550</t>
  </si>
  <si>
    <t>Финансовое обеспечение дорожной деятельности в рамках реализации национального проекта "Безопасные и качественные автомобильные дороги"</t>
  </si>
  <si>
    <t>112R153930</t>
  </si>
  <si>
    <t>Мероприятия по проведению капитального ремонта объектов государственной (муниципальной) собственности, включённых в Перечень объектов капитального ремонта, финансируемых за счёт средств бюджета Удмуртской Республики, утверждённый Правительством Удмуртско</t>
  </si>
  <si>
    <t>1110200830</t>
  </si>
  <si>
    <t>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</si>
  <si>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0110253030</t>
  </si>
  <si>
    <t>Приложение № 6</t>
  </si>
  <si>
    <t>0900668101</t>
  </si>
  <si>
    <t>0900668104</t>
  </si>
  <si>
    <t>0900668107</t>
  </si>
  <si>
    <t>0900668108</t>
  </si>
  <si>
    <t>0900668109</t>
  </si>
  <si>
    <t>0900668111</t>
  </si>
  <si>
    <t>0900668112</t>
  </si>
  <si>
    <t>0900668113</t>
  </si>
  <si>
    <t>0900668114</t>
  </si>
  <si>
    <t>0900668122</t>
  </si>
  <si>
    <t>0900668124</t>
  </si>
  <si>
    <t>0900668125</t>
  </si>
  <si>
    <t>0900668130</t>
  </si>
  <si>
    <t>0900668134</t>
  </si>
  <si>
    <t>0900668140</t>
  </si>
  <si>
    <t>0900668143</t>
  </si>
  <si>
    <t>Ремонт автомобильной дороги ул. Школьная с. Азино</t>
  </si>
  <si>
    <t>Благоустройство универсальной спортивной игровой площадки д. Пычанки</t>
  </si>
  <si>
    <t xml:space="preserve">Благоустройство детской игровой и спортивной площадки по адресу: Удмуртская Республика, Завьяловский район, д. Новый Сентег, ул. Клубная, 19 </t>
  </si>
  <si>
    <t>Уличное освещение деревня Чужьялово</t>
  </si>
  <si>
    <t>Ремонт и расширение дорожного полотна на улицах Тюльпановая (704м), Альпийская (813м), край массива от улицы Живописная до ул. Тюльпановая (285м) д. Красный Кустарь</t>
  </si>
  <si>
    <t>Ремонт и расширение дорожного полотна на улицах Благодатная (901м), Беловежская частично (370м), Звонкая частично (370м), переулок Первоцветный (180м) д. Красный Кустарь</t>
  </si>
  <si>
    <t>Монтаж уличного освещения в д. Лудорвай в мкр. «У Старой Мельницы»</t>
  </si>
  <si>
    <t>Приобретение музыкального оборудования МБОУ «Среднепостольская СОШ»</t>
  </si>
  <si>
    <t>Установка и приобретение уличных тренажеров с. Бабино</t>
  </si>
  <si>
    <t>Устройство детской спортивной площадки МБОУ «Якшурская СОШ»</t>
  </si>
  <si>
    <t>Устройство линии наружного освещения на участке км 2+000 - км 3+000 справа автомобильной дороги (Ижевск-Воткинск) - Якшур км 0+000 - км 3+500 д. Якшур в Завьяловском районе Удмуртской Республики</t>
  </si>
  <si>
    <t>Установка уличного освещения в деревне Люкшудья</t>
  </si>
  <si>
    <t>Установка уличного освещения в деревне Старый Сентег</t>
  </si>
  <si>
    <t>Установка уличного освещения в селе Люкшудья</t>
  </si>
  <si>
    <t>Ремонт дороги по Прудовая, проездам Александровский, Вишневый, Ольховый, Сосновый, Зимний, Майский, Мирный д. Крестовоздвиженское Завьяловского района УР</t>
  </si>
  <si>
    <t>Ремонт подъездной дороги в д. Крестовоздвиженское, Завьяловского р-на, УР</t>
  </si>
  <si>
    <t>Щебенение улицы Заречная, переулков Прудовый, Тепличный деревни Непременная Лудзя</t>
  </si>
  <si>
    <t>Щебенение улицы Полевая (дома 23-51), улицы Новая деревни Большая Венья</t>
  </si>
  <si>
    <t>«Уютный двор» д. Докша</t>
  </si>
  <si>
    <t>Выравнивание щебнем дорог по ул. Осиновая, ул. проезд Ключевой, ул. Золотой Клен, ул. Черешневая в д. Сепыч Завьяловского района Удмуртской Республики</t>
  </si>
  <si>
    <t>Обустройство тротуарной дорожки с твердым покрытием вдоль ул. Ясная д. Старый Чультем</t>
  </si>
  <si>
    <t>Обустройство площадки для выгула собак в с. Вараксино</t>
  </si>
  <si>
    <t>Обустройство хоккейной коробки с. Италмас</t>
  </si>
  <si>
    <t>Ремонт дороги м-р Дубровка</t>
  </si>
  <si>
    <t>Смена ограждения территории МБОУ «Каменская СОШ»</t>
  </si>
  <si>
    <t>Обустройство детско- спортивной площадки в СНТСН «Завьяловские сады»</t>
  </si>
  <si>
    <t>Устройство футбольного поля в д. Пирогово</t>
  </si>
  <si>
    <t>Ремонт части дороги ул. Ромашковая от дома 68 до дома 129 включительно с. Завьялово</t>
  </si>
  <si>
    <t>Строительство спортивной детской игровой площадки в с. Завьялово по ул. Чкалова, 34</t>
  </si>
  <si>
    <t>Благоустройство детской площадки Новое Завьялово 2022</t>
  </si>
  <si>
    <t>Обустройство многофункциональной спортивно-игровой площадки со специальным резиновым покрытием на территории общего пользования, напротив дома 20 по ул. Сабурова с. Первомайский</t>
  </si>
  <si>
    <t>Устройство ограждения территории общего пользования (стадион) по адресу: УР, Завьяловский район, с. Первомайский, ул. Сабурова, 1В</t>
  </si>
  <si>
    <t>«Ягул-Арена» с. Ягул</t>
  </si>
  <si>
    <t>Щебенение дороги по адресу ул. Фруктова от дома № 1 до дома № 52, мкр. Молдаванка с. Завьялово</t>
  </si>
  <si>
    <t>Щебенение дороги ул. Курортная от дома № 26 до улицы Авиаторов  с. Завьялово</t>
  </si>
  <si>
    <t>Ремонт автомобильной дороги в деревне Хохряки по улице Спортивная</t>
  </si>
  <si>
    <t>Ремонт автомобильной дороги в деревне Хохряки по улице Сосновая</t>
  </si>
  <si>
    <t>Щебенение ул. Беринга от д. № 1 до д. № 40 с. Завьялово</t>
  </si>
  <si>
    <t>Ремонт автомобильной дороги в деревне Хохряки по улице Майская</t>
  </si>
  <si>
    <t>Ремонт автомобильной дороги в деревне Хохряки по улице С. Есенина и переулке В. Астафьева</t>
  </si>
  <si>
    <t>Благоустройство ул. Земляничная, с. Завьялово</t>
  </si>
  <si>
    <t>Ремонт автомобильной дороги в деревне Хохряки по улице Березовая</t>
  </si>
  <si>
    <t>Ремонт дороги ул. Малиновая с. Первомайское</t>
  </si>
  <si>
    <t>0400160150</t>
  </si>
  <si>
    <t>от 17.02.2022 № 192</t>
  </si>
  <si>
    <t>Содержание и ремонт автомобильных дорог и искусственных сооружений на них</t>
  </si>
  <si>
    <t>Расходы на софинансирование лизинговых платежей по договорам финансовой аренды (лизинга) газораспределительных сетей</t>
  </si>
  <si>
    <t>1110209720</t>
  </si>
  <si>
    <t>Расходы на мероприятия по безопасности образовательных организаций в Удмуртской Республике</t>
  </si>
  <si>
    <t>0140304960</t>
  </si>
  <si>
    <t>Резервный фонд Правительства Удмуртской Республики</t>
  </si>
  <si>
    <t>0200200310</t>
  </si>
  <si>
    <t>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t>
  </si>
  <si>
    <t>02001L5190</t>
  </si>
  <si>
    <t>Расходы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сверх установленного уровня софинансирования</t>
  </si>
  <si>
    <t>014P222320</t>
  </si>
  <si>
    <t>Капитальные вложения в объекты государственной (муниципальной) собственности.</t>
  </si>
  <si>
    <t>0400160820</t>
  </si>
  <si>
    <t>Приложение № 5</t>
  </si>
  <si>
    <t>Ощебенение дорог в д. Новая Крестьянка Завьяловского района</t>
  </si>
  <si>
    <t>0900668402</t>
  </si>
  <si>
    <t>Освещение улиц Полевая, Береговая д. Люкшудья Завьяловского района</t>
  </si>
  <si>
    <t>0900668401</t>
  </si>
  <si>
    <t>0900668100</t>
  </si>
  <si>
    <t xml:space="preserve">Расходы за счет средств от введения самообложения граждан </t>
  </si>
  <si>
    <t>0900668400</t>
  </si>
  <si>
    <t>Реализация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</si>
  <si>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1130105770</t>
  </si>
  <si>
    <t>Создание (обновление) материально-технической базы для реализации основных и дополнительных общеобразовательных программ цифрового и гуманитраного профилей в ощеобразовательных организациях, расположенных в сельской местности и малых городах, сверх установленного уровня софинансирования</t>
  </si>
  <si>
    <t>011Е121690</t>
  </si>
  <si>
    <t>Подготовка кадров</t>
  </si>
  <si>
    <t>Расходы на дополнительное профессиональное образование по профилю педагогической деятельности</t>
  </si>
  <si>
    <t>0130200000</t>
  </si>
  <si>
    <t>0130201820</t>
  </si>
  <si>
    <t>от 23.03.2022 № 203</t>
  </si>
  <si>
    <t>0200260170</t>
  </si>
  <si>
    <t>Оказание муниципальными учреждениями муниципальных услуг, выполнение работ, финансовое обеспечение деятельности муниципальных</t>
  </si>
  <si>
    <t>1000366770</t>
  </si>
  <si>
    <t>1410760280</t>
  </si>
  <si>
    <t>9900900750</t>
  </si>
  <si>
    <t>Бюджетные инвестиции в объекты инфраструктуры в целях реализации новых инвестиционных проектов</t>
  </si>
  <si>
    <t>Техническое оснащение муниципальных музеев</t>
  </si>
  <si>
    <t>020A155900</t>
  </si>
  <si>
    <t>Расходы за счет приносящей доход деятельности , оказываемых муниципальными казенными учреждениями</t>
  </si>
  <si>
    <t>1330363200</t>
  </si>
  <si>
    <t>Капитальный ремонт объектов социальной сферы (Субсидии)</t>
  </si>
  <si>
    <t>9900900830</t>
  </si>
  <si>
    <t>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t>
  </si>
  <si>
    <t>0110209090</t>
  </si>
  <si>
    <t>Обеспечение комплексного развития сельских территорий (мероприятия по благоустройству сельских территорий)</t>
  </si>
  <si>
    <t>0820265769</t>
  </si>
  <si>
    <t>08202L5769</t>
  </si>
  <si>
    <t>Государственная поддержка отрасли культуры</t>
  </si>
  <si>
    <t>020A255190</t>
  </si>
  <si>
    <t>Расходы на проведение республиканских сельских спортивных игр</t>
  </si>
  <si>
    <t>0400160185</t>
  </si>
  <si>
    <t>0200260185</t>
  </si>
  <si>
    <t>0140360185</t>
  </si>
  <si>
    <t>1110260185</t>
  </si>
  <si>
    <t>1120260185</t>
  </si>
  <si>
    <t>0200260150</t>
  </si>
  <si>
    <t>1110262012</t>
  </si>
  <si>
    <t>0900668200</t>
  </si>
  <si>
    <t xml:space="preserve">Расходы на софинансирование проектов молодежного инициативного бюджетирования «Атмосфера» </t>
  </si>
  <si>
    <t xml:space="preserve">Расходы на поддержку проектов местных инициатив на территории муниципального образования «Муниципальный округ Завьяловский район Удмуртской Республики» «За преображение» </t>
  </si>
  <si>
    <t>0900668300</t>
  </si>
  <si>
    <t>0900668301</t>
  </si>
  <si>
    <t>Молодежный фестиваль «Этника» с. Завьялово</t>
  </si>
  <si>
    <t>Sporttime  с. Октябрьский</t>
  </si>
  <si>
    <t>Многофункциональная спортивная площадка Завьяловской СОШ с. Завьялово</t>
  </si>
  <si>
    <t>ШудКарЗумья  д.Новый Сентег</t>
  </si>
  <si>
    <t>Sportlife д. Якшур</t>
  </si>
  <si>
    <t>Фитнес д. Новая Казмаска</t>
  </si>
  <si>
    <t>Шуд Инты (Место счастья) д. Пирогово</t>
  </si>
  <si>
    <t>Полоса препятствий д. Средний Постол</t>
  </si>
  <si>
    <t>Обеспечение комплексного развития сельских территорий (оказание финансовой поддержки при исполнении расходных обязательств муниципальных образований по строительству жилья, предназначенного по договору найма жилого помещения)</t>
  </si>
  <si>
    <t>11102L5762</t>
  </si>
  <si>
    <t>Приобретение материалов для ремонта дороги отдельных улиц д. Пойвай</t>
  </si>
  <si>
    <t>Расходы на реализацию мероприятий в рамках проведения республиканского конкурса "Здоровое село"</t>
  </si>
  <si>
    <t>0400107890</t>
  </si>
  <si>
    <t>0140260180</t>
  </si>
  <si>
    <t>1410760032</t>
  </si>
  <si>
    <t>Расходы на денежное поощрение за достижение показателей деятельности</t>
  </si>
  <si>
    <t>0140300820</t>
  </si>
  <si>
    <t>1110260150</t>
  </si>
  <si>
    <t>0200360185</t>
  </si>
  <si>
    <t>от 25.05.2022 № 276</t>
  </si>
  <si>
    <t>0120262150</t>
  </si>
  <si>
    <t>Организация отдыха, оздоровления и занятости детей, подростков и молодежи в УР</t>
  </si>
  <si>
    <t>03002055230</t>
  </si>
  <si>
    <t>9900400310</t>
  </si>
  <si>
    <t>Приложение № 7</t>
  </si>
  <si>
    <t>Расходы на решение вопросов местного значения, осуществляемые с участием средств самообложения граждан за счет межбюджетных трансфертов из бюджета Удмуртской Республики</t>
  </si>
  <si>
    <t>0900608220</t>
  </si>
  <si>
    <t>На погашение кредиторской задолженности прошлых лет , образовавшуюся в результате исполнения бюджета муниципального образования "Завьяловский район" главными распорядителями бюджетных средств</t>
  </si>
  <si>
    <t>На погашение кредиторской задолженности прошлых лет, образовавшуюся в результате исполнения бюджетов муниципальных образований - сельских поселений</t>
  </si>
  <si>
    <t>1410760330</t>
  </si>
  <si>
    <t>1410760340</t>
  </si>
  <si>
    <t>09006S881А</t>
  </si>
  <si>
    <t>09006S881Б</t>
  </si>
  <si>
    <t>09006S881Н</t>
  </si>
  <si>
    <t>09006S881П</t>
  </si>
  <si>
    <t>09006S881Р</t>
  </si>
  <si>
    <t>09006S881Т</t>
  </si>
  <si>
    <t>09006S881У</t>
  </si>
  <si>
    <t>09006S881Ф</t>
  </si>
  <si>
    <t>09006S881В</t>
  </si>
  <si>
    <t>09006S881Г</t>
  </si>
  <si>
    <t>09006S881Е</t>
  </si>
  <si>
    <t>09006S881Ж</t>
  </si>
  <si>
    <t>09006S881И</t>
  </si>
  <si>
    <t>09006S881Л</t>
  </si>
  <si>
    <t>09006S881С</t>
  </si>
  <si>
    <t>09006S881Ц</t>
  </si>
  <si>
    <t>09006S881Ч</t>
  </si>
  <si>
    <t>09006S881Ш</t>
  </si>
  <si>
    <t>09006S881Щ</t>
  </si>
  <si>
    <t>09006S881Э</t>
  </si>
  <si>
    <t>09006S881Ю</t>
  </si>
  <si>
    <t>09006S881Я</t>
  </si>
  <si>
    <t>09006S881Д</t>
  </si>
  <si>
    <t>0810162030</t>
  </si>
  <si>
    <t>Благоустройство спортивной площадки МБДОУ «Центр развития ребенка - детский сад №1»</t>
  </si>
  <si>
    <t>Расходы по содержанию скотомогильников (биотермических ям) и мест захоронений животных, павших от сибирской язвы, и ликвидация неиспользуемых скотомогильников (биотермических ям)</t>
  </si>
  <si>
    <t xml:space="preserve">Cоздание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за счет средств резервного фонда Правительства Российской </t>
  </si>
  <si>
    <t>014P25232F</t>
  </si>
  <si>
    <t>Изменения в приложение № 9 к решению Совета депутатов муниципального образования "Муниципальный округ Завьяловский район Удмуртской Республики"  от 08.12.2021   № 99 "О бюджете муниципального образования "Муниципальный округ Завьяловский район Удмуртской Республики" на 2022 год и на плановый период 2023 и 2024 годов "</t>
  </si>
  <si>
    <t>от 06.07.2022 № 317</t>
  </si>
  <si>
    <t>софинансирование расходов за счет внебюджетных источников на поддержку государственных программ субъектов РФ и муниципальных программ</t>
  </si>
  <si>
    <t>111F2Д5551</t>
  </si>
  <si>
    <t>1130160340</t>
  </si>
  <si>
    <t>Приобретение компьютерной техники в начальные классы МБОУ "Казмасской СОШ имени Героя Советского Союза Н.С.Павлова"</t>
  </si>
  <si>
    <t>0900668302</t>
  </si>
  <si>
    <t>расходы на софинансирование проектов в рамках участия в грантовых конкурсах</t>
  </si>
  <si>
    <t>0900669000</t>
  </si>
  <si>
    <t>09006S881К</t>
  </si>
  <si>
    <t>09006S881М</t>
  </si>
  <si>
    <t>Дот на сбал-ть ()</t>
  </si>
  <si>
    <t>Строительство центральной сети хозяйственно-бытовой канализации по улице Дворцовая д. Хохряки Завьяловского района</t>
  </si>
  <si>
    <t xml:space="preserve">Строительство центральной сети хозяйственно-бытовой канализации по ул. Центральная д. Хохряки </t>
  </si>
  <si>
    <t>09006684ДФ</t>
  </si>
  <si>
    <t>09006684ДШ</t>
  </si>
  <si>
    <t>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t>
  </si>
  <si>
    <t>1000206290</t>
  </si>
  <si>
    <t>1120200310</t>
  </si>
  <si>
    <t>1110200310</t>
  </si>
  <si>
    <t>0140300310</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</si>
  <si>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счет средств бюджета УР сверх установленного уровня софинансирования)</t>
  </si>
  <si>
    <t>0150123040</t>
  </si>
  <si>
    <t>Благоустройство детской площадки на ул. Первомайская с. Бабино</t>
  </si>
  <si>
    <t>Благоустройство Парка Памяти и Славы в с. Бабино</t>
  </si>
  <si>
    <t xml:space="preserve">Устройство уличного освещения д.Жеребенки 
</t>
  </si>
  <si>
    <t>Приобретение кресел в зрительный зал сельского дома культуры «Бабинский» - структурного подразделения муниципального бюджетного учреждения «Культурный комплекс «Центральный»</t>
  </si>
  <si>
    <t>Обустройство детской площадки по ул. Молодежная д. Ожмос-Пурга</t>
  </si>
  <si>
    <t>Щебенение ул. Центральная, ул. Заречная д. Жеребенки.</t>
  </si>
  <si>
    <t>Ремонт дороги ул. Садовая д. Малиново Завьяловского района</t>
  </si>
  <si>
    <t>Приобретение материалов на ремонт дороги ул. Лесная д. Малиново</t>
  </si>
  <si>
    <t>Ремонт дороги ул. Родниковая д. Забегалово</t>
  </si>
  <si>
    <t>Щебенение улицы Янтарная от дома 13 до дома 35, дома 38 и 40 с. Завьялово Завьяловского района</t>
  </si>
  <si>
    <t>Щебенение дороги ул. Земная от дома 1 до дома 37 с. Завьялово</t>
  </si>
  <si>
    <t>Приобретение асфальтной крошки на дорогу ул. Земляничная с. Завьялово</t>
  </si>
  <si>
    <t>Щебенение улицы Янтарная, дома 37 и 39, от дома 41 до дома 50, дом 52 с. Завьялово</t>
  </si>
  <si>
    <t>Ремонт дороги ул. Витуса Беринга, с 1 по 40 дом, с. Завьялово</t>
  </si>
  <si>
    <t>Приобретение щебня на ремонт дороги ул. Просторная, д. Пычанки</t>
  </si>
  <si>
    <t>Приобретение щебня на ремонт дороги ул. Каретная, д. Пычанки</t>
  </si>
  <si>
    <t>Приобретение светодиодных светильников для освещения ул. Каретная, д. Пычанки</t>
  </si>
  <si>
    <t>Приобретение щебня на ремонт дороги ул. Отрадная, д. Пычанки</t>
  </si>
  <si>
    <t>Ремонт дороги ул. Курортная, от дома 1 до дома 11, домов 13 и 15 с. Завьялово</t>
  </si>
  <si>
    <t>Приобретение боя кирпича на ремонт дороги               ул. Курортная, дома 12, 14, от дома 16 до дома 25, дома 27, 29, 31, 33, 35, 37 с. Завьялово</t>
  </si>
  <si>
    <t>Приобретение материалов на ремонт дороги ул. Кубанская и ул. Елисейская, от дома 17 до дома 21, д. Пычанки</t>
  </si>
  <si>
    <t>Благоустройство детской площадки на ул.Береговая д. Пычанки</t>
  </si>
  <si>
    <t>Приобретение щебеночно-песчаной смеси на ремонт дороги ул. Можайская, д. Пычанки</t>
  </si>
  <si>
    <t>Приобретение материалов на ремонт дороги ул. Парадная, ул. Хрустальная и съезда с ул. Барышникова на ул. Парадная и ул. Хрустальная, д. Пычанки</t>
  </si>
  <si>
    <t>Приобретение щебня на ремонт дороги ул. Моховая, д. Пычанки</t>
  </si>
  <si>
    <t>Установка систем видеонаблюдения на ул. Молдаванская, ул. Прибрежная, ул. Медовая, ул. 8 Марта, ул. Авиаторов, ул. Изумрудная  с. Завьялово</t>
  </si>
  <si>
    <t>ремонт дороги ул. Гольянская от дома 77 до дома 89 с. Завьялово</t>
  </si>
  <si>
    <t>Приобретение материалов на ремонт дороги пер. Планетный от дома 1 до дома 4 и ул. Планетная от дома 1 до дома 38 с. Завьялово</t>
  </si>
  <si>
    <t>Ремонт дороги ул. Сенная д. Пычанки</t>
  </si>
  <si>
    <t>Ремонт дороги ул. Мельничная д. Пычанки</t>
  </si>
  <si>
    <t>09006684АА</t>
  </si>
  <si>
    <t>09006684АБ</t>
  </si>
  <si>
    <t>09006684АВ</t>
  </si>
  <si>
    <t>09006684АГ</t>
  </si>
  <si>
    <t>09006684АД</t>
  </si>
  <si>
    <t>09006684АЕ</t>
  </si>
  <si>
    <t>09006684ЖА</t>
  </si>
  <si>
    <t>09006684АЛ</t>
  </si>
  <si>
    <t>09006684АМ</t>
  </si>
  <si>
    <t>09006684АН</t>
  </si>
  <si>
    <t>09006684ЖБ</t>
  </si>
  <si>
    <t>09006684АП</t>
  </si>
  <si>
    <t>09006684АР</t>
  </si>
  <si>
    <t>09006684АС</t>
  </si>
  <si>
    <t>09006684АТ</t>
  </si>
  <si>
    <t>09006684АУ</t>
  </si>
  <si>
    <t>09006684АФ</t>
  </si>
  <si>
    <t>09006684ЖВ</t>
  </si>
  <si>
    <t>09006684АЦ</t>
  </si>
  <si>
    <t>09006684АЧ</t>
  </si>
  <si>
    <t>09006684АШ</t>
  </si>
  <si>
    <t>09006684АЩ</t>
  </si>
  <si>
    <t>09006684АЭ</t>
  </si>
  <si>
    <t>09006684АЮ</t>
  </si>
  <si>
    <t>09006684АЯ</t>
  </si>
  <si>
    <t>09006684БА</t>
  </si>
  <si>
    <t>09006684ББ</t>
  </si>
  <si>
    <t>09006684БВ</t>
  </si>
  <si>
    <t>09006684БГ</t>
  </si>
  <si>
    <t>09006684БД</t>
  </si>
  <si>
    <t>Ремонт здания досугового центра «Новокварсинский» (адрес местонахождения: Удмуртская Республика, Завьяловский район, д. Новокварсинское, ул. Береговая, д. 1) – сетевое представительство сельского Дома культуры «Италмасовский» - структурного подразделения муниципального бюджетного учреждения «Культурный комплекс «Центральный»</t>
  </si>
  <si>
    <t>Ремонт дороги ул. Садовая поч. Успенский Завьяловского района</t>
  </si>
  <si>
    <t>Уличное освещение д. Сизево, ул. Славная, с 10 по 45 дом, микрорайон «Добрый»</t>
  </si>
  <si>
    <t>Приобретение материала для ремонта дороги ул. Новая, от дома 30 до дома 50, д. Каменное</t>
  </si>
  <si>
    <t>Ремонт дороги ул. Родниковая и ул. Янтарная, д. Каменное</t>
  </si>
  <si>
    <t>Укладка резинового покрытия с разметкой под игровые виды спорта на хокейнной коробке в д. Старый Чультем</t>
  </si>
  <si>
    <t>ремонт пешеходной дорожки вдоль ул. Цветочная от ул. Южная до ул. Овражная д. Старый Чультем</t>
  </si>
  <si>
    <t>Уличное освещение по ул. Добрая от перекрестка с ул. Светлая до перекрестка с ул. Отрадная д. Сизево</t>
  </si>
  <si>
    <t>Асфальтирование дороги ул. Цветочная от ул. Южная до ул. Овражная д. Старый Чультем</t>
  </si>
  <si>
    <t>Уличное освещение по ул. Светлая от дома 12 до дома 82 д. Сизево</t>
  </si>
  <si>
    <t>уличное освещение по ул. Мира от дома 50 до дома 65, ул. Высотная, ул. Снежная, ул. Рубиновая, ул. Изумрудная, ул. Строителей д. Сизево</t>
  </si>
  <si>
    <t>Приобритение асфальтной крошки на ремонт дороги ул. Удмуртская д. Новая Казмаска</t>
  </si>
  <si>
    <t>Приобретение материалов на ремонт автомобильной дороги  СНТ "Восток-1" - д. Старые Тукмачи</t>
  </si>
  <si>
    <t>Ремонт автомобильной дороги ул. Молодёжная с. Кияик</t>
  </si>
  <si>
    <t>приобретение спортивного оборудования в д. большой Кияик</t>
  </si>
  <si>
    <t xml:space="preserve">Приобретение асфальтной крошки на дорожное полотно по ул. Красная, от дома 61 до дома 80 с. Люк </t>
  </si>
  <si>
    <t>Приобретение асфальтной крошки на дорожное полотно ул. Поселковая, от дома 21 до дома 49, с. Люк</t>
  </si>
  <si>
    <t>Обустройство уличного освещения территории детской площадки по адресу: Удмуртская Республика, Завьяловский район, с. Люк, ул. Свободы, напротив дома № 6</t>
  </si>
  <si>
    <t>Ремон дороги ул. Октябрьская с. Первомайский</t>
  </si>
  <si>
    <t>Ремонт дороги ул. Ясная с. Первомайский</t>
  </si>
  <si>
    <t>Ремонт дороги ул. Лесная с. Первомайский Завьяловского района</t>
  </si>
  <si>
    <t>Ремонт дороги ул. Вишневая с. Первомайский Завьяловского района</t>
  </si>
  <si>
    <t>Ремонт дороги ул. Новая с. Первомайский Завьяловского района</t>
  </si>
  <si>
    <t>ремонт дороги ул. Нижняя с. Первомайский</t>
  </si>
  <si>
    <t>Ремонт дороги ул. Южная с. Первомайский</t>
  </si>
  <si>
    <t>ремонт дороги ул. Фруктовая с. Первомайский</t>
  </si>
  <si>
    <t>Ремонт дороги ул. Юбилейная с. Первомайский</t>
  </si>
  <si>
    <t>Ремонт дороги ул. Строителей от дома 24 до дома 64 с. Первомайский</t>
  </si>
  <si>
    <t>Ремонт дороги  ул. Сиреневая, с. Первомайский</t>
  </si>
  <si>
    <t>Обустройство пешеходной дорожкина ул. Азина от ул. Октябрьская до ул. Пионерская с. Первомайский</t>
  </si>
  <si>
    <t>09006684БЕ</t>
  </si>
  <si>
    <t>09006684БЖ</t>
  </si>
  <si>
    <t>09006684ЖГ</t>
  </si>
  <si>
    <t>09006684БИ</t>
  </si>
  <si>
    <t>09006684БК</t>
  </si>
  <si>
    <t>09006684БЛ</t>
  </si>
  <si>
    <t>09006684БМ</t>
  </si>
  <si>
    <t>09006684БН</t>
  </si>
  <si>
    <t>09006684БП</t>
  </si>
  <si>
    <t>09006684БР</t>
  </si>
  <si>
    <t>09006684БС</t>
  </si>
  <si>
    <t>09006684БТ</t>
  </si>
  <si>
    <t>09006684БУ</t>
  </si>
  <si>
    <t>09006684БФ</t>
  </si>
  <si>
    <t>09006684ЖЕ</t>
  </si>
  <si>
    <t>09006684БЦ</t>
  </si>
  <si>
    <t>09006684БЧ</t>
  </si>
  <si>
    <t>09006684БШ</t>
  </si>
  <si>
    <t>09006684БЩ</t>
  </si>
  <si>
    <t>09006684БЭ</t>
  </si>
  <si>
    <t>09006684БЮ</t>
  </si>
  <si>
    <t>09006684БЯ</t>
  </si>
  <si>
    <t>09006684ВА</t>
  </si>
  <si>
    <t>09006684ВБ</t>
  </si>
  <si>
    <t>09006684ВВ</t>
  </si>
  <si>
    <t>09006684ВГ</t>
  </si>
  <si>
    <t>09006684ВД</t>
  </si>
  <si>
    <t>09006684ВЕ</t>
  </si>
  <si>
    <t>09006684ВЖ</t>
  </si>
  <si>
    <t>09006684ЖИ</t>
  </si>
  <si>
    <t>Ремонт дорог ул. Дружбы, ул. Спортивная, ул. Цветочная, ул. Южная д. Пирогово Завьяловского района</t>
  </si>
  <si>
    <t>Монтаж уличного освещения д. Лудорвай, переулок Звездный, переулок Кизнерский, переулок Лучистый, переулок Радужный, переулок Счастливый, переулок Татарский, переулок Юбилейный, ул. Добрая, ул. Кирпичная, ул. Крымская, ул. Медовая, ул. Можгинская, ул. Объездная, ул. Светлая,  ул. Увинская, ул. Удмуртская, ул. Яблочная, ул. Янтарная.</t>
  </si>
  <si>
    <t>Ремонт дороги ул. Мира от дома 1 до дома 15 д. Лудорвай</t>
  </si>
  <si>
    <t>Ремонт дороги ул. Аэродромная д. Пирогово Завьяловского района</t>
  </si>
  <si>
    <t xml:space="preserve">Ремонт дороги ул. Геологов д. Пирогово </t>
  </si>
  <si>
    <t>Ремонт дорог д. Лудорвай, пер. Звездный, пер. Радужный, пер. Юбилейный, ул. Крымская, ул. Удмуртская, ул. Янтарная</t>
  </si>
  <si>
    <t>Ремонт дороги ул. Центральная д. Пирогово</t>
  </si>
  <si>
    <t>Обустройство детской площадки на ул. Нылгинская д. Пирогово</t>
  </si>
  <si>
    <t>Ремонт дороги ул. Молодёжная д. Лудорвай</t>
  </si>
  <si>
    <t>Ремонт дороги ул. Вишнёвая, д. Лудорвай</t>
  </si>
  <si>
    <t>Ремонт дороги ул. Школьная, от дома 5 до дома 11, д. Лудорвай</t>
  </si>
  <si>
    <t>Ремонт дороги ул. Кооперативная, от дома 1 до дома 6, ул. Прудовая д. Лудорвай</t>
  </si>
  <si>
    <t>Ремонт дороги ул. Советская д. Лудорвай</t>
  </si>
  <si>
    <t>Ремонт дороги ул. Заречная от дома 21 до дома 67 д. Лудорвай</t>
  </si>
  <si>
    <t>Ремонт дороги ул. Лесная от дома 2 до дома 23 д. Лудорвай</t>
  </si>
  <si>
    <t>Ремонт дороги ул. Ильинская от дома 11 до дома 22а д. Лудорвай</t>
  </si>
  <si>
    <t>Ремонт дороги ул. Рассветная д. Лудорвай</t>
  </si>
  <si>
    <t>Ремонт дороги ул. Родниковая от дома 1 до дома 15 д. Лудорвай</t>
  </si>
  <si>
    <t>Ремонт дороги ул. Солнечная от дома 1 до дома 7, ул. Окружная, ул. Верхняя, ул. Весенняя, ул. Цветочная, ул. Нагорная, пер. Цветочный д. Лудорвай</t>
  </si>
  <si>
    <t>Ремонт дороги ул. Можгинская, ул. Увинская, ул. Яблочная д. Лудорвай</t>
  </si>
  <si>
    <t>Ремонт дороги ул. Южная, от дома 1б до дома 16, д. Лудорвай</t>
  </si>
  <si>
    <t>Ремонт дороги ул. Полевая, ул. Труда, от дома 14 до дома 31, ул. Школьная, от дома 1 до дома 4, д. Лудорвай</t>
  </si>
  <si>
    <t>обустройство детской площадки на ул. Солнечная д. Пирогово</t>
  </si>
  <si>
    <t>Приобретение материалов на ремонт дороги ул. Школьная, от дома 1 до дома 10, д. Подшивалово</t>
  </si>
  <si>
    <t>Приобретение щебня на дорогу ул. Ольховая д. Курегово Завьяловского района</t>
  </si>
  <si>
    <t>Приобретение материалов для ремонта дороги                ул. Центральная д. Лудзя-Норья</t>
  </si>
  <si>
    <t>Приобретение материалов на ремонт дороги ул. Вишнёвая от дома 1 до дома 20 д. Курегово</t>
  </si>
  <si>
    <t>Приобретение материалов на ремонт дороги ул. Вишнёвая от дома 46 до дома 76 д. Курегово</t>
  </si>
  <si>
    <t>Приобретение материалов на ремонт дороги ул. Лазоревая д. Курегово</t>
  </si>
  <si>
    <t>Приобретение материалов на ремонт дороги ул. Полевая и ул. Ромашковая д. Курегово</t>
  </si>
  <si>
    <t>Приобретение материалов на ремонт дороги ул. Черемуховая от дома 17 до дома 44 д. Курегово</t>
  </si>
  <si>
    <t>Приобретение материалов на ремонт дороги ул. Ясеневая д. Курегово</t>
  </si>
  <si>
    <t>Приобретение материалов на ремонт дороги ул. Полевая от дома 1 до дома 10, ул. Октябрьская, ул. Береговая д. Кузили</t>
  </si>
  <si>
    <t>Приобретение материалов на ремонт дороги ул. Совхозная от дома 18 до дома 59 с. Советско-Никольское</t>
  </si>
  <si>
    <t>Приобретение материалов на ремонт дороги ул. Западная, дома 1, 3, 5, 12, 16, 18, 20, 54б, д. Подшивалово</t>
  </si>
  <si>
    <t>Приобретение материалов на ремонт дороги ул. Западная, дома 11а, 13, 17, 21, 26, 26а, 32, 34, 34а, 38, 38а, 56, д. Подшивалово</t>
  </si>
  <si>
    <t>Приобретение материалов на ремонт дороги ул. Южная д. Подшивалово</t>
  </si>
  <si>
    <t>Приобретение материалов на ремонт дороги ул. Вербная, дома 1, 5, 22, ул. Западная, дома 43 и пер. Березовый, дома 1, 2 д. Подшивалово</t>
  </si>
  <si>
    <t>Приобретение материалов на ремонт дороги ул. Мира и ул. Свободы д. Козлово</t>
  </si>
  <si>
    <t>Приобретение материалов на ремонт дороги ул. Центральная, от дома 11 до дома 19 и ул. Мужвайская, от перекрестка с ул. Центральная до перекрестка с ул. Песочная, поч. Можвай</t>
  </si>
  <si>
    <t>приобретение материалов на ремонт дороги ул. Черемуховая от дома 46 до дома 74 д. Курегово</t>
  </si>
  <si>
    <t>приобретение материалов на ремонт дороги ул. Свободы д. Ленино</t>
  </si>
  <si>
    <t>Приобретение материалов на ремонт дороги ул. Западная д. Курегово</t>
  </si>
  <si>
    <t>09006684ВИ</t>
  </si>
  <si>
    <t>09006684ВК</t>
  </si>
  <si>
    <t>09006684ВЛ</t>
  </si>
  <si>
    <t>09006684ВМ</t>
  </si>
  <si>
    <t>09006684ВН</t>
  </si>
  <si>
    <t>09006684ЖК</t>
  </si>
  <si>
    <t>09006684ВП</t>
  </si>
  <si>
    <t>09006684ВР</t>
  </si>
  <si>
    <t>09006684ВС</t>
  </si>
  <si>
    <t>09006684ВТ</t>
  </si>
  <si>
    <t>09006684ВУ</t>
  </si>
  <si>
    <t>09006684ВФ</t>
  </si>
  <si>
    <t>09006684ЖЛ</t>
  </si>
  <si>
    <t>09006684ВЦ</t>
  </si>
  <si>
    <t>09006684ВЧ</t>
  </si>
  <si>
    <t>09006684ВШ</t>
  </si>
  <si>
    <t>09006684ВЩ</t>
  </si>
  <si>
    <t>09006684ВЭ</t>
  </si>
  <si>
    <t>09006684ВЮ</t>
  </si>
  <si>
    <t>09006684ВЯ</t>
  </si>
  <si>
    <t>09006684ГА</t>
  </si>
  <si>
    <t>09006684ГБ</t>
  </si>
  <si>
    <t>09006684ГВ</t>
  </si>
  <si>
    <t>09006684ГГ</t>
  </si>
  <si>
    <t>09006684ГД</t>
  </si>
  <si>
    <t>09006684ГЕ</t>
  </si>
  <si>
    <t>09006684ГЖ</t>
  </si>
  <si>
    <t>09006684ЖМ</t>
  </si>
  <si>
    <t>09006684ГИ</t>
  </si>
  <si>
    <t>09006684ГК</t>
  </si>
  <si>
    <t>09006684ГЛ</t>
  </si>
  <si>
    <t>09006684ГМ</t>
  </si>
  <si>
    <t>09006684ГН</t>
  </si>
  <si>
    <t>09006684ЖН</t>
  </si>
  <si>
    <t>09006684ГП</t>
  </si>
  <si>
    <t>09006684ГР</t>
  </si>
  <si>
    <t>09006684ГС</t>
  </si>
  <si>
    <t>09006684ГТ</t>
  </si>
  <si>
    <t>09006684ГУ</t>
  </si>
  <si>
    <t>09006684ГФ</t>
  </si>
  <si>
    <t>09006684ЖП</t>
  </si>
  <si>
    <t>09006684ГЦ</t>
  </si>
  <si>
    <t>09006684ГЧ</t>
  </si>
  <si>
    <t>Приобретение материалов на ремонт дороги ул. Лесная с. Постол</t>
  </si>
  <si>
    <t>приобретение щебня на ремонт дороги переулка Кирпичный, от дома 1 до дома 5, с. Постол</t>
  </si>
  <si>
    <t>Приобретение материалов на ремонт дороги ул. Восточная с. Постол</t>
  </si>
  <si>
    <t>Приобретение материалов на ремонт дороги ул. Кирпичная и переулка Кирпичный, домов 6 и 7, с. Постол</t>
  </si>
  <si>
    <t>Приобретение материалов для ремонта дороги              ул. Зелёная с. Постол</t>
  </si>
  <si>
    <t>Щебенение дороги ул. Ветеранов д. Верхний Женвай</t>
  </si>
  <si>
    <t>Приобретение материалов на ремонт дороги ул. Новая с. Постол</t>
  </si>
  <si>
    <t>Приобретение материалов на ремонт дорог ул. Весенняя, ул. Дружбы, ул. Зелёная, ул. Луговая, ул. Победы, ул. Придорожная, ул. Свободы д. Средний Постол</t>
  </si>
  <si>
    <t>Щебенение дороги ул. Урал д. Верхний Женвай</t>
  </si>
  <si>
    <t>Щебенение дороги ул. Октябрьская д. Постол</t>
  </si>
  <si>
    <t>Щебенение дороги ул.Успенская д. Постол</t>
  </si>
  <si>
    <t>Приобретение материалов на ремонт дороги ул. Весенняя д. Малая Венья</t>
  </si>
  <si>
    <t>Приобретение материалов на ремонт дороги ул. Цветочная д. Малая Венья</t>
  </si>
  <si>
    <t>Приобретение материалов на ремонт дороги ул. Молодёжная и ул. Пугачёвская д. Непременная Лудзя</t>
  </si>
  <si>
    <t>Приобретение материалов на ремонт дороги ул. Южная д. Малая Венья</t>
  </si>
  <si>
    <t>Приобретение материалов на ремонт дороги ул. Новостроительная с. Совхозный</t>
  </si>
  <si>
    <t>Приобретение материалов на ремонт дороги ул. Короткая д. Малая Венья</t>
  </si>
  <si>
    <t>Приобретение материалов на ремонт дороги д. Непременная Лудзя, ул. Полевая и ул. Школьная от дома 1 до дома 23</t>
  </si>
  <si>
    <t>Приобретение материалов на ремонт дороги ул. 50 лет Победы с. Совхозный</t>
  </si>
  <si>
    <t>Приобретение материалов на ремонт дороги ул. Северная д. Непременная Лудзя</t>
  </si>
  <si>
    <t>Приобретение материалов на ремонт дороги ул. Центральная д. Малая Венья</t>
  </si>
  <si>
    <t>Приобретение материалов на ремонт дороги ул. Степная с. Совхозный</t>
  </si>
  <si>
    <t>Приобретение материалов на ремонт дороги ул. Школьная от дома 25а до дома 55 д. Непременная Лудзя</t>
  </si>
  <si>
    <t>Асфальтирование автомобильной дороги в д. Хохряки по ул. Соловьиная</t>
  </si>
  <si>
    <t>Асфальтирование автомобильной дороги в д. Хохряки по ул. Цветочная</t>
  </si>
  <si>
    <t>ремонт автомобильной дороги ул. Восточная д.Хохряки</t>
  </si>
  <si>
    <t>Ремонт автомобильной дороги с ул. Мира на ул. Победы д. Хохряки</t>
  </si>
  <si>
    <t>Асфальтирование автомобильной дороги переулка Малиновый д.Хохряки</t>
  </si>
  <si>
    <t xml:space="preserve">Асфальтирование автомобильной дороги ул. Покровская д. Хохряки </t>
  </si>
  <si>
    <t>09006684ГШ</t>
  </si>
  <si>
    <t>09006684ГЩ</t>
  </si>
  <si>
    <t>09006684ГЭ</t>
  </si>
  <si>
    <t>09006684ГЯ</t>
  </si>
  <si>
    <t>09006684ДА</t>
  </si>
  <si>
    <t>09006684ДБ</t>
  </si>
  <si>
    <t>09006684ДВ</t>
  </si>
  <si>
    <t>09006684ДГ</t>
  </si>
  <si>
    <t>09006684ДД</t>
  </si>
  <si>
    <t>09006684ДЕ</t>
  </si>
  <si>
    <t>09006684ДЖ</t>
  </si>
  <si>
    <t>09006684ЖР</t>
  </si>
  <si>
    <t>09006684ДИ</t>
  </si>
  <si>
    <t>09006684ДК</t>
  </si>
  <si>
    <t>09006684ДЛ</t>
  </si>
  <si>
    <t>09006684ДМ</t>
  </si>
  <si>
    <t>09006684ДН</t>
  </si>
  <si>
    <t>09006684ЖС</t>
  </si>
  <si>
    <t>09006684ДП</t>
  </si>
  <si>
    <t>09006684ДР</t>
  </si>
  <si>
    <t>09006684ДС</t>
  </si>
  <si>
    <t>09006684ДТ</t>
  </si>
  <si>
    <t>09006684ДУ</t>
  </si>
  <si>
    <t>09006684ЖТ</t>
  </si>
  <si>
    <t>09006684ДЧ</t>
  </si>
  <si>
    <t>09006684ДЩ</t>
  </si>
  <si>
    <t>09006684ДЭ</t>
  </si>
  <si>
    <t>09006684ДЮ</t>
  </si>
  <si>
    <t>09006684ДЯ</t>
  </si>
  <si>
    <t>Щебенение дороги ул. Тополиная, от дома 2 до дома 24, с. Ягул</t>
  </si>
  <si>
    <t>Щебенение дороги ул. Покровская с. Ягул</t>
  </si>
  <si>
    <t>Ремонт дороги ул. Удмуртская д. Старое Михайловское</t>
  </si>
  <si>
    <t>Приобретение материалов на ремонт дороги ул. Летняя, от перекрестка Заречная до перекрестка Колхозная, с. Ягул</t>
  </si>
  <si>
    <t>Ремонт дорог ул. Подлесная, ул. Сосновая д. Старое Михайловское</t>
  </si>
  <si>
    <t>Щебенение дороги ул. Еловая от дома 1 до дома 20 д. Русский Вожой</t>
  </si>
  <si>
    <t>Ремонт дороги ул. Отрадная с. Ягул</t>
  </si>
  <si>
    <t>Ремонт дороги ул. Абрикосовая от дома 21 до дома 46 д. Русский Вожой</t>
  </si>
  <si>
    <t>Ремонт дороги ул. Малиновая от дома 1 до дома 20 д. Русский Вожой</t>
  </si>
  <si>
    <t>Ремонт дороги ул. Лиственная от дома 1 до дома 11 д. Русский Вожой</t>
  </si>
  <si>
    <t>Ремонт дороги ул. Лиственная от дома 12 до дома 33 д. Русский Вожой</t>
  </si>
  <si>
    <t>Ремонт дороги ул. Виноградная от дома 22 до дома 42  д. Русский Вожой</t>
  </si>
  <si>
    <t>Ремонт дороги ул. Дорожная, ул. Сосновая от перекрестка ул. Дорожная до перекрестка ул. Холмогорова с. Ягул</t>
  </si>
  <si>
    <t>Ремонт дороги ул. Виноградная от дома 1 до дома 20 д. Русский Вожой</t>
  </si>
  <si>
    <t>Ремонт дороги ул. Березовая от дома 1 до дома 20 д. Русский Вожой</t>
  </si>
  <si>
    <t>Ремонт дороги ул. Березовая от дома 21 до дома 41 д. Русский Вожой</t>
  </si>
  <si>
    <t>Ремонт дороги ул. Абрикосовая от дома 1 до дома 20 д. Русский Вожой</t>
  </si>
  <si>
    <t>Обустройство уличного освещения ул. Еловая от дома 1 дома 20 д. Русский Вожой</t>
  </si>
  <si>
    <t>Щебенение дороги ул. Спортивная от дома 12 до дома 16, пер. Спортивный от дома 5 до дома 10 с. Ягул</t>
  </si>
  <si>
    <t>Приобретение материалов на ремонт дороги ул. Прудовая д. Старое Михайловское</t>
  </si>
  <si>
    <t>Ремонт дороги от перекрестка ул.Луговая и проезд Южный до ул. Холмогорова с. Ягул</t>
  </si>
  <si>
    <t>Ремонт дороги от границ земельного участка по адресу: проезд Южный, 1А до ул. Холмогорова с. Ягул</t>
  </si>
  <si>
    <t>Приобретение материалов на ремонт дороги ул. Бахтияровская д. Бахтияры</t>
  </si>
  <si>
    <t>Ремонт дороги местного значения Воткинский тракт - д. Старые Марасаны</t>
  </si>
  <si>
    <t>09006684ЕА</t>
  </si>
  <si>
    <t>09006684ЕБ</t>
  </si>
  <si>
    <t>09006684ЕВ</t>
  </si>
  <si>
    <t>09006684ЕГ</t>
  </si>
  <si>
    <t>09006684ЕД</t>
  </si>
  <si>
    <t>09006684ЕЕ</t>
  </si>
  <si>
    <t>09006684ЕЖ</t>
  </si>
  <si>
    <t>09006684ЖУ</t>
  </si>
  <si>
    <t>09006684ЕИ</t>
  </si>
  <si>
    <t>09006684ЕК</t>
  </si>
  <si>
    <t>09006684ЕЛ</t>
  </si>
  <si>
    <t>09006684ЕМ</t>
  </si>
  <si>
    <t>09006684ЕН</t>
  </si>
  <si>
    <t>09006684ЕП</t>
  </si>
  <si>
    <t>09006684ЕР</t>
  </si>
  <si>
    <t>09006684ЕС</t>
  </si>
  <si>
    <t>09006684ЕТ</t>
  </si>
  <si>
    <t>09006684ЕУ</t>
  </si>
  <si>
    <t>09006684ЕФ</t>
  </si>
  <si>
    <t>09006684ЕЦ</t>
  </si>
  <si>
    <t>09006684ЕШ</t>
  </si>
  <si>
    <t>09006684ЕЩ</t>
  </si>
  <si>
    <t>09006684ЕЭ</t>
  </si>
  <si>
    <t>09006684ЕЮ</t>
  </si>
  <si>
    <t>09006S9551</t>
  </si>
  <si>
    <t>09006S9552</t>
  </si>
  <si>
    <t>09006S9553</t>
  </si>
  <si>
    <t>09006S9554</t>
  </si>
  <si>
    <t>09006S9555</t>
  </si>
  <si>
    <t>09006S9556</t>
  </si>
  <si>
    <t>09006S9557</t>
  </si>
  <si>
    <t>09006S9558</t>
  </si>
  <si>
    <t>от 02.09.2022 № 355</t>
  </si>
  <si>
    <t>Расходы на предоставление грантов по итогам оценки эффективности деятельности</t>
  </si>
  <si>
    <t>9900305580</t>
  </si>
  <si>
    <t>Расходы на реализацию мероприятий по поэтапному внедрению Всероссийского физкультурно-спортивного комплекса "Готов к труду и обороне" (ГТО)</t>
  </si>
  <si>
    <t>0400151270</t>
  </si>
  <si>
    <t>1330460150</t>
  </si>
  <si>
    <t>1410760180</t>
  </si>
  <si>
    <t>от 28.09.2022 № 364</t>
  </si>
  <si>
    <t>9900000310</t>
  </si>
  <si>
    <t>1410700310</t>
  </si>
  <si>
    <t>1410705580</t>
  </si>
  <si>
    <t>1110100310</t>
  </si>
  <si>
    <t>1000100310</t>
  </si>
  <si>
    <t>0200400310</t>
  </si>
  <si>
    <t>0140100310</t>
  </si>
  <si>
    <t>0120100310</t>
  </si>
  <si>
    <t>0110200310</t>
  </si>
  <si>
    <t>0110100310</t>
  </si>
  <si>
    <t>всего</t>
  </si>
  <si>
    <t>0900500310</t>
  </si>
  <si>
    <t>Разработка проектно-сметной документации на капитальный ремонт гидротехнических сооружений, находящихся в муниципальной собственности</t>
  </si>
  <si>
    <t>1330406220</t>
  </si>
  <si>
    <t>Расходы на подготовку (переподготовку) и повышение квалификации кадров</t>
  </si>
  <si>
    <t>0130260270</t>
  </si>
  <si>
    <t>09006S881D</t>
  </si>
  <si>
    <t>09006S881G</t>
  </si>
  <si>
    <t>09006S881F</t>
  </si>
  <si>
    <t>Дот на сбал-ть (лизинговые платежи)</t>
  </si>
  <si>
    <t>от 19.10.2022 № 373</t>
  </si>
  <si>
    <t>Благоустройство территории досугового центра «Сапаровский» - сетевое представительство Сельского Дома культуры «Бабинский» - структурного подразделения муниципального бюджетного учреждения «Культурный комплекс «Центральный»</t>
  </si>
  <si>
    <t>Ремонт дороги ул. Новая д. Малиново</t>
  </si>
  <si>
    <t>Благоустройство детской площадки на ул.Лесная д. Малиново</t>
  </si>
  <si>
    <t>Ремонт пешеходной дорожки вдоль многоквартирного жилого дома № 55 по ул. Калинина с. Завьялово</t>
  </si>
  <si>
    <t>Устройство уличного освещения ул. Спасская, ул. Фестивальная, ул. Тихая, ул. Цветущая, ул. Небесная, ул. Ясная, ул. Рождественская, ул. Лучистая д. Старое Мартьяново</t>
  </si>
  <si>
    <t>Обустройство уличного освещения территории детской площадки по адресу: Удмуртская Республика, Завьяловский район, с. Завьялово, ул. Орбитальная</t>
  </si>
  <si>
    <t>Установка систем видеонаблюдения на территории детской площадки по адресу: Удмуртская Республика, Завьяловский район, с. Завьялово, ул. Орбитальная</t>
  </si>
  <si>
    <t>Ремонт дороги ул.Ромашковая с.Завьялово</t>
  </si>
  <si>
    <t>Обустройство уличного освещения ул. Васильковая от дома 42 до дома 84 по четной стороне и от дома 57 до дома 105 по нечетной стороне, переулка Васильковый, от дома 1 до дома 5 с.Завьялово</t>
  </si>
  <si>
    <t>Приобретение материалов на ремонт дороги ул. Лунная, от дома 5 до дома 31 по нечетной стороне и от дома 6 до дома 34 по четной стороне, с. Завьялово</t>
  </si>
  <si>
    <t xml:space="preserve">Приобретение оборудования для детской площадки по адресу: Удмуртская Республика, Завьяловский район, с. Завьялово, ул. Орбитальная </t>
  </si>
  <si>
    <t>Приобретение материалов на ремонт дороги ул.Дивная от дома 1 до дома 42, ул.Галактическая от ул.Лунная до ул.Витуса Беренга</t>
  </si>
  <si>
    <t>Приобретение материалов для ремонта дороги ул. Прудовая д. Старый Чультем</t>
  </si>
  <si>
    <t>Приобретение материалов для ремонта участка дороги ул. Светлая от пересечения с ул. Отрадная до ул. Мирная д. Сизево</t>
  </si>
  <si>
    <t>Обустройство уличного освещения                 ул. Черноморская д. Старый Чультем</t>
  </si>
  <si>
    <t>Приобретение материалов для ремонта дороги ул. Черноморская д. Старый Чультем</t>
  </si>
  <si>
    <t>Приобретение одежды сцены (текстильного оформления сцены) в СДК «Каменский» (адрес местонахождения: Удмуртская Республика, Завьяловский район, д. Каменное, ул. Молодежная 2а) – структурного подразделения муниципального бюджетного учреждения «Культурный комплекс «Центральный»</t>
  </si>
  <si>
    <t>Ремонт дороги ул. Ивановская д. Старые Кены</t>
  </si>
  <si>
    <t>Обустройство уличного освещения ул. Мира, от дома 1 до дома 49, ул. Южный Взвоз д. Сизево</t>
  </si>
  <si>
    <t>Приобретение материалов на ремонт дороги ул. Цветочная, от перекрестка с ул. Полевая до дома 30, д. Каменное</t>
  </si>
  <si>
    <t>Приобретение материалов для ремонта дорожных обочин по ул. Родниковая, ул. Янтарная д. Каменное</t>
  </si>
  <si>
    <t>Приобретение водонапорной башни в   д. Каменное</t>
  </si>
  <si>
    <t>Обустройство уличного освещения                   ул. Молодежная, ул. Песчаная, ул. Подгорная, ул. Сосновая, ул. Элитная д. Старый Чультем</t>
  </si>
  <si>
    <t>Обустройство уличного освещения ул. Цветочная, от перекрестка с ул. Полевая до дома 30, д. Каменное</t>
  </si>
  <si>
    <t>приобретение стульев для зрительного зала Досугового центра Новосентегский (адрес местонахождения: Удмуртская Республика, Завьяловский район, д. Новый Сентег, ул. Клубная, д. 19) – сетевое представительство Сельского Дома культуры «Люкский» - структурного подразделения муниципального бюджетного учреждения «Культурный комплекс «Центральный»</t>
  </si>
  <si>
    <t>ремонт дороги ул. Луговая с. Первомайский</t>
  </si>
  <si>
    <t>Ремонт дороги ул. Солнечная с. Первомайский</t>
  </si>
  <si>
    <t>Ремонт дороги ул.Цветочная с.Первомайский</t>
  </si>
  <si>
    <t>Приобретение материалов на ремонт дороги ул. Сосновая д. Курегово</t>
  </si>
  <si>
    <t>Ремонт дорог ул. Лесная, ул. Подлесная, ул. Еловая, переулок 2-й Лесной, переулок 3-й Лесной, переулок 4-й Лесной, переулок 5-й Лесной, переулок 6-й Лесной д. Курегово</t>
  </si>
  <si>
    <t>Ремонт дороги ул. Нагорная от дома 1 до дома 55, переулок Малый д. Сепыч</t>
  </si>
  <si>
    <t>Приобретение снегоуборочной техники для расчистки тротуарной дорожки в д.Подшивалово</t>
  </si>
  <si>
    <t>Приобретение и установка детского игрового комплекса на ул. Степная с. Совхозный</t>
  </si>
  <si>
    <t>Асфальтированин автомобильной дороги переулка Бирюзовый д. Хохряки</t>
  </si>
  <si>
    <t>Ремонт автомобильной дороги с ул.Мира на ул.Южная д.Хохряки</t>
  </si>
  <si>
    <t>асфальтирование автомобильной дороги        ул. Труда д. Хохряки</t>
  </si>
  <si>
    <t>асфальтирование автомобильной дороги переулка Сосновый д. Хохряки</t>
  </si>
  <si>
    <t>асфальтирование автомобильной дороги переулка Родниковый д. Хохряки</t>
  </si>
  <si>
    <t>асфальтирование автомобильной дороги        ул. Солнечная д. Хохряки</t>
  </si>
  <si>
    <t>ремонт автомобильной дороги с ул. Мира на ул. Лазурная д. Хохряки</t>
  </si>
  <si>
    <t>Ремонт автомобильной дороги с ул. Мира на ул. Приозерная д. Хохряки</t>
  </si>
  <si>
    <t>Асфальтирование автомобильной дороги в деревне Хохряки по улице Подлесная</t>
  </si>
  <si>
    <t>Асфальтирование автомобильной дороги по       ул. Васильковая д. Хохряки</t>
  </si>
  <si>
    <t>Асфальтирование автомобильной дороги ул.Радужная д.Хохряки</t>
  </si>
  <si>
    <t>Ремонт дороги ул. Смородиновая д. Русский Вожой</t>
  </si>
  <si>
    <t>Обустройство уличного освещения ул.Зеленая, ул. Прудовая, ул. Луговая д. Старое Михайловское</t>
  </si>
  <si>
    <t>Обустройство детской спортивной площадки в поч. Мирный</t>
  </si>
  <si>
    <t>Ремонт дорог ул. Весенняя, ул. Васильковая д. Русский Вожой</t>
  </si>
  <si>
    <t>Приобретение материалов на ремонт дороги ул. Березовая с. Ягул</t>
  </si>
  <si>
    <t>Приобретение материалов на ремонт дороги ул. Солнечная с. Ягул</t>
  </si>
  <si>
    <t>Ремонт дорог ул. Курская,  Смоленская, Брянская, Рязанская, Ярославская, Владимирская, Новгородская, Живописная, Новгородская д. Старое Михайловское</t>
  </si>
  <si>
    <t>приобретение строительных материалов на ремонт дороги ул. Родниковая поч. Новомихайловский</t>
  </si>
  <si>
    <t>Обустройство уличного освещения ул. Дорожная с. Ягул</t>
  </si>
  <si>
    <t>Ремонт дороги ул. Верхняя   д. Крестовоздвиженское</t>
  </si>
  <si>
    <t>Асфальтирование дороги  в поч. Мирный</t>
  </si>
  <si>
    <t>Обустройство уличного освещения ул.Дружбы д.Старое Михайловское</t>
  </si>
  <si>
    <t>Ремонт дороги ул. Каштановая д.Русский Вожой</t>
  </si>
  <si>
    <t>Ремонт дороги ул.Графа Шувалова с.Ягул</t>
  </si>
  <si>
    <t>Приобретение материалов для ремонта дороги ул. Колхозная с.Ягул</t>
  </si>
  <si>
    <t>Ремонт дороги пр. Бородинский, ул. Новгородская д. Старое Михайловское</t>
  </si>
  <si>
    <t>Ремонт дороги ул.Ольховая д.Старое Михайловское</t>
  </si>
  <si>
    <t>Приобретение асфальтной крошки для ремонта дороги ул. Сосновая д. 25, 27, 29, 31-52 д. Якшур</t>
  </si>
  <si>
    <t>Ремонт дороги ул. Молодёжная от дома 11 до дома 24 д.Якшур</t>
  </si>
  <si>
    <t>09006684АЖ</t>
  </si>
  <si>
    <t>09006684АИ</t>
  </si>
  <si>
    <t>09006684КФ</t>
  </si>
  <si>
    <t>09006684ИА</t>
  </si>
  <si>
    <t>09006684ИБ</t>
  </si>
  <si>
    <t>09006684ИВ</t>
  </si>
  <si>
    <t>09006684ИГ</t>
  </si>
  <si>
    <t>09006684ИД</t>
  </si>
  <si>
    <t>09006684ИЕ</t>
  </si>
  <si>
    <t>09006684ИЖ</t>
  </si>
  <si>
    <t>09006684ИК</t>
  </si>
  <si>
    <t>09006684ИЛ</t>
  </si>
  <si>
    <t>09006684ИМ</t>
  </si>
  <si>
    <t>09006684ИН</t>
  </si>
  <si>
    <t>09006684ИП</t>
  </si>
  <si>
    <t>09006684ИР</t>
  </si>
  <si>
    <t>09006684ИС</t>
  </si>
  <si>
    <t>09006684ИТ</t>
  </si>
  <si>
    <t>09006684ИУ</t>
  </si>
  <si>
    <t>09006684ИФ</t>
  </si>
  <si>
    <t>09006684ИЦ</t>
  </si>
  <si>
    <t>09006684ИЧ</t>
  </si>
  <si>
    <t>09006684ИШ</t>
  </si>
  <si>
    <t>09006684ИЩ</t>
  </si>
  <si>
    <t>09006684ИЭ</t>
  </si>
  <si>
    <t>09006684ИЮ</t>
  </si>
  <si>
    <t>09006684ИЯ</t>
  </si>
  <si>
    <t>09006684КА</t>
  </si>
  <si>
    <t>09006684КБ</t>
  </si>
  <si>
    <t>09006684КВ</t>
  </si>
  <si>
    <t>09006684КГ</t>
  </si>
  <si>
    <t>09006684КД</t>
  </si>
  <si>
    <t>09006684КЕ</t>
  </si>
  <si>
    <t>09006684КЖ</t>
  </si>
  <si>
    <t>09006684КИ</t>
  </si>
  <si>
    <t>09006684КК</t>
  </si>
  <si>
    <t>09006684КЛ</t>
  </si>
  <si>
    <t>09006684КМ</t>
  </si>
  <si>
    <t>09006684КН</t>
  </si>
  <si>
    <t>09006684КП</t>
  </si>
  <si>
    <t>09006684КР</t>
  </si>
  <si>
    <t>09006684КС</t>
  </si>
  <si>
    <t>09006684КТ</t>
  </si>
  <si>
    <t>09006684КУ</t>
  </si>
  <si>
    <t>09006684КЦ</t>
  </si>
  <si>
    <t>09006684ЖФ</t>
  </si>
  <si>
    <t>09006684КЧ</t>
  </si>
  <si>
    <t>09006684КШ</t>
  </si>
  <si>
    <t>09006684КЩ</t>
  </si>
  <si>
    <t>09006684КЭ</t>
  </si>
  <si>
    <t>09006684КЮ</t>
  </si>
  <si>
    <t>09006684КЯ</t>
  </si>
  <si>
    <t>09006684ЛА</t>
  </si>
  <si>
    <t>09006684ЛБ</t>
  </si>
  <si>
    <t>09006684ЛВ</t>
  </si>
  <si>
    <t>09006684ЛГ</t>
  </si>
  <si>
    <t>09006684ЛД</t>
  </si>
  <si>
    <t>09006684ЛЕ</t>
  </si>
  <si>
    <t>09006684ЛЖ</t>
  </si>
  <si>
    <t>09006684ЛИ</t>
  </si>
  <si>
    <t>09006684ЛК</t>
  </si>
  <si>
    <t>09006684ЛН</t>
  </si>
  <si>
    <t>09006684ЛП</t>
  </si>
  <si>
    <t>1110160150</t>
  </si>
  <si>
    <t>111F36748S</t>
  </si>
  <si>
    <t>Расходы на переселение граждан из аварийного жилищного фонда, осуществляемые за счет средств местного бюджета</t>
  </si>
  <si>
    <t>Управление земельными участками и развитие инфраструктуры системы государственного и муниципального управления земельными ресурсами</t>
  </si>
  <si>
    <t>1000205040</t>
  </si>
  <si>
    <t>Приложение № 3</t>
  </si>
  <si>
    <t>от 10.11.2022 № 383</t>
  </si>
  <si>
    <t>9900060032</t>
  </si>
  <si>
    <t>1410660032</t>
  </si>
  <si>
    <t>1410960032</t>
  </si>
  <si>
    <t>0200460032</t>
  </si>
  <si>
    <t>0140160032</t>
  </si>
  <si>
    <t>0900560032</t>
  </si>
  <si>
    <t>1000160032</t>
  </si>
  <si>
    <t>1110160032</t>
  </si>
  <si>
    <t>1110360032</t>
  </si>
  <si>
    <t>1000300310</t>
  </si>
  <si>
    <t>1110300310</t>
  </si>
  <si>
    <t>1410600310</t>
  </si>
  <si>
    <t>Расходы на мероприятия по стимулированию программ развития жилищного строительства (сверх установленного уровня софинансирования)</t>
  </si>
  <si>
    <t>111F120210</t>
  </si>
  <si>
    <t>Расходы на выполнение наказов избирателей депутатам Совета депутатов муниципального образования "Муниципальный округ Завьяловский район Удмуртской Республики</t>
  </si>
  <si>
    <t>1410760322</t>
  </si>
  <si>
    <t>0200160150</t>
  </si>
  <si>
    <t>0140200310</t>
  </si>
  <si>
    <t>0140362150</t>
  </si>
  <si>
    <t>01501S3040</t>
  </si>
  <si>
    <t>Софинасирование расходов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</si>
  <si>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на подготовку проектов межевания земельных участков и проведение кадастровых работ</t>
  </si>
  <si>
    <t>10002L5990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</si>
  <si>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</si>
  <si>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1120257840</t>
  </si>
  <si>
    <t>Развитие общественных формирований правоохранительной направленности</t>
  </si>
  <si>
    <t>1310107480</t>
  </si>
  <si>
    <t>Софинансирование мероприятий по развитию общественных формирований правоохранительной деятельности</t>
  </si>
  <si>
    <t>13101S7480</t>
  </si>
  <si>
    <t>от 21.12.2022 № 398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</si>
</sst>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charset val="204"/>
      <scheme val="minor"/>
    </font>
    <font>
      <sz val="12"/>
      <name val="Times New Roman"/>
      <family val="1"/>
      <charset val="204"/>
    </font>
    <font>
      <b/>
      <sz val="12"/>
      <name val="Times New Roman"/>
      <family val="1"/>
      <charset val="204"/>
    </font>
    <font>
      <b/>
      <sz val="9"/>
      <name val="Times New Roman"/>
      <family val="1"/>
      <charset val="204"/>
    </font>
    <font>
      <b/>
      <sz val="10"/>
      <name val="Times New Roman"/>
      <family val="1"/>
      <charset val="204"/>
    </font>
    <font>
      <b/>
      <sz val="11"/>
      <color theme="1"/>
      <name val="Calibri"/>
      <family val="2"/>
      <charset val="204"/>
      <scheme val="minor"/>
    </font>
    <font>
      <sz val="10"/>
      <name val="Arial Cyr"/>
      <charset val="204"/>
    </font>
    <font>
      <sz val="11"/>
      <name val="Times New Roman"/>
      <family val="1"/>
      <charset val="204"/>
    </font>
    <font>
      <sz val="11"/>
      <color theme="1"/>
      <name val="Times New Roman"/>
      <family val="1"/>
      <charset val="204"/>
    </font>
    <font>
      <sz val="9"/>
      <name val="Times New Roman"/>
      <family val="1"/>
      <charset val="204"/>
    </font>
    <font>
      <sz val="9"/>
      <color theme="1"/>
      <name val="Calibri"/>
      <family val="2"/>
      <charset val="204"/>
      <scheme val="minor"/>
    </font>
    <font>
      <b/>
      <sz val="10"/>
      <color theme="1"/>
      <name val="Times New Roman"/>
      <family val="1"/>
      <charset val="204"/>
    </font>
    <font>
      <sz val="10"/>
      <color theme="1"/>
      <name val="Times New Roman"/>
      <family val="1"/>
      <charset val="204"/>
    </font>
    <font>
      <sz val="10"/>
      <name val="Times New Roman"/>
      <family val="1"/>
      <charset val="204"/>
    </font>
    <font>
      <b/>
      <sz val="12"/>
      <color theme="1"/>
      <name val="Times New Roman"/>
      <family val="1"/>
      <charset val="204"/>
    </font>
    <font>
      <sz val="10"/>
      <color rgb="FFFF0000"/>
      <name val="Times New Roman"/>
      <family val="1"/>
      <charset val="204"/>
    </font>
    <font>
      <b/>
      <sz val="9"/>
      <color theme="1"/>
      <name val="Times New Roman"/>
      <family val="1"/>
      <charset val="204"/>
    </font>
    <font>
      <b/>
      <sz val="9"/>
      <color rgb="FF000000"/>
      <name val="Times New Roman"/>
      <family val="1"/>
      <charset val="204"/>
    </font>
    <font>
      <u/>
      <sz val="11"/>
      <color theme="10"/>
      <name val="Calibri"/>
      <family val="2"/>
      <charset val="204"/>
    </font>
    <font>
      <sz val="11"/>
      <color rgb="FFFF0000"/>
      <name val="Calibri"/>
      <family val="2"/>
      <charset val="204"/>
      <scheme val="minor"/>
    </font>
  </fonts>
  <fills count="19">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39997558519241921"/>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rgb="FF92D050"/>
        <bgColor indexed="64"/>
      </patternFill>
    </fill>
    <fill>
      <patternFill patternType="solid">
        <fgColor rgb="FFFF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3">
    <xf numFmtId="0" fontId="0" fillId="0" borderId="0"/>
    <xf numFmtId="0" fontId="6" fillId="0" borderId="0"/>
    <xf numFmtId="0" fontId="18" fillId="0" borderId="0" applyNumberFormat="0" applyFill="0" applyBorder="0" applyAlignment="0" applyProtection="0">
      <alignment vertical="top"/>
      <protection locked="0"/>
    </xf>
  </cellStyleXfs>
  <cellXfs count="177">
    <xf numFmtId="0" fontId="0" fillId="0" borderId="0" xfId="0"/>
    <xf numFmtId="0" fontId="1" fillId="0" borderId="0" xfId="0" applyFont="1" applyBorder="1"/>
    <xf numFmtId="0" fontId="1" fillId="0" borderId="0" xfId="0" applyFont="1"/>
    <xf numFmtId="0" fontId="1" fillId="0" borderId="0" xfId="0" applyNumberFormat="1" applyFont="1" applyAlignment="1">
      <alignment horizontal="center" vertical="center" wrapText="1"/>
    </xf>
    <xf numFmtId="0" fontId="4" fillId="0" borderId="0" xfId="0" applyFont="1" applyAlignment="1">
      <alignment wrapText="1"/>
    </xf>
    <xf numFmtId="0" fontId="5" fillId="0" borderId="0" xfId="0" applyFont="1"/>
    <xf numFmtId="0" fontId="0" fillId="0" borderId="0" xfId="0" applyBorder="1"/>
    <xf numFmtId="0" fontId="9" fillId="0" borderId="1" xfId="0" quotePrefix="1" applyNumberFormat="1" applyFont="1" applyBorder="1" applyAlignment="1">
      <alignment wrapText="1"/>
    </xf>
    <xf numFmtId="49" fontId="9" fillId="2" borderId="1" xfId="0" applyNumberFormat="1" applyFont="1" applyFill="1" applyBorder="1" applyAlignment="1">
      <alignment wrapText="1"/>
    </xf>
    <xf numFmtId="0" fontId="9" fillId="2" borderId="1" xfId="0" quotePrefix="1" applyNumberFormat="1" applyFont="1" applyFill="1" applyBorder="1" applyAlignment="1">
      <alignment wrapText="1"/>
    </xf>
    <xf numFmtId="49" fontId="9" fillId="0" borderId="1" xfId="0" applyNumberFormat="1" applyFont="1" applyBorder="1" applyAlignment="1">
      <alignment wrapText="1"/>
    </xf>
    <xf numFmtId="49" fontId="9" fillId="0" borderId="0" xfId="0" applyNumberFormat="1" applyFont="1" applyBorder="1" applyAlignment="1">
      <alignment wrapText="1"/>
    </xf>
    <xf numFmtId="49" fontId="9" fillId="0" borderId="0" xfId="0" applyNumberFormat="1" applyFont="1" applyAlignment="1">
      <alignment vertical="center" wrapText="1"/>
    </xf>
    <xf numFmtId="0" fontId="3" fillId="0" borderId="1" xfId="0" applyNumberFormat="1" applyFont="1" applyBorder="1" applyAlignment="1">
      <alignment wrapText="1"/>
    </xf>
    <xf numFmtId="0" fontId="3" fillId="2" borderId="1" xfId="0" applyNumberFormat="1" applyFont="1" applyFill="1" applyBorder="1" applyAlignment="1">
      <alignment wrapText="1"/>
    </xf>
    <xf numFmtId="49" fontId="10" fillId="0" borderId="0" xfId="0" applyNumberFormat="1" applyFont="1"/>
    <xf numFmtId="0" fontId="3" fillId="3" borderId="1" xfId="0" applyNumberFormat="1" applyFont="1" applyFill="1" applyBorder="1" applyAlignment="1">
      <alignment wrapText="1"/>
    </xf>
    <xf numFmtId="164" fontId="11" fillId="3" borderId="1" xfId="0" applyNumberFormat="1" applyFont="1" applyFill="1" applyBorder="1"/>
    <xf numFmtId="164" fontId="11" fillId="0" borderId="1" xfId="0" applyNumberFormat="1" applyFont="1" applyBorder="1"/>
    <xf numFmtId="164" fontId="12" fillId="0" borderId="1" xfId="0" applyNumberFormat="1" applyFont="1" applyBorder="1"/>
    <xf numFmtId="164" fontId="11" fillId="2" borderId="1" xfId="0" applyNumberFormat="1" applyFont="1" applyFill="1" applyBorder="1"/>
    <xf numFmtId="164" fontId="12" fillId="2" borderId="1" xfId="0" applyNumberFormat="1" applyFont="1" applyFill="1" applyBorder="1"/>
    <xf numFmtId="49" fontId="11" fillId="3" borderId="1" xfId="0" applyNumberFormat="1" applyFont="1" applyFill="1" applyBorder="1" applyAlignment="1">
      <alignment horizontal="center"/>
    </xf>
    <xf numFmtId="49" fontId="12" fillId="3" borderId="1" xfId="0" applyNumberFormat="1" applyFont="1" applyFill="1" applyBorder="1" applyAlignment="1">
      <alignment horizontal="center"/>
    </xf>
    <xf numFmtId="49" fontId="11" fillId="0" borderId="1" xfId="0" applyNumberFormat="1" applyFont="1" applyBorder="1" applyAlignment="1">
      <alignment horizontal="center"/>
    </xf>
    <xf numFmtId="49" fontId="12" fillId="0" borderId="1" xfId="0" applyNumberFormat="1" applyFont="1" applyBorder="1" applyAlignment="1">
      <alignment horizontal="center"/>
    </xf>
    <xf numFmtId="49" fontId="11" fillId="2" borderId="1" xfId="0" applyNumberFormat="1" applyFont="1" applyFill="1" applyBorder="1" applyAlignment="1">
      <alignment horizontal="center"/>
    </xf>
    <xf numFmtId="49" fontId="12" fillId="2" borderId="1" xfId="0" applyNumberFormat="1" applyFont="1" applyFill="1" applyBorder="1" applyAlignment="1">
      <alignment horizontal="center"/>
    </xf>
    <xf numFmtId="0" fontId="3" fillId="0" borderId="1" xfId="0" quotePrefix="1" applyNumberFormat="1" applyFont="1" applyBorder="1" applyAlignment="1">
      <alignment wrapText="1"/>
    </xf>
    <xf numFmtId="49" fontId="4" fillId="0" borderId="1" xfId="0" quotePrefix="1" applyNumberFormat="1" applyFont="1" applyBorder="1" applyAlignment="1">
      <alignment horizontal="center" wrapText="1"/>
    </xf>
    <xf numFmtId="0" fontId="0" fillId="2" borderId="1" xfId="0" applyFill="1" applyBorder="1" applyAlignment="1">
      <alignment horizontal="center"/>
    </xf>
    <xf numFmtId="49" fontId="13" fillId="0" borderId="1" xfId="0" quotePrefix="1" applyNumberFormat="1" applyFont="1" applyBorder="1" applyAlignment="1">
      <alignment horizontal="center" wrapText="1"/>
    </xf>
    <xf numFmtId="0" fontId="13" fillId="0" borderId="1" xfId="0" quotePrefix="1" applyNumberFormat="1" applyFont="1" applyBorder="1" applyAlignment="1">
      <alignment horizontal="right" wrapText="1"/>
    </xf>
    <xf numFmtId="49" fontId="3" fillId="2" borderId="1" xfId="0" applyNumberFormat="1" applyFont="1" applyFill="1" applyBorder="1" applyAlignment="1">
      <alignment wrapText="1"/>
    </xf>
    <xf numFmtId="49" fontId="1" fillId="0" borderId="0" xfId="0" applyNumberFormat="1" applyFont="1" applyBorder="1" applyAlignment="1">
      <alignment horizontal="center"/>
    </xf>
    <xf numFmtId="49" fontId="0" fillId="0" borderId="0" xfId="0" applyNumberFormat="1" applyAlignment="1">
      <alignment horizontal="center"/>
    </xf>
    <xf numFmtId="0" fontId="7" fillId="0" borderId="0" xfId="1" applyFont="1" applyFill="1" applyBorder="1" applyAlignment="1">
      <alignment horizontal="left"/>
    </xf>
    <xf numFmtId="0" fontId="7" fillId="0" borderId="0" xfId="1" applyFont="1" applyFill="1" applyAlignment="1">
      <alignment horizontal="left"/>
    </xf>
    <xf numFmtId="0" fontId="7" fillId="0" borderId="0" xfId="0" applyNumberFormat="1" applyFont="1" applyFill="1" applyAlignment="1">
      <alignment horizontal="left"/>
    </xf>
    <xf numFmtId="0" fontId="8" fillId="0" borderId="0" xfId="0" applyNumberFormat="1" applyFont="1" applyAlignment="1">
      <alignment horizontal="left"/>
    </xf>
    <xf numFmtId="0" fontId="12" fillId="0" borderId="0" xfId="0" applyFont="1"/>
    <xf numFmtId="0" fontId="13" fillId="0" borderId="0" xfId="0" applyFont="1"/>
    <xf numFmtId="164" fontId="14" fillId="4" borderId="1" xfId="0" applyNumberFormat="1" applyFont="1" applyFill="1" applyBorder="1"/>
    <xf numFmtId="164" fontId="0" fillId="0" borderId="0" xfId="0" applyNumberFormat="1"/>
    <xf numFmtId="164" fontId="12" fillId="5" borderId="1" xfId="0" applyNumberFormat="1" applyFont="1" applyFill="1" applyBorder="1"/>
    <xf numFmtId="164" fontId="12" fillId="6" borderId="1" xfId="0" applyNumberFormat="1" applyFont="1" applyFill="1" applyBorder="1"/>
    <xf numFmtId="0" fontId="3" fillId="0" borderId="1" xfId="0" applyNumberFormat="1" applyFont="1" applyBorder="1" applyAlignment="1">
      <alignment horizontal="left" wrapText="1"/>
    </xf>
    <xf numFmtId="164" fontId="11" fillId="0" borderId="1" xfId="0" applyNumberFormat="1" applyFont="1" applyFill="1" applyBorder="1"/>
    <xf numFmtId="0" fontId="3" fillId="0" borderId="1" xfId="0" applyNumberFormat="1" applyFont="1" applyFill="1" applyBorder="1" applyAlignment="1">
      <alignment wrapText="1"/>
    </xf>
    <xf numFmtId="49" fontId="4" fillId="0" borderId="1" xfId="0" applyNumberFormat="1" applyFont="1" applyBorder="1" applyAlignment="1">
      <alignment horizontal="center"/>
    </xf>
    <xf numFmtId="49" fontId="13" fillId="0" borderId="1" xfId="0" applyNumberFormat="1" applyFont="1" applyBorder="1" applyAlignment="1">
      <alignment horizontal="center"/>
    </xf>
    <xf numFmtId="0" fontId="9" fillId="0" borderId="1" xfId="0" applyNumberFormat="1" applyFont="1" applyBorder="1" applyAlignment="1">
      <alignment wrapText="1"/>
    </xf>
    <xf numFmtId="49" fontId="4" fillId="2" borderId="1" xfId="0" applyNumberFormat="1" applyFont="1" applyFill="1" applyBorder="1" applyAlignment="1">
      <alignment horizontal="center"/>
    </xf>
    <xf numFmtId="49" fontId="13" fillId="2" borderId="1" xfId="0" applyNumberFormat="1" applyFont="1" applyFill="1" applyBorder="1" applyAlignment="1">
      <alignment horizontal="center"/>
    </xf>
    <xf numFmtId="164" fontId="4" fillId="2" borderId="1" xfId="0" applyNumberFormat="1" applyFont="1" applyFill="1" applyBorder="1"/>
    <xf numFmtId="164" fontId="13" fillId="6" borderId="1" xfId="0" applyNumberFormat="1" applyFont="1" applyFill="1" applyBorder="1"/>
    <xf numFmtId="0" fontId="3" fillId="0" borderId="1" xfId="0" quotePrefix="1" applyNumberFormat="1" applyFont="1" applyBorder="1" applyAlignment="1">
      <alignment vertical="top" wrapText="1"/>
    </xf>
    <xf numFmtId="0" fontId="9" fillId="0" borderId="1" xfId="0" quotePrefix="1" applyNumberFormat="1" applyFont="1" applyBorder="1" applyAlignment="1">
      <alignment vertical="top" wrapText="1"/>
    </xf>
    <xf numFmtId="0" fontId="9" fillId="0" borderId="1" xfId="0" applyNumberFormat="1" applyFont="1" applyFill="1" applyBorder="1" applyAlignment="1">
      <alignment wrapText="1"/>
    </xf>
    <xf numFmtId="49" fontId="4" fillId="0" borderId="1" xfId="0" applyNumberFormat="1" applyFont="1" applyFill="1" applyBorder="1" applyAlignment="1">
      <alignment horizontal="center" vertical="center"/>
    </xf>
    <xf numFmtId="49" fontId="13" fillId="0" borderId="1" xfId="0" applyNumberFormat="1" applyFont="1" applyBorder="1" applyAlignment="1">
      <alignment horizontal="center" wrapText="1"/>
    </xf>
    <xf numFmtId="49" fontId="13" fillId="0" borderId="1" xfId="0" applyNumberFormat="1" applyFont="1" applyFill="1" applyBorder="1" applyAlignment="1">
      <alignment horizontal="center" vertical="center"/>
    </xf>
    <xf numFmtId="164" fontId="12" fillId="7" borderId="1" xfId="0" applyNumberFormat="1" applyFont="1" applyFill="1" applyBorder="1"/>
    <xf numFmtId="164" fontId="15" fillId="0" borderId="1" xfId="0" applyNumberFormat="1" applyFont="1" applyFill="1" applyBorder="1"/>
    <xf numFmtId="164" fontId="12" fillId="0" borderId="1" xfId="0" applyNumberFormat="1" applyFont="1" applyFill="1" applyBorder="1"/>
    <xf numFmtId="0" fontId="13" fillId="6" borderId="1" xfId="0" quotePrefix="1" applyNumberFormat="1" applyFont="1" applyFill="1" applyBorder="1" applyAlignment="1">
      <alignment horizontal="right" wrapText="1"/>
    </xf>
    <xf numFmtId="49" fontId="4" fillId="0" borderId="1" xfId="0" applyNumberFormat="1" applyFont="1" applyBorder="1" applyAlignment="1">
      <alignment horizontal="center" wrapText="1"/>
    </xf>
    <xf numFmtId="49" fontId="12" fillId="0" borderId="1" xfId="0" applyNumberFormat="1" applyFont="1" applyFill="1" applyBorder="1" applyAlignment="1">
      <alignment horizontal="center"/>
    </xf>
    <xf numFmtId="49" fontId="12" fillId="0" borderId="2" xfId="0" applyNumberFormat="1" applyFont="1" applyFill="1" applyBorder="1" applyAlignment="1">
      <alignment horizontal="center"/>
    </xf>
    <xf numFmtId="0" fontId="16"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7" fillId="0" borderId="1" xfId="0" applyFont="1" applyFill="1" applyBorder="1" applyAlignment="1">
      <alignment vertical="center" wrapText="1"/>
    </xf>
    <xf numFmtId="0" fontId="16" fillId="0" borderId="1" xfId="0" applyFont="1" applyFill="1" applyBorder="1" applyAlignment="1">
      <alignment vertical="center" wrapText="1"/>
    </xf>
    <xf numFmtId="0" fontId="17" fillId="0" borderId="2" xfId="0" applyFont="1" applyFill="1" applyBorder="1" applyAlignment="1">
      <alignment vertical="center" wrapText="1"/>
    </xf>
    <xf numFmtId="49" fontId="11" fillId="0" borderId="1" xfId="0" applyNumberFormat="1" applyFont="1" applyFill="1" applyBorder="1" applyAlignment="1">
      <alignment horizontal="center"/>
    </xf>
    <xf numFmtId="49" fontId="11" fillId="0" borderId="2" xfId="0" applyNumberFormat="1" applyFont="1" applyFill="1" applyBorder="1" applyAlignment="1">
      <alignment horizontal="center"/>
    </xf>
    <xf numFmtId="164" fontId="11" fillId="0" borderId="0" xfId="0" applyNumberFormat="1" applyFont="1"/>
    <xf numFmtId="164" fontId="13" fillId="0" borderId="1" xfId="0" applyNumberFormat="1" applyFont="1" applyFill="1" applyBorder="1"/>
    <xf numFmtId="164" fontId="4" fillId="0" borderId="1" xfId="0" applyNumberFormat="1" applyFont="1" applyFill="1" applyBorder="1"/>
    <xf numFmtId="164" fontId="11" fillId="0" borderId="0" xfId="0" applyNumberFormat="1" applyFont="1" applyFill="1"/>
    <xf numFmtId="0" fontId="13" fillId="0" borderId="1" xfId="0" quotePrefix="1" applyNumberFormat="1" applyFont="1" applyFill="1" applyBorder="1" applyAlignment="1">
      <alignment horizontal="right" wrapText="1"/>
    </xf>
    <xf numFmtId="164" fontId="12" fillId="8" borderId="1" xfId="0" applyNumberFormat="1" applyFont="1" applyFill="1" applyBorder="1"/>
    <xf numFmtId="164" fontId="11" fillId="5" borderId="1" xfId="0" applyNumberFormat="1" applyFont="1" applyFill="1" applyBorder="1"/>
    <xf numFmtId="49" fontId="3" fillId="2" borderId="1" xfId="0" quotePrefix="1" applyNumberFormat="1" applyFont="1" applyFill="1" applyBorder="1" applyAlignment="1">
      <alignment wrapText="1"/>
    </xf>
    <xf numFmtId="164" fontId="11" fillId="0" borderId="2" xfId="0" applyNumberFormat="1" applyFont="1" applyFill="1" applyBorder="1"/>
    <xf numFmtId="164" fontId="12" fillId="5" borderId="2" xfId="0" applyNumberFormat="1" applyFont="1" applyFill="1" applyBorder="1"/>
    <xf numFmtId="49" fontId="13" fillId="0" borderId="1" xfId="0" applyNumberFormat="1" applyFont="1" applyFill="1" applyBorder="1" applyAlignment="1">
      <alignment horizontal="center"/>
    </xf>
    <xf numFmtId="164" fontId="11" fillId="0" borderId="4" xfId="0" applyNumberFormat="1" applyFont="1" applyBorder="1"/>
    <xf numFmtId="164" fontId="13" fillId="5" borderId="5" xfId="0" applyNumberFormat="1" applyFont="1" applyFill="1" applyBorder="1"/>
    <xf numFmtId="0" fontId="3" fillId="0" borderId="1" xfId="0" applyNumberFormat="1" applyFont="1" applyBorder="1" applyAlignment="1">
      <alignment vertical="top" wrapText="1"/>
    </xf>
    <xf numFmtId="164" fontId="13" fillId="5" borderId="1" xfId="0" applyNumberFormat="1" applyFont="1" applyFill="1" applyBorder="1"/>
    <xf numFmtId="49" fontId="3" fillId="0" borderId="1" xfId="0" applyNumberFormat="1" applyFont="1" applyFill="1" applyBorder="1" applyAlignment="1">
      <alignment wrapText="1"/>
    </xf>
    <xf numFmtId="164" fontId="13" fillId="7" borderId="1" xfId="0" applyNumberFormat="1" applyFont="1" applyFill="1" applyBorder="1"/>
    <xf numFmtId="164" fontId="13" fillId="7" borderId="4" xfId="0" applyNumberFormat="1" applyFont="1" applyFill="1" applyBorder="1"/>
    <xf numFmtId="164" fontId="4" fillId="0" borderId="7" xfId="0" applyNumberFormat="1" applyFont="1" applyFill="1" applyBorder="1"/>
    <xf numFmtId="164" fontId="13" fillId="5" borderId="4" xfId="0" applyNumberFormat="1" applyFont="1" applyFill="1" applyBorder="1"/>
    <xf numFmtId="164" fontId="12" fillId="9" borderId="1" xfId="0" applyNumberFormat="1" applyFont="1" applyFill="1" applyBorder="1"/>
    <xf numFmtId="164" fontId="12" fillId="10" borderId="1" xfId="0" applyNumberFormat="1" applyFont="1" applyFill="1" applyBorder="1"/>
    <xf numFmtId="49" fontId="0" fillId="2" borderId="0" xfId="0" applyNumberFormat="1" applyFill="1" applyAlignment="1">
      <alignment horizontal="center"/>
    </xf>
    <xf numFmtId="164" fontId="13" fillId="10" borderId="1" xfId="0" applyNumberFormat="1" applyFont="1" applyFill="1" applyBorder="1"/>
    <xf numFmtId="164" fontId="12" fillId="9" borderId="2" xfId="0" applyNumberFormat="1" applyFont="1" applyFill="1" applyBorder="1"/>
    <xf numFmtId="0" fontId="3" fillId="2" borderId="1" xfId="0" quotePrefix="1" applyNumberFormat="1" applyFont="1" applyFill="1" applyBorder="1" applyAlignment="1">
      <alignment wrapText="1"/>
    </xf>
    <xf numFmtId="0" fontId="0" fillId="2" borderId="0" xfId="0" applyFill="1"/>
    <xf numFmtId="164" fontId="4" fillId="0" borderId="1" xfId="0" applyNumberFormat="1" applyFont="1" applyBorder="1"/>
    <xf numFmtId="0" fontId="0" fillId="5" borderId="4" xfId="0" applyFill="1" applyBorder="1"/>
    <xf numFmtId="0" fontId="0" fillId="5" borderId="1" xfId="0" applyFill="1" applyBorder="1"/>
    <xf numFmtId="164" fontId="12" fillId="11" borderId="1" xfId="0" applyNumberFormat="1" applyFont="1" applyFill="1" applyBorder="1"/>
    <xf numFmtId="164" fontId="13" fillId="11" borderId="1" xfId="0" applyNumberFormat="1" applyFont="1" applyFill="1" applyBorder="1"/>
    <xf numFmtId="164" fontId="13" fillId="11" borderId="4" xfId="0" applyNumberFormat="1" applyFont="1" applyFill="1" applyBorder="1"/>
    <xf numFmtId="0" fontId="0" fillId="0" borderId="1" xfId="0" applyFill="1" applyBorder="1"/>
    <xf numFmtId="0" fontId="0" fillId="0" borderId="4" xfId="0" applyFill="1" applyBorder="1"/>
    <xf numFmtId="164" fontId="13" fillId="0" borderId="4" xfId="0" applyNumberFormat="1" applyFont="1" applyFill="1" applyBorder="1"/>
    <xf numFmtId="164" fontId="12" fillId="12" borderId="1" xfId="0" applyNumberFormat="1" applyFont="1" applyFill="1" applyBorder="1"/>
    <xf numFmtId="49" fontId="5" fillId="2" borderId="0" xfId="0" applyNumberFormat="1" applyFont="1" applyFill="1" applyAlignment="1">
      <alignment horizontal="center"/>
    </xf>
    <xf numFmtId="49" fontId="5" fillId="0" borderId="0" xfId="0" applyNumberFormat="1" applyFont="1" applyAlignment="1">
      <alignment horizontal="center"/>
    </xf>
    <xf numFmtId="49" fontId="4" fillId="0" borderId="1" xfId="0" applyNumberFormat="1" applyFont="1" applyFill="1" applyBorder="1" applyAlignment="1">
      <alignment horizontal="center"/>
    </xf>
    <xf numFmtId="164" fontId="12" fillId="13" borderId="1" xfId="0" applyNumberFormat="1" applyFont="1" applyFill="1" applyBorder="1"/>
    <xf numFmtId="0" fontId="0" fillId="0" borderId="0" xfId="0" applyFont="1"/>
    <xf numFmtId="0" fontId="0" fillId="0" borderId="0" xfId="0" applyFill="1"/>
    <xf numFmtId="0" fontId="3" fillId="0" borderId="1" xfId="0" quotePrefix="1" applyNumberFormat="1" applyFont="1" applyFill="1" applyBorder="1" applyAlignment="1">
      <alignment wrapText="1"/>
    </xf>
    <xf numFmtId="164" fontId="12" fillId="7" borderId="2" xfId="0" applyNumberFormat="1" applyFont="1" applyFill="1" applyBorder="1"/>
    <xf numFmtId="164" fontId="12" fillId="0" borderId="2" xfId="0" applyNumberFormat="1" applyFont="1" applyFill="1" applyBorder="1"/>
    <xf numFmtId="164" fontId="12" fillId="14" borderId="1" xfId="0" applyNumberFormat="1" applyFont="1" applyFill="1" applyBorder="1"/>
    <xf numFmtId="164" fontId="12" fillId="15" borderId="1" xfId="0" applyNumberFormat="1" applyFont="1" applyFill="1" applyBorder="1"/>
    <xf numFmtId="164" fontId="12" fillId="16" borderId="1" xfId="0" applyNumberFormat="1" applyFont="1" applyFill="1" applyBorder="1"/>
    <xf numFmtId="0" fontId="3" fillId="2" borderId="1" xfId="0" applyFont="1" applyFill="1" applyBorder="1" applyAlignment="1">
      <alignment horizontal="left" vertical="top" wrapText="1"/>
    </xf>
    <xf numFmtId="0" fontId="3" fillId="2" borderId="2" xfId="0" applyFont="1" applyFill="1" applyBorder="1" applyAlignment="1">
      <alignment horizontal="left" vertical="top" wrapText="1"/>
    </xf>
    <xf numFmtId="0" fontId="3" fillId="2" borderId="7" xfId="0" applyFont="1" applyFill="1" applyBorder="1" applyAlignment="1">
      <alignment horizontal="left" vertical="top" wrapText="1"/>
    </xf>
    <xf numFmtId="49" fontId="11" fillId="2" borderId="1" xfId="0" applyNumberFormat="1" applyFont="1" applyFill="1" applyBorder="1" applyAlignment="1">
      <alignment horizontal="center" vertical="top"/>
    </xf>
    <xf numFmtId="0" fontId="3" fillId="2" borderId="8" xfId="0" applyFont="1" applyFill="1" applyBorder="1" applyAlignment="1">
      <alignment horizontal="left" vertical="top" wrapText="1"/>
    </xf>
    <xf numFmtId="49" fontId="12" fillId="2" borderId="1" xfId="0" applyNumberFormat="1" applyFont="1" applyFill="1" applyBorder="1" applyAlignment="1">
      <alignment horizontal="center" vertical="top"/>
    </xf>
    <xf numFmtId="49" fontId="4" fillId="0" borderId="2" xfId="0" applyNumberFormat="1" applyFont="1" applyFill="1" applyBorder="1" applyAlignment="1">
      <alignment horizontal="center"/>
    </xf>
    <xf numFmtId="49" fontId="12" fillId="0" borderId="1" xfId="0" applyNumberFormat="1" applyFont="1" applyFill="1" applyBorder="1" applyAlignment="1">
      <alignment horizontal="center" vertical="top"/>
    </xf>
    <xf numFmtId="49" fontId="11" fillId="0" borderId="1" xfId="0" applyNumberFormat="1" applyFont="1" applyFill="1" applyBorder="1" applyAlignment="1">
      <alignment horizontal="center" vertical="top"/>
    </xf>
    <xf numFmtId="49" fontId="13" fillId="0" borderId="2" xfId="0" applyNumberFormat="1" applyFont="1" applyFill="1" applyBorder="1" applyAlignment="1">
      <alignment horizontal="center"/>
    </xf>
    <xf numFmtId="0" fontId="3" fillId="0" borderId="1" xfId="0" applyFont="1" applyBorder="1" applyAlignment="1">
      <alignment horizontal="left" vertical="center" wrapText="1"/>
    </xf>
    <xf numFmtId="0" fontId="3" fillId="0" borderId="1" xfId="0" applyFont="1" applyBorder="1" applyAlignment="1">
      <alignment horizontal="left" wrapText="1"/>
    </xf>
    <xf numFmtId="0" fontId="3" fillId="0" borderId="1" xfId="2" applyFont="1" applyBorder="1" applyAlignment="1" applyProtection="1">
      <alignment horizontal="left" vertical="center" wrapText="1"/>
    </xf>
    <xf numFmtId="164" fontId="13" fillId="9" borderId="1" xfId="0" applyNumberFormat="1" applyFont="1" applyFill="1" applyBorder="1"/>
    <xf numFmtId="164" fontId="13" fillId="9" borderId="4" xfId="0" applyNumberFormat="1" applyFont="1" applyFill="1" applyBorder="1"/>
    <xf numFmtId="0" fontId="3" fillId="0" borderId="2" xfId="0" applyFont="1" applyFill="1" applyBorder="1" applyAlignment="1">
      <alignment horizontal="left" vertical="top" wrapText="1"/>
    </xf>
    <xf numFmtId="0" fontId="4" fillId="0" borderId="5" xfId="0" applyFont="1" applyFill="1" applyBorder="1" applyAlignment="1">
      <alignment horizontal="center" wrapText="1"/>
    </xf>
    <xf numFmtId="0" fontId="13" fillId="0" borderId="5" xfId="0" applyFont="1" applyFill="1" applyBorder="1" applyAlignment="1">
      <alignment horizontal="center" wrapText="1"/>
    </xf>
    <xf numFmtId="0" fontId="9" fillId="0" borderId="1" xfId="0" quotePrefix="1" applyNumberFormat="1" applyFont="1" applyFill="1" applyBorder="1" applyAlignment="1">
      <alignment wrapText="1"/>
    </xf>
    <xf numFmtId="0" fontId="3" fillId="0" borderId="1" xfId="0" applyFont="1" applyFill="1" applyBorder="1" applyAlignment="1">
      <alignment horizontal="left" vertical="top" wrapText="1"/>
    </xf>
    <xf numFmtId="49" fontId="4" fillId="0" borderId="5" xfId="0" applyNumberFormat="1" applyFont="1" applyFill="1" applyBorder="1" applyAlignment="1">
      <alignment horizontal="center"/>
    </xf>
    <xf numFmtId="49" fontId="13" fillId="0" borderId="5" xfId="0" applyNumberFormat="1" applyFont="1" applyFill="1" applyBorder="1" applyAlignment="1">
      <alignment horizontal="center"/>
    </xf>
    <xf numFmtId="0" fontId="4" fillId="0" borderId="5" xfId="0" applyFont="1" applyFill="1" applyBorder="1" applyAlignment="1">
      <alignment horizontal="center"/>
    </xf>
    <xf numFmtId="0" fontId="13" fillId="0" borderId="5" xfId="0" applyFont="1" applyFill="1" applyBorder="1" applyAlignment="1">
      <alignment horizontal="center"/>
    </xf>
    <xf numFmtId="0" fontId="19" fillId="0" borderId="0" xfId="0" applyFont="1"/>
    <xf numFmtId="164" fontId="19" fillId="0" borderId="0" xfId="0" applyNumberFormat="1" applyFont="1"/>
    <xf numFmtId="164" fontId="12" fillId="4" borderId="1" xfId="0" applyNumberFormat="1" applyFont="1" applyFill="1" applyBorder="1"/>
    <xf numFmtId="164" fontId="13" fillId="4" borderId="1" xfId="0" applyNumberFormat="1" applyFont="1" applyFill="1" applyBorder="1"/>
    <xf numFmtId="164" fontId="11" fillId="14" borderId="1" xfId="0" applyNumberFormat="1" applyFont="1" applyFill="1" applyBorder="1"/>
    <xf numFmtId="0" fontId="13" fillId="14" borderId="1" xfId="0" quotePrefix="1" applyNumberFormat="1" applyFont="1" applyFill="1" applyBorder="1" applyAlignment="1">
      <alignment horizontal="right" wrapText="1"/>
    </xf>
    <xf numFmtId="164" fontId="11" fillId="0" borderId="2" xfId="0" applyNumberFormat="1" applyFont="1" applyBorder="1"/>
    <xf numFmtId="164" fontId="11" fillId="2" borderId="2" xfId="0" applyNumberFormat="1" applyFont="1" applyFill="1" applyBorder="1"/>
    <xf numFmtId="164" fontId="12" fillId="17" borderId="1" xfId="0" applyNumberFormat="1" applyFont="1" applyFill="1" applyBorder="1"/>
    <xf numFmtId="164" fontId="13" fillId="17" borderId="1" xfId="0" applyNumberFormat="1" applyFont="1" applyFill="1" applyBorder="1"/>
    <xf numFmtId="164" fontId="13" fillId="12" borderId="1" xfId="0" applyNumberFormat="1" applyFont="1" applyFill="1" applyBorder="1"/>
    <xf numFmtId="164" fontId="12" fillId="18" borderId="1" xfId="0" applyNumberFormat="1" applyFont="1" applyFill="1" applyBorder="1"/>
    <xf numFmtId="164" fontId="1" fillId="0" borderId="0" xfId="0" applyNumberFormat="1" applyFont="1"/>
    <xf numFmtId="164" fontId="4" fillId="0" borderId="0" xfId="0" applyNumberFormat="1" applyFont="1" applyAlignment="1">
      <alignment wrapText="1"/>
    </xf>
    <xf numFmtId="164" fontId="0" fillId="0" borderId="0" xfId="0" applyNumberFormat="1" applyFill="1"/>
    <xf numFmtId="164" fontId="0" fillId="0" borderId="0" xfId="0" applyNumberFormat="1" applyFont="1"/>
    <xf numFmtId="164" fontId="5" fillId="0" borderId="0" xfId="0" applyNumberFormat="1" applyFont="1"/>
    <xf numFmtId="0" fontId="4" fillId="0" borderId="1" xfId="0" applyFont="1" applyBorder="1" applyAlignment="1">
      <alignment horizontal="center" vertical="center" wrapText="1"/>
    </xf>
    <xf numFmtId="49" fontId="14" fillId="4" borderId="5" xfId="0" applyNumberFormat="1" applyFont="1" applyFill="1" applyBorder="1" applyAlignment="1">
      <alignment horizontal="left"/>
    </xf>
    <xf numFmtId="49" fontId="14" fillId="4" borderId="6" xfId="0" applyNumberFormat="1" applyFont="1" applyFill="1" applyBorder="1" applyAlignment="1">
      <alignment horizontal="left"/>
    </xf>
    <xf numFmtId="49" fontId="14" fillId="4" borderId="7" xfId="0" applyNumberFormat="1" applyFont="1" applyFill="1" applyBorder="1" applyAlignment="1">
      <alignment horizontal="left"/>
    </xf>
    <xf numFmtId="0"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textRotation="90" wrapText="1"/>
    </xf>
    <xf numFmtId="49" fontId="4" fillId="0" borderId="2" xfId="0" applyNumberFormat="1" applyFont="1" applyBorder="1" applyAlignment="1">
      <alignment horizontal="center" vertical="center" textRotation="90" wrapText="1"/>
    </xf>
    <xf numFmtId="49" fontId="4" fillId="0" borderId="3"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2" fontId="2" fillId="0" borderId="0" xfId="0" applyNumberFormat="1" applyFont="1" applyBorder="1" applyAlignment="1">
      <alignment horizontal="center" wrapText="1"/>
    </xf>
    <xf numFmtId="0" fontId="2" fillId="0" borderId="0" xfId="0" applyNumberFormat="1" applyFont="1" applyAlignment="1">
      <alignment horizontal="center" vertical="center" wrapText="1"/>
    </xf>
  </cellXfs>
  <cellStyles count="3">
    <cellStyle name="Гиперссылка" xfId="2" builtinId="8"/>
    <cellStyle name="Обычный" xfId="0" builtinId="0"/>
    <cellStyle name="Обычный_Лист1" xfId="1"/>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pageSetUpPr fitToPage="1"/>
  </sheetPr>
  <dimension ref="A1:AA1488"/>
  <sheetViews>
    <sheetView tabSelected="1" view="pageBreakPreview" zoomScaleNormal="100" zoomScaleSheetLayoutView="100" workbookViewId="0">
      <pane xSplit="9" ySplit="15" topLeftCell="V1458" activePane="bottomRight" state="frozen"/>
      <selection pane="topRight" activeCell="J1" sqref="J1"/>
      <selection pane="bottomLeft" activeCell="A16" sqref="A16"/>
      <selection pane="bottomRight" activeCell="A1472" sqref="A1472:XFD1486"/>
    </sheetView>
  </sheetViews>
  <sheetFormatPr defaultRowHeight="15" x14ac:dyDescent="0.25"/>
  <cols>
    <col min="1" max="1" width="64.140625" style="15" customWidth="1"/>
    <col min="2" max="2" width="15.7109375" style="35" customWidth="1"/>
    <col min="3" max="3" width="7.7109375" style="35" customWidth="1"/>
    <col min="4" max="4" width="13.7109375" hidden="1" customWidth="1"/>
    <col min="5" max="5" width="10.140625" hidden="1" customWidth="1"/>
    <col min="6" max="6" width="14.140625" style="40" hidden="1" customWidth="1"/>
    <col min="7" max="7" width="10.28515625" hidden="1" customWidth="1"/>
    <col min="8" max="8" width="12.7109375" hidden="1" customWidth="1"/>
    <col min="9" max="9" width="10.28515625" hidden="1" customWidth="1"/>
    <col min="10" max="10" width="13.7109375" hidden="1" customWidth="1"/>
    <col min="11" max="11" width="10.7109375" hidden="1" customWidth="1"/>
    <col min="12" max="12" width="12.7109375" hidden="1" customWidth="1"/>
    <col min="13" max="13" width="10.42578125" hidden="1" customWidth="1"/>
    <col min="14" max="14" width="12.5703125" hidden="1" customWidth="1"/>
    <col min="15" max="15" width="10.140625" hidden="1" customWidth="1"/>
    <col min="16" max="16" width="12.5703125" hidden="1" customWidth="1"/>
    <col min="17" max="17" width="10.42578125" hidden="1" customWidth="1"/>
    <col min="18" max="18" width="12.85546875" hidden="1" customWidth="1"/>
    <col min="19" max="19" width="10" hidden="1" customWidth="1"/>
    <col min="20" max="20" width="13" hidden="1" customWidth="1"/>
    <col min="21" max="21" width="9.85546875" hidden="1" customWidth="1"/>
    <col min="22" max="22" width="12.42578125" hidden="1" customWidth="1"/>
    <col min="23" max="23" width="10" hidden="1" customWidth="1"/>
    <col min="24" max="24" width="12.42578125" customWidth="1"/>
    <col min="25" max="25" width="12.140625" style="43" hidden="1" customWidth="1"/>
    <col min="26" max="26" width="13" hidden="1" customWidth="1"/>
  </cols>
  <sheetData>
    <row r="1" spans="1:25" x14ac:dyDescent="0.25">
      <c r="A1" s="11"/>
      <c r="B1" s="36" t="s">
        <v>670</v>
      </c>
      <c r="D1" s="6"/>
      <c r="E1" s="36" t="s">
        <v>555</v>
      </c>
      <c r="G1" s="36" t="s">
        <v>595</v>
      </c>
      <c r="I1" s="36" t="s">
        <v>670</v>
      </c>
      <c r="K1" s="36" t="s">
        <v>670</v>
      </c>
      <c r="M1" s="36" t="s">
        <v>743</v>
      </c>
      <c r="O1" s="36" t="s">
        <v>743</v>
      </c>
      <c r="Q1" s="36" t="s">
        <v>743</v>
      </c>
      <c r="S1" s="36" t="s">
        <v>743</v>
      </c>
      <c r="U1" s="36" t="s">
        <v>1281</v>
      </c>
    </row>
    <row r="2" spans="1:25" x14ac:dyDescent="0.25">
      <c r="A2" s="11"/>
      <c r="B2" s="37" t="s">
        <v>463</v>
      </c>
      <c r="D2" s="6"/>
      <c r="E2" s="37" t="s">
        <v>463</v>
      </c>
      <c r="G2" s="37" t="s">
        <v>463</v>
      </c>
      <c r="I2" s="37" t="s">
        <v>463</v>
      </c>
      <c r="K2" s="37" t="s">
        <v>463</v>
      </c>
      <c r="M2" s="37" t="s">
        <v>463</v>
      </c>
      <c r="O2" s="37" t="s">
        <v>463</v>
      </c>
      <c r="Q2" s="37" t="s">
        <v>463</v>
      </c>
      <c r="S2" s="37" t="s">
        <v>463</v>
      </c>
      <c r="U2" s="37" t="s">
        <v>463</v>
      </c>
    </row>
    <row r="3" spans="1:25" x14ac:dyDescent="0.25">
      <c r="A3" s="11"/>
      <c r="B3" s="38" t="s">
        <v>464</v>
      </c>
      <c r="D3" s="6"/>
      <c r="E3" s="38" t="s">
        <v>464</v>
      </c>
      <c r="G3" s="38" t="s">
        <v>464</v>
      </c>
      <c r="I3" s="38" t="s">
        <v>464</v>
      </c>
      <c r="K3" s="38" t="s">
        <v>464</v>
      </c>
      <c r="M3" s="38" t="s">
        <v>464</v>
      </c>
      <c r="O3" s="38" t="s">
        <v>464</v>
      </c>
      <c r="Q3" s="38" t="s">
        <v>464</v>
      </c>
      <c r="S3" s="38" t="s">
        <v>464</v>
      </c>
      <c r="U3" s="38" t="s">
        <v>464</v>
      </c>
    </row>
    <row r="4" spans="1:25" x14ac:dyDescent="0.25">
      <c r="A4" s="11"/>
      <c r="B4" s="38" t="s">
        <v>551</v>
      </c>
      <c r="D4" s="6"/>
      <c r="E4" s="38" t="s">
        <v>551</v>
      </c>
      <c r="G4" s="38" t="s">
        <v>551</v>
      </c>
      <c r="I4" s="38" t="s">
        <v>551</v>
      </c>
      <c r="K4" s="38" t="s">
        <v>551</v>
      </c>
      <c r="M4" s="38" t="s">
        <v>551</v>
      </c>
      <c r="O4" s="38" t="s">
        <v>551</v>
      </c>
      <c r="Q4" s="38" t="s">
        <v>551</v>
      </c>
      <c r="S4" s="38" t="s">
        <v>551</v>
      </c>
      <c r="U4" s="38" t="s">
        <v>551</v>
      </c>
    </row>
    <row r="5" spans="1:25" x14ac:dyDescent="0.25">
      <c r="A5" s="11"/>
      <c r="B5" s="39" t="s">
        <v>465</v>
      </c>
      <c r="D5" s="6"/>
      <c r="E5" s="39" t="s">
        <v>465</v>
      </c>
      <c r="G5" s="39" t="s">
        <v>465</v>
      </c>
      <c r="I5" s="39" t="s">
        <v>465</v>
      </c>
      <c r="K5" s="39" t="s">
        <v>465</v>
      </c>
      <c r="M5" s="39" t="s">
        <v>465</v>
      </c>
      <c r="O5" s="39" t="s">
        <v>465</v>
      </c>
      <c r="Q5" s="39" t="s">
        <v>465</v>
      </c>
      <c r="S5" s="39" t="s">
        <v>465</v>
      </c>
      <c r="U5" s="39" t="s">
        <v>465</v>
      </c>
    </row>
    <row r="6" spans="1:25" x14ac:dyDescent="0.25">
      <c r="A6" s="11"/>
      <c r="B6" s="39" t="s">
        <v>549</v>
      </c>
      <c r="D6" s="6"/>
      <c r="E6" s="39" t="s">
        <v>549</v>
      </c>
      <c r="G6" s="39" t="s">
        <v>549</v>
      </c>
      <c r="I6" s="39" t="s">
        <v>549</v>
      </c>
      <c r="K6" s="39" t="s">
        <v>549</v>
      </c>
      <c r="M6" s="39" t="s">
        <v>549</v>
      </c>
      <c r="O6" s="39" t="s">
        <v>549</v>
      </c>
      <c r="Q6" s="39" t="s">
        <v>549</v>
      </c>
      <c r="S6" s="39" t="s">
        <v>549</v>
      </c>
      <c r="U6" s="39" t="s">
        <v>549</v>
      </c>
    </row>
    <row r="7" spans="1:25" s="2" customFormat="1" ht="15.75" x14ac:dyDescent="0.25">
      <c r="A7" s="11"/>
      <c r="B7" s="39" t="s">
        <v>1312</v>
      </c>
      <c r="D7" s="1"/>
      <c r="E7" s="39" t="s">
        <v>583</v>
      </c>
      <c r="F7" s="41"/>
      <c r="G7" s="39" t="s">
        <v>656</v>
      </c>
      <c r="I7" s="39" t="s">
        <v>686</v>
      </c>
      <c r="K7" s="39" t="s">
        <v>738</v>
      </c>
      <c r="M7" s="39" t="s">
        <v>779</v>
      </c>
      <c r="O7" s="39" t="s">
        <v>1121</v>
      </c>
      <c r="Q7" s="39" t="s">
        <v>1128</v>
      </c>
      <c r="S7" s="39" t="s">
        <v>1149</v>
      </c>
      <c r="U7" s="39" t="s">
        <v>1282</v>
      </c>
      <c r="Y7" s="161"/>
    </row>
    <row r="8" spans="1:25" s="2" customFormat="1" ht="15.75" x14ac:dyDescent="0.25">
      <c r="A8" s="11"/>
      <c r="B8" s="34"/>
      <c r="C8" s="39"/>
      <c r="D8" s="1"/>
      <c r="F8" s="41"/>
      <c r="Y8" s="161"/>
    </row>
    <row r="9" spans="1:25" s="2" customFormat="1" ht="65.25" customHeight="1" x14ac:dyDescent="0.25">
      <c r="A9" s="175" t="s">
        <v>778</v>
      </c>
      <c r="B9" s="175"/>
      <c r="C9" s="175"/>
      <c r="D9" s="175"/>
      <c r="E9" s="175"/>
      <c r="F9" s="175"/>
      <c r="G9" s="175"/>
      <c r="H9" s="175"/>
      <c r="I9" s="175"/>
      <c r="J9" s="175"/>
      <c r="K9" s="175"/>
      <c r="L9" s="175"/>
      <c r="M9" s="175"/>
      <c r="N9" s="175"/>
      <c r="O9" s="175"/>
      <c r="P9" s="175"/>
      <c r="Q9" s="175"/>
      <c r="R9" s="175"/>
      <c r="S9" s="175"/>
      <c r="T9" s="175"/>
      <c r="U9" s="175"/>
      <c r="V9" s="175"/>
      <c r="W9" s="175"/>
      <c r="X9" s="175"/>
      <c r="Y9" s="161"/>
    </row>
    <row r="10" spans="1:25" s="2" customFormat="1" ht="15.75" x14ac:dyDescent="0.25">
      <c r="A10" s="11"/>
      <c r="B10" s="34"/>
      <c r="C10" s="34"/>
      <c r="D10" s="1"/>
      <c r="F10" s="41"/>
      <c r="Y10" s="161"/>
    </row>
    <row r="11" spans="1:25" ht="65.25" customHeight="1" x14ac:dyDescent="0.25">
      <c r="A11" s="176" t="s">
        <v>550</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row>
    <row r="12" spans="1:25" s="2" customFormat="1" ht="15.75" x14ac:dyDescent="0.25">
      <c r="A12" s="12"/>
      <c r="B12" s="3"/>
      <c r="C12" s="3"/>
      <c r="J12" s="3"/>
      <c r="R12" s="3"/>
      <c r="X12" s="3" t="s">
        <v>466</v>
      </c>
      <c r="Y12" s="161"/>
    </row>
    <row r="13" spans="1:25" s="2" customFormat="1" ht="15.75" x14ac:dyDescent="0.25">
      <c r="A13" s="170" t="s">
        <v>0</v>
      </c>
      <c r="B13" s="171" t="s">
        <v>1</v>
      </c>
      <c r="C13" s="172" t="s">
        <v>467</v>
      </c>
      <c r="D13" s="166" t="s">
        <v>552</v>
      </c>
      <c r="E13" s="166" t="s">
        <v>553</v>
      </c>
      <c r="F13" s="166" t="s">
        <v>554</v>
      </c>
      <c r="G13" s="166" t="s">
        <v>553</v>
      </c>
      <c r="H13" s="166" t="s">
        <v>554</v>
      </c>
      <c r="I13" s="166" t="s">
        <v>553</v>
      </c>
      <c r="J13" s="166" t="s">
        <v>554</v>
      </c>
      <c r="K13" s="166" t="s">
        <v>553</v>
      </c>
      <c r="L13" s="166" t="s">
        <v>554</v>
      </c>
      <c r="M13" s="166" t="s">
        <v>553</v>
      </c>
      <c r="N13" s="166" t="s">
        <v>554</v>
      </c>
      <c r="O13" s="166" t="s">
        <v>553</v>
      </c>
      <c r="P13" s="166" t="s">
        <v>554</v>
      </c>
      <c r="Q13" s="166" t="s">
        <v>553</v>
      </c>
      <c r="R13" s="166" t="s">
        <v>554</v>
      </c>
      <c r="S13" s="166" t="s">
        <v>553</v>
      </c>
      <c r="T13" s="166" t="s">
        <v>554</v>
      </c>
      <c r="U13" s="166" t="s">
        <v>553</v>
      </c>
      <c r="V13" s="166" t="s">
        <v>554</v>
      </c>
      <c r="W13" s="166" t="s">
        <v>553</v>
      </c>
      <c r="X13" s="166" t="s">
        <v>554</v>
      </c>
      <c r="Y13" s="161"/>
    </row>
    <row r="14" spans="1:25" s="2" customFormat="1" ht="15.75" x14ac:dyDescent="0.25">
      <c r="A14" s="170"/>
      <c r="B14" s="171"/>
      <c r="C14" s="173"/>
      <c r="D14" s="166"/>
      <c r="E14" s="166"/>
      <c r="F14" s="166"/>
      <c r="G14" s="166"/>
      <c r="H14" s="166"/>
      <c r="I14" s="166"/>
      <c r="J14" s="166"/>
      <c r="K14" s="166"/>
      <c r="L14" s="166"/>
      <c r="M14" s="166"/>
      <c r="N14" s="166"/>
      <c r="O14" s="166"/>
      <c r="P14" s="166"/>
      <c r="Q14" s="166"/>
      <c r="R14" s="166"/>
      <c r="S14" s="166"/>
      <c r="T14" s="166"/>
      <c r="U14" s="166"/>
      <c r="V14" s="166"/>
      <c r="W14" s="166"/>
      <c r="X14" s="166"/>
      <c r="Y14" s="161"/>
    </row>
    <row r="15" spans="1:25" s="4" customFormat="1" ht="25.5" customHeight="1" x14ac:dyDescent="0.2">
      <c r="A15" s="170"/>
      <c r="B15" s="171"/>
      <c r="C15" s="174"/>
      <c r="D15" s="166"/>
      <c r="E15" s="166"/>
      <c r="F15" s="166"/>
      <c r="G15" s="166"/>
      <c r="H15" s="166"/>
      <c r="I15" s="166"/>
      <c r="J15" s="166"/>
      <c r="K15" s="166"/>
      <c r="L15" s="166"/>
      <c r="M15" s="166"/>
      <c r="N15" s="166"/>
      <c r="O15" s="166"/>
      <c r="P15" s="166"/>
      <c r="Q15" s="166"/>
      <c r="R15" s="166"/>
      <c r="S15" s="166"/>
      <c r="T15" s="166"/>
      <c r="U15" s="166"/>
      <c r="V15" s="166"/>
      <c r="W15" s="166"/>
      <c r="X15" s="166"/>
      <c r="Y15" s="162"/>
    </row>
    <row r="16" spans="1:25" x14ac:dyDescent="0.25">
      <c r="A16" s="16" t="s">
        <v>60</v>
      </c>
      <c r="B16" s="22" t="s">
        <v>61</v>
      </c>
      <c r="C16" s="23"/>
      <c r="D16" s="17">
        <f>D17+D71+D96+D106+D192</f>
        <v>1616291.1999999997</v>
      </c>
      <c r="E16" s="17">
        <f>E17+E71+E96+E106+E192</f>
        <v>536033.6</v>
      </c>
      <c r="F16" s="17">
        <f>D16+E16</f>
        <v>2152324.7999999998</v>
      </c>
      <c r="G16" s="17">
        <f>G17+G71+G96+G106+G192</f>
        <v>-4581.099999999994</v>
      </c>
      <c r="H16" s="17">
        <f>F16+G16</f>
        <v>2147743.6999999997</v>
      </c>
      <c r="I16" s="17">
        <f>I17+I71+I96+I106+I192</f>
        <v>133567.5</v>
      </c>
      <c r="J16" s="17">
        <f>H16+I16</f>
        <v>2281311.1999999997</v>
      </c>
      <c r="K16" s="17">
        <f>K17+K71+K96+K106+K192</f>
        <v>92237.599999999991</v>
      </c>
      <c r="L16" s="17">
        <f>J16+K16</f>
        <v>2373548.7999999998</v>
      </c>
      <c r="M16" s="17">
        <f>M17+M71+M96+M106+M192</f>
        <v>40777.699999999997</v>
      </c>
      <c r="N16" s="17">
        <f>L16+M16</f>
        <v>2414326.5</v>
      </c>
      <c r="O16" s="17">
        <f>O17+O71+O96+O106+O192</f>
        <v>9492.9000000000015</v>
      </c>
      <c r="P16" s="17">
        <f>N16+O16</f>
        <v>2423819.4</v>
      </c>
      <c r="Q16" s="17">
        <f>Q17+Q71+Q96+Q106+Q192</f>
        <v>11186.099999999999</v>
      </c>
      <c r="R16" s="17">
        <f>P16+Q16</f>
        <v>2435005.5</v>
      </c>
      <c r="S16" s="17">
        <f>S17+S71+S96+S106+S192</f>
        <v>26148.6</v>
      </c>
      <c r="T16" s="17">
        <f>R16+S16</f>
        <v>2461154.1</v>
      </c>
      <c r="U16" s="17">
        <f>U17+U71+U96+U106+U192</f>
        <v>-13420.699999999999</v>
      </c>
      <c r="V16" s="17">
        <f>T16+U16</f>
        <v>2447733.4</v>
      </c>
      <c r="W16" s="17">
        <f>W17+W71+W96+W106+W192</f>
        <v>80211.900000000009</v>
      </c>
      <c r="X16" s="17">
        <f>V16+W16</f>
        <v>2527945.2999999998</v>
      </c>
    </row>
    <row r="17" spans="1:27" x14ac:dyDescent="0.25">
      <c r="A17" s="13" t="s">
        <v>245</v>
      </c>
      <c r="B17" s="24" t="s">
        <v>246</v>
      </c>
      <c r="C17" s="25"/>
      <c r="D17" s="18">
        <f>D18+D27+D51+D61+D64</f>
        <v>928585.50000000012</v>
      </c>
      <c r="E17" s="18">
        <f>E18+E27+E51+E61+E64</f>
        <v>0</v>
      </c>
      <c r="F17" s="18">
        <f>D17+E17</f>
        <v>928585.50000000012</v>
      </c>
      <c r="G17" s="18">
        <f>G18+G27+G51+G61+G64</f>
        <v>47853.8</v>
      </c>
      <c r="H17" s="18">
        <f>F17+G17</f>
        <v>976439.30000000016</v>
      </c>
      <c r="I17" s="18">
        <f>I18+I27+I51+I61+I64+I68</f>
        <v>2118.4</v>
      </c>
      <c r="J17" s="18">
        <f>H17+I17</f>
        <v>978557.70000000019</v>
      </c>
      <c r="K17" s="18">
        <f>K18+K27+K51+K61+K64+K68</f>
        <v>26793.7</v>
      </c>
      <c r="L17" s="18">
        <f>J17+K17</f>
        <v>1005351.4000000001</v>
      </c>
      <c r="M17" s="18">
        <f>M18+M27+M51+M61+M64+M68</f>
        <v>45185.1</v>
      </c>
      <c r="N17" s="18">
        <f>L17+M17</f>
        <v>1050536.5000000002</v>
      </c>
      <c r="O17" s="18">
        <f>O18+O27+O51+O61+O64+O68</f>
        <v>-1049.5000000000002</v>
      </c>
      <c r="P17" s="18">
        <f>N17+O17</f>
        <v>1049487.0000000002</v>
      </c>
      <c r="Q17" s="18">
        <f>Q18+Q27+Q51+Q61+Q64+Q68</f>
        <v>5408.2</v>
      </c>
      <c r="R17" s="18">
        <f>P17+Q17</f>
        <v>1054895.2000000002</v>
      </c>
      <c r="S17" s="18">
        <f>S18+S27+S51+S61+S64+S68</f>
        <v>23901.499999999996</v>
      </c>
      <c r="T17" s="18">
        <f>R17+S17</f>
        <v>1078796.7000000002</v>
      </c>
      <c r="U17" s="18">
        <f>U18+U27+U51+U61+U64+U68</f>
        <v>-12426.4</v>
      </c>
      <c r="V17" s="18">
        <f>T17+U17</f>
        <v>1066370.3000000003</v>
      </c>
      <c r="W17" s="18">
        <f>W18+W27+W51+W61+W64+W68</f>
        <v>102055.6</v>
      </c>
      <c r="X17" s="18">
        <f>V17+W17</f>
        <v>1168425.9000000004</v>
      </c>
    </row>
    <row r="18" spans="1:27" x14ac:dyDescent="0.25">
      <c r="A18" s="13" t="s">
        <v>247</v>
      </c>
      <c r="B18" s="24" t="s">
        <v>248</v>
      </c>
      <c r="C18" s="25"/>
      <c r="D18" s="18">
        <f>D21+D24</f>
        <v>383035.2</v>
      </c>
      <c r="E18" s="18">
        <f>E21+E24</f>
        <v>0</v>
      </c>
      <c r="F18" s="18">
        <f t="shared" ref="F18:F113" si="0">D18+E18</f>
        <v>383035.2</v>
      </c>
      <c r="G18" s="18">
        <f>G21+G24</f>
        <v>0</v>
      </c>
      <c r="H18" s="18">
        <f t="shared" ref="H18:H113" si="1">F18+G18</f>
        <v>383035.2</v>
      </c>
      <c r="I18" s="18">
        <f>I21+I24</f>
        <v>0</v>
      </c>
      <c r="J18" s="18">
        <f t="shared" ref="J18:J113" si="2">H18+I18</f>
        <v>383035.2</v>
      </c>
      <c r="K18" s="18">
        <f>K21+K24</f>
        <v>11000</v>
      </c>
      <c r="L18" s="18">
        <f t="shared" ref="L18:L113" si="3">J18+K18</f>
        <v>394035.20000000001</v>
      </c>
      <c r="M18" s="18">
        <f>M21+M24</f>
        <v>15732.6</v>
      </c>
      <c r="N18" s="18">
        <f t="shared" ref="N18:N113" si="4">L18+M18</f>
        <v>409767.8</v>
      </c>
      <c r="O18" s="18">
        <f>O21+O24</f>
        <v>2234.6999999999998</v>
      </c>
      <c r="P18" s="18">
        <f t="shared" ref="P18:P113" si="5">N18+O18</f>
        <v>412002.5</v>
      </c>
      <c r="Q18" s="18">
        <f>Q21+Q24+Q19</f>
        <v>156.19999999999999</v>
      </c>
      <c r="R18" s="18">
        <f t="shared" ref="R18:R113" si="6">P18+Q18</f>
        <v>412158.7</v>
      </c>
      <c r="S18" s="18">
        <f>S21+S24+S19</f>
        <v>2233.1</v>
      </c>
      <c r="T18" s="18">
        <f t="shared" ref="T18:T113" si="7">R18+S18</f>
        <v>414391.8</v>
      </c>
      <c r="U18" s="18">
        <f>U21+U24+U19</f>
        <v>-7970.9</v>
      </c>
      <c r="V18" s="18">
        <f t="shared" ref="V18:V113" si="8">T18+U18</f>
        <v>406420.89999999997</v>
      </c>
      <c r="W18" s="18">
        <f>W21+W24+W19</f>
        <v>41704.800000000003</v>
      </c>
      <c r="X18" s="18">
        <f t="shared" ref="X18:X113" si="9">V18+W18</f>
        <v>448125.69999999995</v>
      </c>
    </row>
    <row r="19" spans="1:27" x14ac:dyDescent="0.25">
      <c r="A19" s="33" t="s">
        <v>662</v>
      </c>
      <c r="B19" s="26" t="s">
        <v>1138</v>
      </c>
      <c r="C19" s="26" t="s">
        <v>2</v>
      </c>
      <c r="D19" s="18"/>
      <c r="E19" s="18"/>
      <c r="F19" s="18"/>
      <c r="G19" s="18"/>
      <c r="H19" s="18"/>
      <c r="I19" s="18"/>
      <c r="J19" s="18"/>
      <c r="K19" s="18"/>
      <c r="L19" s="18"/>
      <c r="M19" s="18"/>
      <c r="N19" s="18"/>
      <c r="O19" s="18"/>
      <c r="P19" s="18"/>
      <c r="Q19" s="20">
        <f>Q20</f>
        <v>156.19999999999999</v>
      </c>
      <c r="R19" s="18">
        <f t="shared" si="6"/>
        <v>156.19999999999999</v>
      </c>
      <c r="S19" s="20">
        <f>S20</f>
        <v>0</v>
      </c>
      <c r="T19" s="18">
        <f t="shared" si="7"/>
        <v>156.19999999999999</v>
      </c>
      <c r="U19" s="20">
        <f>U20</f>
        <v>0</v>
      </c>
      <c r="V19" s="18">
        <f t="shared" si="8"/>
        <v>156.19999999999999</v>
      </c>
      <c r="W19" s="20">
        <f>W20</f>
        <v>0</v>
      </c>
      <c r="X19" s="18">
        <f t="shared" si="9"/>
        <v>156.19999999999999</v>
      </c>
    </row>
    <row r="20" spans="1:27" x14ac:dyDescent="0.25">
      <c r="A20" s="7" t="s">
        <v>511</v>
      </c>
      <c r="B20" s="27" t="s">
        <v>1138</v>
      </c>
      <c r="C20" s="27" t="s">
        <v>66</v>
      </c>
      <c r="D20" s="18"/>
      <c r="E20" s="18"/>
      <c r="F20" s="18"/>
      <c r="G20" s="18"/>
      <c r="H20" s="18"/>
      <c r="I20" s="18"/>
      <c r="J20" s="18"/>
      <c r="K20" s="18"/>
      <c r="L20" s="18"/>
      <c r="M20" s="18"/>
      <c r="N20" s="18"/>
      <c r="O20" s="18"/>
      <c r="P20" s="18"/>
      <c r="Q20" s="45">
        <v>156.19999999999999</v>
      </c>
      <c r="R20" s="18">
        <f t="shared" si="6"/>
        <v>156.19999999999999</v>
      </c>
      <c r="S20" s="64"/>
      <c r="T20" s="18">
        <f t="shared" si="7"/>
        <v>156.19999999999999</v>
      </c>
      <c r="U20" s="64"/>
      <c r="V20" s="18">
        <f t="shared" si="8"/>
        <v>156.19999999999999</v>
      </c>
      <c r="W20" s="64"/>
      <c r="X20" s="18">
        <f t="shared" si="9"/>
        <v>156.19999999999999</v>
      </c>
      <c r="Z20" s="43">
        <f>X20+Y20</f>
        <v>156.19999999999999</v>
      </c>
      <c r="AA20" s="43"/>
    </row>
    <row r="21" spans="1:27" ht="36.75" x14ac:dyDescent="0.25">
      <c r="A21" s="13" t="s">
        <v>251</v>
      </c>
      <c r="B21" s="24" t="s">
        <v>252</v>
      </c>
      <c r="C21" s="24" t="s">
        <v>2</v>
      </c>
      <c r="D21" s="18">
        <f>D22+D23</f>
        <v>303848.40000000002</v>
      </c>
      <c r="E21" s="18">
        <f>E22+E23</f>
        <v>0</v>
      </c>
      <c r="F21" s="18">
        <f t="shared" si="0"/>
        <v>303848.40000000002</v>
      </c>
      <c r="G21" s="18">
        <f>G22+G23</f>
        <v>0</v>
      </c>
      <c r="H21" s="18">
        <f t="shared" si="1"/>
        <v>303848.40000000002</v>
      </c>
      <c r="I21" s="18">
        <f>I22+I23</f>
        <v>0</v>
      </c>
      <c r="J21" s="18">
        <f t="shared" si="2"/>
        <v>303848.40000000002</v>
      </c>
      <c r="K21" s="18">
        <f>K22+K23</f>
        <v>0</v>
      </c>
      <c r="L21" s="18">
        <f t="shared" si="3"/>
        <v>303848.40000000002</v>
      </c>
      <c r="M21" s="18">
        <f>M22+M23</f>
        <v>12320.6</v>
      </c>
      <c r="N21" s="18">
        <f t="shared" si="4"/>
        <v>316169</v>
      </c>
      <c r="O21" s="18">
        <f>O22+O23</f>
        <v>0</v>
      </c>
      <c r="P21" s="18">
        <f t="shared" si="5"/>
        <v>316169</v>
      </c>
      <c r="Q21" s="18">
        <f>Q22+Q23</f>
        <v>0</v>
      </c>
      <c r="R21" s="18">
        <f t="shared" si="6"/>
        <v>316169</v>
      </c>
      <c r="S21" s="18">
        <f>S22+S23</f>
        <v>2233.1</v>
      </c>
      <c r="T21" s="18">
        <f t="shared" si="7"/>
        <v>318402.09999999998</v>
      </c>
      <c r="U21" s="18">
        <f>U22+U23</f>
        <v>0</v>
      </c>
      <c r="V21" s="18">
        <f t="shared" si="8"/>
        <v>318402.09999999998</v>
      </c>
      <c r="W21" s="18">
        <f>W22+W23</f>
        <v>34412</v>
      </c>
      <c r="X21" s="18">
        <f t="shared" si="9"/>
        <v>352814.1</v>
      </c>
    </row>
    <row r="22" spans="1:27" ht="36.75" x14ac:dyDescent="0.25">
      <c r="A22" s="9" t="s">
        <v>510</v>
      </c>
      <c r="B22" s="25" t="s">
        <v>252</v>
      </c>
      <c r="C22" s="25" t="s">
        <v>68</v>
      </c>
      <c r="D22" s="19">
        <f>303848.4-11229</f>
        <v>292619.40000000002</v>
      </c>
      <c r="E22" s="19"/>
      <c r="F22" s="18">
        <f t="shared" si="0"/>
        <v>292619.40000000002</v>
      </c>
      <c r="G22" s="19"/>
      <c r="H22" s="18">
        <f t="shared" si="1"/>
        <v>292619.40000000002</v>
      </c>
      <c r="I22" s="19"/>
      <c r="J22" s="18">
        <f t="shared" si="2"/>
        <v>292619.40000000002</v>
      </c>
      <c r="K22" s="19"/>
      <c r="L22" s="18">
        <f t="shared" si="3"/>
        <v>292619.40000000002</v>
      </c>
      <c r="M22" s="45">
        <v>12320.6</v>
      </c>
      <c r="N22" s="18">
        <f t="shared" si="4"/>
        <v>304940</v>
      </c>
      <c r="O22" s="64"/>
      <c r="P22" s="18">
        <f t="shared" si="5"/>
        <v>304940</v>
      </c>
      <c r="Q22" s="64"/>
      <c r="R22" s="18">
        <f t="shared" si="6"/>
        <v>304940</v>
      </c>
      <c r="S22" s="122">
        <f>2233.1-556</f>
        <v>1677.1</v>
      </c>
      <c r="T22" s="18">
        <f t="shared" si="7"/>
        <v>306617.09999999998</v>
      </c>
      <c r="U22" s="64"/>
      <c r="V22" s="18">
        <f t="shared" si="8"/>
        <v>306617.09999999998</v>
      </c>
      <c r="W22" s="45">
        <v>33357.699999999997</v>
      </c>
      <c r="X22" s="18">
        <f t="shared" si="9"/>
        <v>339974.8</v>
      </c>
      <c r="Z22" s="43">
        <f t="shared" ref="Z22:Z23" si="10">X22+Y22</f>
        <v>339974.8</v>
      </c>
      <c r="AA22" s="43"/>
    </row>
    <row r="23" spans="1:27" ht="36.75" x14ac:dyDescent="0.25">
      <c r="A23" s="9" t="s">
        <v>253</v>
      </c>
      <c r="B23" s="25" t="s">
        <v>252</v>
      </c>
      <c r="C23" s="25" t="s">
        <v>250</v>
      </c>
      <c r="D23" s="19">
        <v>11229</v>
      </c>
      <c r="E23" s="19"/>
      <c r="F23" s="18">
        <f t="shared" si="0"/>
        <v>11229</v>
      </c>
      <c r="G23" s="19"/>
      <c r="H23" s="18">
        <f t="shared" si="1"/>
        <v>11229</v>
      </c>
      <c r="I23" s="19"/>
      <c r="J23" s="18">
        <f t="shared" si="2"/>
        <v>11229</v>
      </c>
      <c r="K23" s="19"/>
      <c r="L23" s="18">
        <f t="shared" si="3"/>
        <v>11229</v>
      </c>
      <c r="M23" s="19"/>
      <c r="N23" s="18">
        <f t="shared" si="4"/>
        <v>11229</v>
      </c>
      <c r="O23" s="19"/>
      <c r="P23" s="18">
        <f t="shared" si="5"/>
        <v>11229</v>
      </c>
      <c r="Q23" s="19"/>
      <c r="R23" s="18">
        <f t="shared" si="6"/>
        <v>11229</v>
      </c>
      <c r="S23" s="122">
        <v>556</v>
      </c>
      <c r="T23" s="18">
        <f t="shared" si="7"/>
        <v>11785</v>
      </c>
      <c r="U23" s="64"/>
      <c r="V23" s="18">
        <f t="shared" si="8"/>
        <v>11785</v>
      </c>
      <c r="W23" s="45">
        <v>1054.3</v>
      </c>
      <c r="X23" s="18">
        <f t="shared" si="9"/>
        <v>12839.3</v>
      </c>
      <c r="Z23" s="43">
        <f t="shared" si="10"/>
        <v>12839.3</v>
      </c>
      <c r="AA23" s="43"/>
    </row>
    <row r="24" spans="1:27" ht="27" customHeight="1" x14ac:dyDescent="0.25">
      <c r="A24" s="13" t="s">
        <v>30</v>
      </c>
      <c r="B24" s="24" t="s">
        <v>249</v>
      </c>
      <c r="C24" s="24" t="s">
        <v>2</v>
      </c>
      <c r="D24" s="18">
        <f>D25+D26</f>
        <v>79186.799999999988</v>
      </c>
      <c r="E24" s="18">
        <f>E25+E26</f>
        <v>0</v>
      </c>
      <c r="F24" s="18">
        <f t="shared" si="0"/>
        <v>79186.799999999988</v>
      </c>
      <c r="G24" s="18">
        <f>G25+G26</f>
        <v>0</v>
      </c>
      <c r="H24" s="18">
        <f t="shared" si="1"/>
        <v>79186.799999999988</v>
      </c>
      <c r="I24" s="18">
        <f>I25+I26</f>
        <v>0</v>
      </c>
      <c r="J24" s="18">
        <f t="shared" si="2"/>
        <v>79186.799999999988</v>
      </c>
      <c r="K24" s="18">
        <f>K25+K26</f>
        <v>11000</v>
      </c>
      <c r="L24" s="18">
        <f t="shared" si="3"/>
        <v>90186.799999999988</v>
      </c>
      <c r="M24" s="18">
        <f>M25+M26</f>
        <v>3412</v>
      </c>
      <c r="N24" s="18">
        <f t="shared" si="4"/>
        <v>93598.799999999988</v>
      </c>
      <c r="O24" s="18">
        <f>O25+O26</f>
        <v>2234.6999999999998</v>
      </c>
      <c r="P24" s="18">
        <f t="shared" si="5"/>
        <v>95833.499999999985</v>
      </c>
      <c r="Q24" s="18">
        <f>Q25+Q26</f>
        <v>0</v>
      </c>
      <c r="R24" s="18">
        <f t="shared" si="6"/>
        <v>95833.499999999985</v>
      </c>
      <c r="S24" s="18">
        <f>S25+S26</f>
        <v>0</v>
      </c>
      <c r="T24" s="18">
        <f t="shared" si="7"/>
        <v>95833.499999999985</v>
      </c>
      <c r="U24" s="155">
        <f>U25+U26</f>
        <v>-7970.9</v>
      </c>
      <c r="V24" s="18">
        <f t="shared" si="8"/>
        <v>87862.599999999991</v>
      </c>
      <c r="W24" s="155">
        <f>W25+W26</f>
        <v>7292.8</v>
      </c>
      <c r="X24" s="18">
        <f t="shared" si="9"/>
        <v>95155.4</v>
      </c>
    </row>
    <row r="25" spans="1:27" ht="36.75" x14ac:dyDescent="0.25">
      <c r="A25" s="9" t="s">
        <v>510</v>
      </c>
      <c r="B25" s="25" t="s">
        <v>249</v>
      </c>
      <c r="C25" s="25" t="s">
        <v>68</v>
      </c>
      <c r="D25" s="19">
        <f>89140.9-14412</f>
        <v>74728.899999999994</v>
      </c>
      <c r="E25" s="19"/>
      <c r="F25" s="18">
        <f t="shared" si="0"/>
        <v>74728.899999999994</v>
      </c>
      <c r="G25" s="19"/>
      <c r="H25" s="18">
        <f t="shared" si="1"/>
        <v>74728.899999999994</v>
      </c>
      <c r="I25" s="19"/>
      <c r="J25" s="18">
        <f t="shared" si="2"/>
        <v>74728.899999999994</v>
      </c>
      <c r="K25" s="106">
        <v>11000</v>
      </c>
      <c r="L25" s="18">
        <f t="shared" si="3"/>
        <v>85728.9</v>
      </c>
      <c r="M25" s="62">
        <v>3412</v>
      </c>
      <c r="N25" s="18">
        <f t="shared" si="4"/>
        <v>89140.9</v>
      </c>
      <c r="O25" s="44">
        <f>1931.9+1477-752.9-430+8.7</f>
        <v>2234.6999999999998</v>
      </c>
      <c r="P25" s="18">
        <f t="shared" si="5"/>
        <v>91375.599999999991</v>
      </c>
      <c r="Q25" s="64"/>
      <c r="R25" s="18">
        <f t="shared" si="6"/>
        <v>91375.599999999991</v>
      </c>
      <c r="S25" s="64"/>
      <c r="T25" s="18">
        <f t="shared" si="7"/>
        <v>91375.599999999991</v>
      </c>
      <c r="U25" s="44">
        <f>-5000-2500-470.9</f>
        <v>-7970.9</v>
      </c>
      <c r="V25" s="18">
        <f t="shared" si="8"/>
        <v>83404.7</v>
      </c>
      <c r="W25" s="112">
        <f>5000+2500+590.7</f>
        <v>8090.7</v>
      </c>
      <c r="X25" s="18">
        <f t="shared" si="9"/>
        <v>91495.4</v>
      </c>
      <c r="Y25" s="43">
        <v>590.70000000000005</v>
      </c>
      <c r="Z25" s="43">
        <f t="shared" ref="Z25:Z26" si="11">X25+Y25</f>
        <v>92086.099999999991</v>
      </c>
      <c r="AA25" s="43"/>
    </row>
    <row r="26" spans="1:27" ht="36.75" x14ac:dyDescent="0.25">
      <c r="A26" s="9" t="s">
        <v>253</v>
      </c>
      <c r="B26" s="25" t="s">
        <v>249</v>
      </c>
      <c r="C26" s="25" t="s">
        <v>250</v>
      </c>
      <c r="D26" s="19">
        <v>4457.8999999999996</v>
      </c>
      <c r="E26" s="19"/>
      <c r="F26" s="18">
        <f t="shared" si="0"/>
        <v>4457.8999999999996</v>
      </c>
      <c r="G26" s="19"/>
      <c r="H26" s="18">
        <f t="shared" si="1"/>
        <v>4457.8999999999996</v>
      </c>
      <c r="I26" s="19"/>
      <c r="J26" s="18">
        <f t="shared" si="2"/>
        <v>4457.8999999999996</v>
      </c>
      <c r="K26" s="19"/>
      <c r="L26" s="18">
        <f t="shared" si="3"/>
        <v>4457.8999999999996</v>
      </c>
      <c r="M26" s="19"/>
      <c r="N26" s="18">
        <f t="shared" si="4"/>
        <v>4457.8999999999996</v>
      </c>
      <c r="O26" s="19"/>
      <c r="P26" s="18">
        <f t="shared" si="5"/>
        <v>4457.8999999999996</v>
      </c>
      <c r="Q26" s="19"/>
      <c r="R26" s="18">
        <f t="shared" si="6"/>
        <v>4457.8999999999996</v>
      </c>
      <c r="S26" s="64"/>
      <c r="T26" s="18">
        <f t="shared" si="7"/>
        <v>4457.8999999999996</v>
      </c>
      <c r="U26" s="64"/>
      <c r="V26" s="18">
        <f t="shared" si="8"/>
        <v>4457.8999999999996</v>
      </c>
      <c r="W26" s="44">
        <v>-797.9</v>
      </c>
      <c r="X26" s="18">
        <f t="shared" si="9"/>
        <v>3659.9999999999995</v>
      </c>
      <c r="Y26" s="43">
        <v>-797.9</v>
      </c>
      <c r="Z26" s="43">
        <f t="shared" si="11"/>
        <v>2862.0999999999995</v>
      </c>
      <c r="AA26" s="43"/>
    </row>
    <row r="27" spans="1:27" x14ac:dyDescent="0.25">
      <c r="A27" s="13" t="s">
        <v>273</v>
      </c>
      <c r="B27" s="24" t="s">
        <v>274</v>
      </c>
      <c r="C27" s="24" t="s">
        <v>2</v>
      </c>
      <c r="D27" s="18">
        <f>D31+D40+D44+D47</f>
        <v>534698.9</v>
      </c>
      <c r="E27" s="18">
        <f>E31+E40+E44+E47</f>
        <v>0</v>
      </c>
      <c r="F27" s="18">
        <f t="shared" si="0"/>
        <v>534698.9</v>
      </c>
      <c r="G27" s="18">
        <f>G31+G40+G44+G47+G37</f>
        <v>47853.8</v>
      </c>
      <c r="H27" s="18">
        <f t="shared" si="1"/>
        <v>582552.70000000007</v>
      </c>
      <c r="I27" s="18">
        <f>I31+I40+I44+I47+I37</f>
        <v>0</v>
      </c>
      <c r="J27" s="18">
        <f t="shared" si="2"/>
        <v>582552.70000000007</v>
      </c>
      <c r="K27" s="18">
        <f>K31+K40+K44+K47+K37+K34</f>
        <v>15793.7</v>
      </c>
      <c r="L27" s="18">
        <f t="shared" si="3"/>
        <v>598346.4</v>
      </c>
      <c r="M27" s="18">
        <f>M31+M40+M44+M47+M37+M34</f>
        <v>29359</v>
      </c>
      <c r="N27" s="18">
        <f t="shared" si="4"/>
        <v>627705.4</v>
      </c>
      <c r="O27" s="18">
        <f>O31+O40+O44+O47+O37+O34</f>
        <v>-4901.5</v>
      </c>
      <c r="P27" s="18">
        <f t="shared" si="5"/>
        <v>622803.9</v>
      </c>
      <c r="Q27" s="18">
        <f>Q31+Q40+Q44+Q47+Q37+Q34+Q28</f>
        <v>5252</v>
      </c>
      <c r="R27" s="18">
        <f t="shared" si="6"/>
        <v>628055.9</v>
      </c>
      <c r="S27" s="18">
        <f>S31+S40+S44+S47+S37+S34+S28</f>
        <v>21668.399999999998</v>
      </c>
      <c r="T27" s="18">
        <f t="shared" si="7"/>
        <v>649724.30000000005</v>
      </c>
      <c r="U27" s="18">
        <f>U31+U40+U44+U47+U37+U34+U28</f>
        <v>-4444.5</v>
      </c>
      <c r="V27" s="18">
        <f t="shared" si="8"/>
        <v>645279.80000000005</v>
      </c>
      <c r="W27" s="18">
        <f>W31+W40+W44+W47+W37+W34+W28</f>
        <v>59739.1</v>
      </c>
      <c r="X27" s="18">
        <f t="shared" si="9"/>
        <v>705018.9</v>
      </c>
    </row>
    <row r="28" spans="1:27" x14ac:dyDescent="0.25">
      <c r="A28" s="33" t="s">
        <v>662</v>
      </c>
      <c r="B28" s="26" t="s">
        <v>1137</v>
      </c>
      <c r="C28" s="26" t="s">
        <v>2</v>
      </c>
      <c r="D28" s="18"/>
      <c r="E28" s="18"/>
      <c r="F28" s="18"/>
      <c r="G28" s="18"/>
      <c r="H28" s="18"/>
      <c r="I28" s="18"/>
      <c r="J28" s="18"/>
      <c r="K28" s="18"/>
      <c r="L28" s="18"/>
      <c r="M28" s="18"/>
      <c r="N28" s="18"/>
      <c r="O28" s="18"/>
      <c r="P28" s="18"/>
      <c r="Q28" s="20">
        <f>Q29+Q30</f>
        <v>859.30000000000007</v>
      </c>
      <c r="R28" s="18">
        <f t="shared" si="6"/>
        <v>859.30000000000007</v>
      </c>
      <c r="S28" s="20">
        <f>S29+S30</f>
        <v>0</v>
      </c>
      <c r="T28" s="18">
        <f t="shared" si="7"/>
        <v>859.30000000000007</v>
      </c>
      <c r="U28" s="20">
        <f>U29+U30</f>
        <v>0</v>
      </c>
      <c r="V28" s="18">
        <f t="shared" si="8"/>
        <v>859.30000000000007</v>
      </c>
      <c r="W28" s="20">
        <f>W29+W30</f>
        <v>0</v>
      </c>
      <c r="X28" s="18">
        <f t="shared" si="9"/>
        <v>859.30000000000007</v>
      </c>
    </row>
    <row r="29" spans="1:27" x14ac:dyDescent="0.25">
      <c r="A29" s="7" t="s">
        <v>511</v>
      </c>
      <c r="B29" s="27" t="s">
        <v>1137</v>
      </c>
      <c r="C29" s="27" t="s">
        <v>66</v>
      </c>
      <c r="D29" s="18"/>
      <c r="E29" s="18"/>
      <c r="F29" s="18"/>
      <c r="G29" s="18"/>
      <c r="H29" s="18"/>
      <c r="I29" s="18"/>
      <c r="J29" s="18"/>
      <c r="K29" s="18"/>
      <c r="L29" s="18"/>
      <c r="M29" s="18"/>
      <c r="N29" s="18"/>
      <c r="O29" s="18"/>
      <c r="P29" s="18"/>
      <c r="Q29" s="45">
        <v>781.2</v>
      </c>
      <c r="R29" s="18">
        <f t="shared" si="6"/>
        <v>781.2</v>
      </c>
      <c r="S29" s="64"/>
      <c r="T29" s="18">
        <f t="shared" si="7"/>
        <v>781.2</v>
      </c>
      <c r="U29" s="64"/>
      <c r="V29" s="18">
        <f t="shared" si="8"/>
        <v>781.2</v>
      </c>
      <c r="W29" s="64"/>
      <c r="X29" s="18">
        <f t="shared" si="9"/>
        <v>781.2</v>
      </c>
      <c r="Z29" s="43">
        <f t="shared" ref="Z29:Z30" si="12">X29+Y29</f>
        <v>781.2</v>
      </c>
      <c r="AA29" s="43"/>
    </row>
    <row r="30" spans="1:27" x14ac:dyDescent="0.25">
      <c r="A30" s="51" t="s">
        <v>266</v>
      </c>
      <c r="B30" s="27" t="s">
        <v>1137</v>
      </c>
      <c r="C30" s="27" t="s">
        <v>267</v>
      </c>
      <c r="D30" s="18"/>
      <c r="E30" s="18"/>
      <c r="F30" s="18"/>
      <c r="G30" s="18"/>
      <c r="H30" s="18"/>
      <c r="I30" s="18"/>
      <c r="J30" s="18"/>
      <c r="K30" s="18"/>
      <c r="L30" s="18"/>
      <c r="M30" s="18"/>
      <c r="N30" s="18"/>
      <c r="O30" s="18"/>
      <c r="P30" s="18"/>
      <c r="Q30" s="45">
        <v>78.099999999999994</v>
      </c>
      <c r="R30" s="18">
        <f t="shared" si="6"/>
        <v>78.099999999999994</v>
      </c>
      <c r="S30" s="64"/>
      <c r="T30" s="18">
        <f t="shared" si="7"/>
        <v>78.099999999999994</v>
      </c>
      <c r="U30" s="64"/>
      <c r="V30" s="18">
        <f t="shared" si="8"/>
        <v>78.099999999999994</v>
      </c>
      <c r="W30" s="64"/>
      <c r="X30" s="18">
        <f t="shared" si="9"/>
        <v>78.099999999999994</v>
      </c>
      <c r="Z30" s="43">
        <f t="shared" si="12"/>
        <v>78.099999999999994</v>
      </c>
      <c r="AA30" s="43"/>
    </row>
    <row r="31" spans="1:27" ht="60.75" x14ac:dyDescent="0.25">
      <c r="A31" s="13" t="s">
        <v>276</v>
      </c>
      <c r="B31" s="24" t="s">
        <v>277</v>
      </c>
      <c r="C31" s="24" t="s">
        <v>2</v>
      </c>
      <c r="D31" s="18">
        <f>D32+D33</f>
        <v>483369.3</v>
      </c>
      <c r="E31" s="18">
        <f>E32+E33</f>
        <v>0</v>
      </c>
      <c r="F31" s="18">
        <f t="shared" si="0"/>
        <v>483369.3</v>
      </c>
      <c r="G31" s="18">
        <f>G32+G33</f>
        <v>0</v>
      </c>
      <c r="H31" s="18">
        <f t="shared" si="1"/>
        <v>483369.3</v>
      </c>
      <c r="I31" s="18">
        <f>I32+I33</f>
        <v>0</v>
      </c>
      <c r="J31" s="18">
        <f t="shared" si="2"/>
        <v>483369.3</v>
      </c>
      <c r="K31" s="18">
        <f>K32+K33</f>
        <v>0</v>
      </c>
      <c r="L31" s="18">
        <f t="shared" si="3"/>
        <v>483369.3</v>
      </c>
      <c r="M31" s="18">
        <f>M32+M33</f>
        <v>26981.8</v>
      </c>
      <c r="N31" s="18">
        <f t="shared" si="4"/>
        <v>510351.1</v>
      </c>
      <c r="O31" s="18">
        <f>O32+O33</f>
        <v>0</v>
      </c>
      <c r="P31" s="18">
        <f t="shared" si="5"/>
        <v>510351.1</v>
      </c>
      <c r="Q31" s="18">
        <f>Q32+Q33</f>
        <v>0</v>
      </c>
      <c r="R31" s="18">
        <f t="shared" si="6"/>
        <v>510351.1</v>
      </c>
      <c r="S31" s="18">
        <f>S32+S33</f>
        <v>21694.6</v>
      </c>
      <c r="T31" s="18">
        <f t="shared" si="7"/>
        <v>532045.69999999995</v>
      </c>
      <c r="U31" s="18">
        <f>U32+U33</f>
        <v>0</v>
      </c>
      <c r="V31" s="18">
        <f t="shared" si="8"/>
        <v>532045.69999999995</v>
      </c>
      <c r="W31" s="18">
        <f>W32+W33</f>
        <v>51805.599999999999</v>
      </c>
      <c r="X31" s="18">
        <f t="shared" si="9"/>
        <v>583851.29999999993</v>
      </c>
    </row>
    <row r="32" spans="1:27" ht="36.75" x14ac:dyDescent="0.25">
      <c r="A32" s="9" t="s">
        <v>510</v>
      </c>
      <c r="B32" s="25" t="s">
        <v>277</v>
      </c>
      <c r="C32" s="25" t="s">
        <v>68</v>
      </c>
      <c r="D32" s="19">
        <v>437283.3</v>
      </c>
      <c r="E32" s="19"/>
      <c r="F32" s="18">
        <f t="shared" si="0"/>
        <v>437283.3</v>
      </c>
      <c r="G32" s="19"/>
      <c r="H32" s="18">
        <f t="shared" si="1"/>
        <v>437283.3</v>
      </c>
      <c r="I32" s="19"/>
      <c r="J32" s="18">
        <f t="shared" si="2"/>
        <v>437283.3</v>
      </c>
      <c r="K32" s="19"/>
      <c r="L32" s="18">
        <f t="shared" si="3"/>
        <v>437283.3</v>
      </c>
      <c r="M32" s="45">
        <v>24849.8</v>
      </c>
      <c r="N32" s="18">
        <f t="shared" si="4"/>
        <v>462133.1</v>
      </c>
      <c r="O32" s="64"/>
      <c r="P32" s="18">
        <f t="shared" si="5"/>
        <v>462133.1</v>
      </c>
      <c r="Q32" s="64"/>
      <c r="R32" s="18">
        <f t="shared" si="6"/>
        <v>462133.1</v>
      </c>
      <c r="S32" s="122">
        <v>20220</v>
      </c>
      <c r="T32" s="18">
        <f t="shared" si="7"/>
        <v>482353.1</v>
      </c>
      <c r="U32" s="122">
        <v>-29.4</v>
      </c>
      <c r="V32" s="18">
        <f t="shared" si="8"/>
        <v>482323.69999999995</v>
      </c>
      <c r="W32" s="45">
        <v>46981.7</v>
      </c>
      <c r="X32" s="18">
        <f t="shared" si="9"/>
        <v>529305.39999999991</v>
      </c>
      <c r="Z32" s="43">
        <f t="shared" ref="Z32:Z33" si="13">X32+Y32</f>
        <v>529305.39999999991</v>
      </c>
      <c r="AA32" s="43"/>
    </row>
    <row r="33" spans="1:27" ht="36.75" x14ac:dyDescent="0.25">
      <c r="A33" s="9" t="s">
        <v>253</v>
      </c>
      <c r="B33" s="25" t="s">
        <v>277</v>
      </c>
      <c r="C33" s="25" t="s">
        <v>250</v>
      </c>
      <c r="D33" s="19">
        <v>46086</v>
      </c>
      <c r="E33" s="19"/>
      <c r="F33" s="18">
        <f t="shared" si="0"/>
        <v>46086</v>
      </c>
      <c r="G33" s="19"/>
      <c r="H33" s="18">
        <f t="shared" si="1"/>
        <v>46086</v>
      </c>
      <c r="I33" s="19"/>
      <c r="J33" s="18">
        <f t="shared" si="2"/>
        <v>46086</v>
      </c>
      <c r="K33" s="19"/>
      <c r="L33" s="18">
        <f t="shared" si="3"/>
        <v>46086</v>
      </c>
      <c r="M33" s="45">
        <v>2132</v>
      </c>
      <c r="N33" s="18">
        <f t="shared" si="4"/>
        <v>48218</v>
      </c>
      <c r="O33" s="64"/>
      <c r="P33" s="18">
        <f t="shared" si="5"/>
        <v>48218</v>
      </c>
      <c r="Q33" s="64"/>
      <c r="R33" s="18">
        <f t="shared" si="6"/>
        <v>48218</v>
      </c>
      <c r="S33" s="122">
        <v>1474.6</v>
      </c>
      <c r="T33" s="18">
        <f t="shared" si="7"/>
        <v>49692.6</v>
      </c>
      <c r="U33" s="122">
        <v>29.4</v>
      </c>
      <c r="V33" s="18">
        <f t="shared" si="8"/>
        <v>49722</v>
      </c>
      <c r="W33" s="45">
        <v>4823.8999999999996</v>
      </c>
      <c r="X33" s="18">
        <f t="shared" si="9"/>
        <v>54545.9</v>
      </c>
      <c r="Z33" s="43">
        <f t="shared" si="13"/>
        <v>54545.9</v>
      </c>
      <c r="AA33" s="43"/>
    </row>
    <row r="34" spans="1:27" ht="48.75" x14ac:dyDescent="0.25">
      <c r="A34" s="33" t="s">
        <v>699</v>
      </c>
      <c r="B34" s="26" t="s">
        <v>700</v>
      </c>
      <c r="C34" s="26"/>
      <c r="D34" s="19"/>
      <c r="E34" s="19"/>
      <c r="F34" s="18"/>
      <c r="G34" s="19"/>
      <c r="H34" s="18"/>
      <c r="I34" s="19"/>
      <c r="J34" s="18"/>
      <c r="K34" s="20">
        <f>K35</f>
        <v>2350.1999999999998</v>
      </c>
      <c r="L34" s="18">
        <f t="shared" si="3"/>
        <v>2350.1999999999998</v>
      </c>
      <c r="M34" s="20">
        <f>M35</f>
        <v>0</v>
      </c>
      <c r="N34" s="18">
        <f t="shared" si="4"/>
        <v>2350.1999999999998</v>
      </c>
      <c r="O34" s="20">
        <f>O35</f>
        <v>0</v>
      </c>
      <c r="P34" s="18">
        <f t="shared" si="5"/>
        <v>2350.1999999999998</v>
      </c>
      <c r="Q34" s="20">
        <f>Q35</f>
        <v>0</v>
      </c>
      <c r="R34" s="18">
        <f t="shared" si="6"/>
        <v>2350.1999999999998</v>
      </c>
      <c r="S34" s="20">
        <f>S35</f>
        <v>0</v>
      </c>
      <c r="T34" s="18">
        <f t="shared" si="7"/>
        <v>2350.1999999999998</v>
      </c>
      <c r="U34" s="20">
        <f>U35</f>
        <v>0</v>
      </c>
      <c r="V34" s="18">
        <f t="shared" si="8"/>
        <v>2350.1999999999998</v>
      </c>
      <c r="W34" s="20">
        <f>W35+W36</f>
        <v>335.6</v>
      </c>
      <c r="X34" s="18">
        <f t="shared" si="9"/>
        <v>2685.7999999999997</v>
      </c>
    </row>
    <row r="35" spans="1:27" x14ac:dyDescent="0.25">
      <c r="A35" s="7" t="s">
        <v>511</v>
      </c>
      <c r="B35" s="27" t="s">
        <v>700</v>
      </c>
      <c r="C35" s="27" t="s">
        <v>66</v>
      </c>
      <c r="D35" s="19"/>
      <c r="E35" s="19"/>
      <c r="F35" s="18"/>
      <c r="G35" s="19"/>
      <c r="H35" s="18"/>
      <c r="I35" s="19"/>
      <c r="J35" s="18"/>
      <c r="K35" s="45">
        <v>2350.1999999999998</v>
      </c>
      <c r="L35" s="18">
        <f t="shared" si="3"/>
        <v>2350.1999999999998</v>
      </c>
      <c r="M35" s="64"/>
      <c r="N35" s="18">
        <f t="shared" si="4"/>
        <v>2350.1999999999998</v>
      </c>
      <c r="O35" s="64"/>
      <c r="P35" s="18">
        <f t="shared" si="5"/>
        <v>2350.1999999999998</v>
      </c>
      <c r="Q35" s="64"/>
      <c r="R35" s="18">
        <f t="shared" si="6"/>
        <v>2350.1999999999998</v>
      </c>
      <c r="S35" s="64"/>
      <c r="T35" s="18">
        <f t="shared" si="7"/>
        <v>2350.1999999999998</v>
      </c>
      <c r="U35" s="64"/>
      <c r="V35" s="18">
        <f t="shared" si="8"/>
        <v>2350.1999999999998</v>
      </c>
      <c r="W35" s="45">
        <f>335.6-11.1</f>
        <v>324.5</v>
      </c>
      <c r="X35" s="18">
        <f t="shared" si="9"/>
        <v>2674.7</v>
      </c>
      <c r="Z35" s="43">
        <f t="shared" ref="Z35:Z36" si="14">X35+Y35</f>
        <v>2674.7</v>
      </c>
      <c r="AA35" s="43"/>
    </row>
    <row r="36" spans="1:27" x14ac:dyDescent="0.25">
      <c r="A36" s="51" t="s">
        <v>266</v>
      </c>
      <c r="B36" s="27" t="s">
        <v>700</v>
      </c>
      <c r="C36" s="27" t="s">
        <v>267</v>
      </c>
      <c r="D36" s="19"/>
      <c r="E36" s="19"/>
      <c r="F36" s="18"/>
      <c r="G36" s="19"/>
      <c r="H36" s="18"/>
      <c r="I36" s="19"/>
      <c r="J36" s="18"/>
      <c r="K36" s="45"/>
      <c r="L36" s="18"/>
      <c r="M36" s="64"/>
      <c r="N36" s="18"/>
      <c r="O36" s="64"/>
      <c r="P36" s="18"/>
      <c r="Q36" s="64"/>
      <c r="R36" s="18"/>
      <c r="S36" s="64"/>
      <c r="T36" s="18"/>
      <c r="U36" s="64"/>
      <c r="V36" s="18"/>
      <c r="W36" s="45">
        <v>11.1</v>
      </c>
      <c r="X36" s="18">
        <f t="shared" si="9"/>
        <v>11.1</v>
      </c>
      <c r="Z36" s="43">
        <f t="shared" si="14"/>
        <v>11.1</v>
      </c>
      <c r="AA36" s="43"/>
    </row>
    <row r="37" spans="1:27" ht="36.75" x14ac:dyDescent="0.25">
      <c r="A37" s="28" t="s">
        <v>593</v>
      </c>
      <c r="B37" s="26" t="s">
        <v>594</v>
      </c>
      <c r="C37" s="27"/>
      <c r="D37" s="19"/>
      <c r="E37" s="19"/>
      <c r="F37" s="18"/>
      <c r="G37" s="54">
        <f>G38+G39</f>
        <v>47853.8</v>
      </c>
      <c r="H37" s="18">
        <f t="shared" si="1"/>
        <v>47853.8</v>
      </c>
      <c r="I37" s="54">
        <f>I38+I39</f>
        <v>0</v>
      </c>
      <c r="J37" s="18">
        <f t="shared" si="2"/>
        <v>47853.8</v>
      </c>
      <c r="K37" s="54">
        <f>K38+K39</f>
        <v>0</v>
      </c>
      <c r="L37" s="18">
        <f t="shared" si="3"/>
        <v>47853.8</v>
      </c>
      <c r="M37" s="54">
        <f>M38+M39</f>
        <v>0</v>
      </c>
      <c r="N37" s="18">
        <f t="shared" si="4"/>
        <v>47853.8</v>
      </c>
      <c r="O37" s="54">
        <f>O38+O39</f>
        <v>0</v>
      </c>
      <c r="P37" s="18">
        <f t="shared" si="5"/>
        <v>47853.8</v>
      </c>
      <c r="Q37" s="54">
        <f>Q38+Q39</f>
        <v>0</v>
      </c>
      <c r="R37" s="18">
        <f t="shared" si="6"/>
        <v>47853.8</v>
      </c>
      <c r="S37" s="54">
        <f>S38+S39</f>
        <v>0</v>
      </c>
      <c r="T37" s="18">
        <f t="shared" si="7"/>
        <v>47853.8</v>
      </c>
      <c r="U37" s="54">
        <f>U38+U39</f>
        <v>0</v>
      </c>
      <c r="V37" s="18">
        <f t="shared" si="8"/>
        <v>47853.8</v>
      </c>
      <c r="W37" s="54">
        <f>W38+W39</f>
        <v>1107.9000000000001</v>
      </c>
      <c r="X37" s="18">
        <f t="shared" si="9"/>
        <v>48961.700000000004</v>
      </c>
    </row>
    <row r="38" spans="1:27" x14ac:dyDescent="0.25">
      <c r="A38" s="7" t="s">
        <v>511</v>
      </c>
      <c r="B38" s="27" t="s">
        <v>594</v>
      </c>
      <c r="C38" s="27" t="s">
        <v>66</v>
      </c>
      <c r="D38" s="19"/>
      <c r="E38" s="19"/>
      <c r="F38" s="18"/>
      <c r="G38" s="55">
        <v>43041.8</v>
      </c>
      <c r="H38" s="18">
        <f t="shared" si="1"/>
        <v>43041.8</v>
      </c>
      <c r="I38" s="77"/>
      <c r="J38" s="18">
        <f t="shared" si="2"/>
        <v>43041.8</v>
      </c>
      <c r="K38" s="77"/>
      <c r="L38" s="18">
        <f t="shared" si="3"/>
        <v>43041.8</v>
      </c>
      <c r="M38" s="77"/>
      <c r="N38" s="18">
        <f t="shared" si="4"/>
        <v>43041.8</v>
      </c>
      <c r="O38" s="77"/>
      <c r="P38" s="18">
        <f t="shared" si="5"/>
        <v>43041.8</v>
      </c>
      <c r="Q38" s="77"/>
      <c r="R38" s="18">
        <f t="shared" si="6"/>
        <v>43041.8</v>
      </c>
      <c r="S38" s="77"/>
      <c r="T38" s="18">
        <f t="shared" si="7"/>
        <v>43041.8</v>
      </c>
      <c r="U38" s="77"/>
      <c r="V38" s="18">
        <f t="shared" si="8"/>
        <v>43041.8</v>
      </c>
      <c r="W38" s="55">
        <v>1000</v>
      </c>
      <c r="X38" s="18">
        <f t="shared" si="9"/>
        <v>44041.8</v>
      </c>
      <c r="Z38" s="43">
        <f t="shared" ref="Z38:Z39" si="15">X38+Y38</f>
        <v>44041.8</v>
      </c>
      <c r="AA38" s="43"/>
    </row>
    <row r="39" spans="1:27" x14ac:dyDescent="0.25">
      <c r="A39" s="51" t="s">
        <v>266</v>
      </c>
      <c r="B39" s="27" t="s">
        <v>594</v>
      </c>
      <c r="C39" s="27" t="s">
        <v>267</v>
      </c>
      <c r="D39" s="19"/>
      <c r="E39" s="19"/>
      <c r="F39" s="18"/>
      <c r="G39" s="55">
        <v>4812</v>
      </c>
      <c r="H39" s="18">
        <f t="shared" si="1"/>
        <v>4812</v>
      </c>
      <c r="I39" s="77"/>
      <c r="J39" s="18">
        <f t="shared" si="2"/>
        <v>4812</v>
      </c>
      <c r="K39" s="77"/>
      <c r="L39" s="18">
        <f t="shared" si="3"/>
        <v>4812</v>
      </c>
      <c r="M39" s="77"/>
      <c r="N39" s="18">
        <f t="shared" si="4"/>
        <v>4812</v>
      </c>
      <c r="O39" s="77"/>
      <c r="P39" s="18">
        <f t="shared" si="5"/>
        <v>4812</v>
      </c>
      <c r="Q39" s="77"/>
      <c r="R39" s="18">
        <f t="shared" si="6"/>
        <v>4812</v>
      </c>
      <c r="S39" s="77"/>
      <c r="T39" s="18">
        <f t="shared" si="7"/>
        <v>4812</v>
      </c>
      <c r="U39" s="77"/>
      <c r="V39" s="18">
        <f t="shared" si="8"/>
        <v>4812</v>
      </c>
      <c r="W39" s="55">
        <v>107.9</v>
      </c>
      <c r="X39" s="18">
        <f t="shared" si="9"/>
        <v>4919.8999999999996</v>
      </c>
      <c r="Z39" s="43">
        <f t="shared" si="15"/>
        <v>4919.8999999999996</v>
      </c>
      <c r="AA39" s="43"/>
    </row>
    <row r="40" spans="1:27" ht="36.75" x14ac:dyDescent="0.25">
      <c r="A40" s="13" t="s">
        <v>322</v>
      </c>
      <c r="B40" s="24" t="s">
        <v>323</v>
      </c>
      <c r="C40" s="24" t="s">
        <v>2</v>
      </c>
      <c r="D40" s="18">
        <f>D41+D42</f>
        <v>150</v>
      </c>
      <c r="E40" s="18">
        <f>E41+E42</f>
        <v>0</v>
      </c>
      <c r="F40" s="18">
        <f t="shared" si="0"/>
        <v>150</v>
      </c>
      <c r="G40" s="18">
        <f>G41+G42</f>
        <v>0</v>
      </c>
      <c r="H40" s="18">
        <f t="shared" si="1"/>
        <v>150</v>
      </c>
      <c r="I40" s="18">
        <f>I41+I42</f>
        <v>0</v>
      </c>
      <c r="J40" s="18">
        <f t="shared" si="2"/>
        <v>150</v>
      </c>
      <c r="K40" s="18">
        <f>K41+K42</f>
        <v>-47.7</v>
      </c>
      <c r="L40" s="18">
        <f t="shared" si="3"/>
        <v>102.3</v>
      </c>
      <c r="M40" s="18">
        <f>M41+M42</f>
        <v>0</v>
      </c>
      <c r="N40" s="18">
        <f t="shared" si="4"/>
        <v>102.3</v>
      </c>
      <c r="O40" s="18">
        <f>O41+O42</f>
        <v>0</v>
      </c>
      <c r="P40" s="18">
        <f t="shared" si="5"/>
        <v>102.3</v>
      </c>
      <c r="Q40" s="18">
        <f>Q41+Q42</f>
        <v>0</v>
      </c>
      <c r="R40" s="18">
        <f t="shared" si="6"/>
        <v>102.3</v>
      </c>
      <c r="S40" s="18">
        <f>S41+S42</f>
        <v>-35</v>
      </c>
      <c r="T40" s="18">
        <f t="shared" si="7"/>
        <v>67.3</v>
      </c>
      <c r="U40" s="18">
        <f>U41+U42+U43</f>
        <v>-14.5</v>
      </c>
      <c r="V40" s="18">
        <f t="shared" si="8"/>
        <v>52.8</v>
      </c>
      <c r="W40" s="18">
        <f>W41+W42+W43</f>
        <v>0</v>
      </c>
      <c r="X40" s="18">
        <f t="shared" si="9"/>
        <v>52.8</v>
      </c>
    </row>
    <row r="41" spans="1:27" x14ac:dyDescent="0.25">
      <c r="A41" s="7" t="s">
        <v>54</v>
      </c>
      <c r="B41" s="25" t="s">
        <v>323</v>
      </c>
      <c r="C41" s="25" t="s">
        <v>34</v>
      </c>
      <c r="D41" s="19">
        <v>20</v>
      </c>
      <c r="E41" s="19"/>
      <c r="F41" s="18">
        <f t="shared" si="0"/>
        <v>20</v>
      </c>
      <c r="G41" s="19"/>
      <c r="H41" s="18">
        <f t="shared" si="1"/>
        <v>20</v>
      </c>
      <c r="I41" s="19"/>
      <c r="J41" s="18">
        <f t="shared" si="2"/>
        <v>20</v>
      </c>
      <c r="K41" s="19"/>
      <c r="L41" s="18">
        <f t="shared" si="3"/>
        <v>20</v>
      </c>
      <c r="M41" s="19"/>
      <c r="N41" s="18">
        <f t="shared" si="4"/>
        <v>20</v>
      </c>
      <c r="O41" s="19"/>
      <c r="P41" s="18">
        <f t="shared" si="5"/>
        <v>20</v>
      </c>
      <c r="Q41" s="19"/>
      <c r="R41" s="18">
        <f t="shared" si="6"/>
        <v>20</v>
      </c>
      <c r="S41" s="62">
        <v>-15</v>
      </c>
      <c r="T41" s="18">
        <f t="shared" si="7"/>
        <v>5</v>
      </c>
      <c r="U41" s="96">
        <v>4</v>
      </c>
      <c r="V41" s="18">
        <f t="shared" si="8"/>
        <v>9</v>
      </c>
      <c r="W41" s="64"/>
      <c r="X41" s="18">
        <f t="shared" si="9"/>
        <v>9</v>
      </c>
      <c r="Z41" s="43">
        <f t="shared" ref="Z41:Z43" si="16">X41+Y41</f>
        <v>9</v>
      </c>
      <c r="AA41" s="43"/>
    </row>
    <row r="42" spans="1:27" x14ac:dyDescent="0.25">
      <c r="A42" s="9" t="s">
        <v>511</v>
      </c>
      <c r="B42" s="25" t="s">
        <v>323</v>
      </c>
      <c r="C42" s="25" t="s">
        <v>66</v>
      </c>
      <c r="D42" s="19">
        <v>130</v>
      </c>
      <c r="E42" s="19"/>
      <c r="F42" s="18">
        <f t="shared" si="0"/>
        <v>130</v>
      </c>
      <c r="G42" s="19"/>
      <c r="H42" s="18">
        <f t="shared" si="1"/>
        <v>130</v>
      </c>
      <c r="I42" s="19"/>
      <c r="J42" s="18">
        <f t="shared" si="2"/>
        <v>130</v>
      </c>
      <c r="K42" s="106">
        <v>-47.7</v>
      </c>
      <c r="L42" s="18">
        <f t="shared" si="3"/>
        <v>82.3</v>
      </c>
      <c r="M42" s="64"/>
      <c r="N42" s="18">
        <f t="shared" si="4"/>
        <v>82.3</v>
      </c>
      <c r="O42" s="64"/>
      <c r="P42" s="18">
        <f t="shared" si="5"/>
        <v>82.3</v>
      </c>
      <c r="Q42" s="64"/>
      <c r="R42" s="18">
        <f t="shared" si="6"/>
        <v>82.3</v>
      </c>
      <c r="S42" s="62">
        <v>-20</v>
      </c>
      <c r="T42" s="18">
        <f t="shared" si="7"/>
        <v>62.3</v>
      </c>
      <c r="U42" s="96">
        <v>-23</v>
      </c>
      <c r="V42" s="18">
        <f t="shared" si="8"/>
        <v>39.299999999999997</v>
      </c>
      <c r="W42" s="64"/>
      <c r="X42" s="18">
        <f t="shared" si="9"/>
        <v>39.299999999999997</v>
      </c>
      <c r="Z42" s="43">
        <f t="shared" si="16"/>
        <v>39.299999999999997</v>
      </c>
      <c r="AA42" s="43"/>
    </row>
    <row r="43" spans="1:27" x14ac:dyDescent="0.25">
      <c r="A43" s="51" t="s">
        <v>266</v>
      </c>
      <c r="B43" s="25" t="s">
        <v>323</v>
      </c>
      <c r="C43" s="25" t="s">
        <v>267</v>
      </c>
      <c r="D43" s="19"/>
      <c r="E43" s="19"/>
      <c r="F43" s="18"/>
      <c r="G43" s="19"/>
      <c r="H43" s="18"/>
      <c r="I43" s="19"/>
      <c r="J43" s="18"/>
      <c r="K43" s="106"/>
      <c r="L43" s="18"/>
      <c r="M43" s="64"/>
      <c r="N43" s="18"/>
      <c r="O43" s="64"/>
      <c r="P43" s="18"/>
      <c r="Q43" s="64"/>
      <c r="R43" s="18"/>
      <c r="S43" s="62"/>
      <c r="T43" s="18"/>
      <c r="U43" s="96">
        <v>4.5</v>
      </c>
      <c r="V43" s="18">
        <f t="shared" si="8"/>
        <v>4.5</v>
      </c>
      <c r="W43" s="64"/>
      <c r="X43" s="18">
        <f t="shared" si="9"/>
        <v>4.5</v>
      </c>
      <c r="Z43" s="43">
        <f t="shared" si="16"/>
        <v>4.5</v>
      </c>
      <c r="AA43" s="43"/>
    </row>
    <row r="44" spans="1:27" ht="24.75" x14ac:dyDescent="0.25">
      <c r="A44" s="13" t="s">
        <v>324</v>
      </c>
      <c r="B44" s="24" t="s">
        <v>325</v>
      </c>
      <c r="C44" s="24" t="s">
        <v>2</v>
      </c>
      <c r="D44" s="18">
        <f>D45+D46</f>
        <v>250</v>
      </c>
      <c r="E44" s="18">
        <f>E45+E46</f>
        <v>0</v>
      </c>
      <c r="F44" s="18">
        <f t="shared" si="0"/>
        <v>250</v>
      </c>
      <c r="G44" s="18">
        <f>G45+G46</f>
        <v>0</v>
      </c>
      <c r="H44" s="18">
        <f t="shared" si="1"/>
        <v>250</v>
      </c>
      <c r="I44" s="18">
        <f>I45+I46</f>
        <v>0</v>
      </c>
      <c r="J44" s="18">
        <f t="shared" si="2"/>
        <v>250</v>
      </c>
      <c r="K44" s="18">
        <f>K45+K46</f>
        <v>47.7</v>
      </c>
      <c r="L44" s="18">
        <f t="shared" si="3"/>
        <v>297.7</v>
      </c>
      <c r="M44" s="18">
        <f>M45+M46</f>
        <v>0</v>
      </c>
      <c r="N44" s="18">
        <f t="shared" si="4"/>
        <v>297.7</v>
      </c>
      <c r="O44" s="18">
        <f>O45+O46</f>
        <v>0</v>
      </c>
      <c r="P44" s="18">
        <f t="shared" si="5"/>
        <v>297.7</v>
      </c>
      <c r="Q44" s="18">
        <f>Q45+Q46</f>
        <v>0</v>
      </c>
      <c r="R44" s="18">
        <f t="shared" si="6"/>
        <v>297.7</v>
      </c>
      <c r="S44" s="18">
        <f>S45+S46</f>
        <v>0</v>
      </c>
      <c r="T44" s="18">
        <f t="shared" si="7"/>
        <v>297.7</v>
      </c>
      <c r="U44" s="18">
        <f>U45+U46</f>
        <v>0</v>
      </c>
      <c r="V44" s="18">
        <f t="shared" si="8"/>
        <v>297.7</v>
      </c>
      <c r="W44" s="18">
        <f>W45+W46</f>
        <v>0</v>
      </c>
      <c r="X44" s="18">
        <f t="shared" si="9"/>
        <v>297.7</v>
      </c>
    </row>
    <row r="45" spans="1:27" x14ac:dyDescent="0.25">
      <c r="A45" s="9" t="s">
        <v>511</v>
      </c>
      <c r="B45" s="25" t="s">
        <v>325</v>
      </c>
      <c r="C45" s="25" t="s">
        <v>66</v>
      </c>
      <c r="D45" s="19">
        <v>230</v>
      </c>
      <c r="E45" s="19"/>
      <c r="F45" s="18">
        <f t="shared" si="0"/>
        <v>230</v>
      </c>
      <c r="G45" s="19"/>
      <c r="H45" s="18">
        <f t="shared" si="1"/>
        <v>230</v>
      </c>
      <c r="I45" s="19"/>
      <c r="J45" s="18">
        <f t="shared" si="2"/>
        <v>230</v>
      </c>
      <c r="K45" s="106">
        <v>47.2</v>
      </c>
      <c r="L45" s="18">
        <f t="shared" si="3"/>
        <v>277.2</v>
      </c>
      <c r="M45" s="64"/>
      <c r="N45" s="18">
        <f t="shared" si="4"/>
        <v>277.2</v>
      </c>
      <c r="O45" s="64"/>
      <c r="P45" s="18">
        <f t="shared" si="5"/>
        <v>277.2</v>
      </c>
      <c r="Q45" s="64"/>
      <c r="R45" s="18">
        <f t="shared" si="6"/>
        <v>277.2</v>
      </c>
      <c r="S45" s="64"/>
      <c r="T45" s="18">
        <f t="shared" si="7"/>
        <v>277.2</v>
      </c>
      <c r="U45" s="64"/>
      <c r="V45" s="18">
        <f t="shared" si="8"/>
        <v>277.2</v>
      </c>
      <c r="W45" s="64"/>
      <c r="X45" s="18">
        <f t="shared" si="9"/>
        <v>277.2</v>
      </c>
      <c r="Z45" s="43">
        <f t="shared" ref="Z45:Z46" si="17">X45+Y45</f>
        <v>277.2</v>
      </c>
      <c r="AA45" s="43"/>
    </row>
    <row r="46" spans="1:27" x14ac:dyDescent="0.25">
      <c r="A46" s="9" t="s">
        <v>266</v>
      </c>
      <c r="B46" s="25" t="s">
        <v>325</v>
      </c>
      <c r="C46" s="25" t="s">
        <v>267</v>
      </c>
      <c r="D46" s="19">
        <v>20</v>
      </c>
      <c r="E46" s="19"/>
      <c r="F46" s="18">
        <f t="shared" si="0"/>
        <v>20</v>
      </c>
      <c r="G46" s="19"/>
      <c r="H46" s="18">
        <f t="shared" si="1"/>
        <v>20</v>
      </c>
      <c r="I46" s="19"/>
      <c r="J46" s="18">
        <f t="shared" si="2"/>
        <v>20</v>
      </c>
      <c r="K46" s="106">
        <v>0.5</v>
      </c>
      <c r="L46" s="18">
        <f t="shared" si="3"/>
        <v>20.5</v>
      </c>
      <c r="M46" s="64"/>
      <c r="N46" s="18">
        <f t="shared" si="4"/>
        <v>20.5</v>
      </c>
      <c r="O46" s="64"/>
      <c r="P46" s="18">
        <f t="shared" si="5"/>
        <v>20.5</v>
      </c>
      <c r="Q46" s="64"/>
      <c r="R46" s="18">
        <f t="shared" si="6"/>
        <v>20.5</v>
      </c>
      <c r="S46" s="64"/>
      <c r="T46" s="18">
        <f t="shared" si="7"/>
        <v>20.5</v>
      </c>
      <c r="U46" s="64"/>
      <c r="V46" s="18">
        <f t="shared" si="8"/>
        <v>20.5</v>
      </c>
      <c r="W46" s="64"/>
      <c r="X46" s="18">
        <f t="shared" si="9"/>
        <v>20.5</v>
      </c>
      <c r="Z46" s="43">
        <f t="shared" si="17"/>
        <v>20.5</v>
      </c>
      <c r="AA46" s="43"/>
    </row>
    <row r="47" spans="1:27" ht="27.75" customHeight="1" x14ac:dyDescent="0.25">
      <c r="A47" s="13" t="s">
        <v>30</v>
      </c>
      <c r="B47" s="24" t="s">
        <v>275</v>
      </c>
      <c r="C47" s="24" t="s">
        <v>2</v>
      </c>
      <c r="D47" s="18">
        <f>D48+D50</f>
        <v>50929.599999999999</v>
      </c>
      <c r="E47" s="18">
        <f>E48+E50</f>
        <v>0</v>
      </c>
      <c r="F47" s="18">
        <f t="shared" si="0"/>
        <v>50929.599999999999</v>
      </c>
      <c r="G47" s="18">
        <f>G48+G50</f>
        <v>0</v>
      </c>
      <c r="H47" s="18">
        <f t="shared" si="1"/>
        <v>50929.599999999999</v>
      </c>
      <c r="I47" s="18">
        <f>I48+I50</f>
        <v>0</v>
      </c>
      <c r="J47" s="18">
        <f t="shared" si="2"/>
        <v>50929.599999999999</v>
      </c>
      <c r="K47" s="18">
        <f>K48+K50</f>
        <v>13443.5</v>
      </c>
      <c r="L47" s="18">
        <f t="shared" si="3"/>
        <v>64373.1</v>
      </c>
      <c r="M47" s="18">
        <f>M48+M50</f>
        <v>2377.1999999999998</v>
      </c>
      <c r="N47" s="18">
        <f t="shared" si="4"/>
        <v>66750.3</v>
      </c>
      <c r="O47" s="18">
        <f>O48+O50</f>
        <v>-4901.5</v>
      </c>
      <c r="P47" s="18">
        <f t="shared" si="5"/>
        <v>61848.800000000003</v>
      </c>
      <c r="Q47" s="18">
        <f>Q48+Q50</f>
        <v>4392.7</v>
      </c>
      <c r="R47" s="18">
        <f t="shared" si="6"/>
        <v>66241.5</v>
      </c>
      <c r="S47" s="18">
        <f>S48+S50</f>
        <v>8.8000000000000007</v>
      </c>
      <c r="T47" s="18">
        <f t="shared" si="7"/>
        <v>66250.3</v>
      </c>
      <c r="U47" s="155">
        <f>U48+U50+U49</f>
        <v>-4430</v>
      </c>
      <c r="V47" s="18">
        <f t="shared" si="8"/>
        <v>61820.3</v>
      </c>
      <c r="W47" s="155">
        <f>W48+W50+W49</f>
        <v>6490</v>
      </c>
      <c r="X47" s="18">
        <f t="shared" si="9"/>
        <v>68310.3</v>
      </c>
    </row>
    <row r="48" spans="1:27" ht="36.75" x14ac:dyDescent="0.25">
      <c r="A48" s="9" t="s">
        <v>510</v>
      </c>
      <c r="B48" s="25" t="s">
        <v>275</v>
      </c>
      <c r="C48" s="25" t="s">
        <v>68</v>
      </c>
      <c r="D48" s="19">
        <f>59817.7-16121.7</f>
        <v>43696</v>
      </c>
      <c r="E48" s="19"/>
      <c r="F48" s="18">
        <f t="shared" si="0"/>
        <v>43696</v>
      </c>
      <c r="G48" s="19"/>
      <c r="H48" s="18">
        <f t="shared" si="1"/>
        <v>43696</v>
      </c>
      <c r="I48" s="19"/>
      <c r="J48" s="18">
        <f t="shared" si="2"/>
        <v>43696</v>
      </c>
      <c r="K48" s="106">
        <v>13443.5</v>
      </c>
      <c r="L48" s="18">
        <f t="shared" si="3"/>
        <v>57139.5</v>
      </c>
      <c r="M48" s="62">
        <v>2377.1999999999998</v>
      </c>
      <c r="N48" s="18">
        <f t="shared" si="4"/>
        <v>59516.7</v>
      </c>
      <c r="O48" s="96">
        <v>-4401.5</v>
      </c>
      <c r="P48" s="18">
        <f t="shared" si="5"/>
        <v>55115.199999999997</v>
      </c>
      <c r="Q48" s="44">
        <v>3892.7</v>
      </c>
      <c r="R48" s="18">
        <f t="shared" si="6"/>
        <v>59007.899999999994</v>
      </c>
      <c r="S48" s="62">
        <v>8.8000000000000007</v>
      </c>
      <c r="T48" s="18">
        <f t="shared" si="7"/>
        <v>59016.7</v>
      </c>
      <c r="U48" s="44">
        <v>-5000</v>
      </c>
      <c r="V48" s="18">
        <f t="shared" si="8"/>
        <v>54016.7</v>
      </c>
      <c r="W48" s="112">
        <f>5000+1355.1</f>
        <v>6355.1</v>
      </c>
      <c r="X48" s="18">
        <f t="shared" si="9"/>
        <v>60371.799999999996</v>
      </c>
      <c r="Y48" s="43">
        <v>1355.1</v>
      </c>
      <c r="Z48" s="43">
        <f t="shared" ref="Z48:Z50" si="18">X48+Y48</f>
        <v>61726.899999999994</v>
      </c>
      <c r="AA48" s="43"/>
    </row>
    <row r="49" spans="1:27" x14ac:dyDescent="0.25">
      <c r="A49" s="9" t="s">
        <v>511</v>
      </c>
      <c r="B49" s="25" t="s">
        <v>275</v>
      </c>
      <c r="C49" s="25" t="s">
        <v>66</v>
      </c>
      <c r="D49" s="19"/>
      <c r="E49" s="19"/>
      <c r="F49" s="18"/>
      <c r="G49" s="19"/>
      <c r="H49" s="18"/>
      <c r="I49" s="19"/>
      <c r="J49" s="18"/>
      <c r="K49" s="106"/>
      <c r="L49" s="18"/>
      <c r="M49" s="62"/>
      <c r="N49" s="18"/>
      <c r="O49" s="96"/>
      <c r="P49" s="18"/>
      <c r="Q49" s="44"/>
      <c r="R49" s="18"/>
      <c r="S49" s="62"/>
      <c r="T49" s="18"/>
      <c r="U49" s="96">
        <v>99.1</v>
      </c>
      <c r="V49" s="18">
        <f t="shared" si="8"/>
        <v>99.1</v>
      </c>
      <c r="W49" s="44">
        <v>6.5</v>
      </c>
      <c r="X49" s="18">
        <f t="shared" si="9"/>
        <v>105.6</v>
      </c>
      <c r="Y49" s="43">
        <v>6.5</v>
      </c>
      <c r="Z49" s="43">
        <f t="shared" si="18"/>
        <v>112.1</v>
      </c>
      <c r="AA49" s="43"/>
    </row>
    <row r="50" spans="1:27" ht="36.75" x14ac:dyDescent="0.25">
      <c r="A50" s="9" t="s">
        <v>253</v>
      </c>
      <c r="B50" s="25" t="s">
        <v>275</v>
      </c>
      <c r="C50" s="25" t="s">
        <v>250</v>
      </c>
      <c r="D50" s="19">
        <v>7233.5999999999995</v>
      </c>
      <c r="E50" s="19"/>
      <c r="F50" s="18">
        <f t="shared" si="0"/>
        <v>7233.5999999999995</v>
      </c>
      <c r="G50" s="19"/>
      <c r="H50" s="18">
        <f t="shared" si="1"/>
        <v>7233.5999999999995</v>
      </c>
      <c r="I50" s="19"/>
      <c r="J50" s="18">
        <f t="shared" si="2"/>
        <v>7233.5999999999995</v>
      </c>
      <c r="K50" s="19"/>
      <c r="L50" s="18">
        <f t="shared" si="3"/>
        <v>7233.5999999999995</v>
      </c>
      <c r="M50" s="19"/>
      <c r="N50" s="18">
        <f t="shared" si="4"/>
        <v>7233.5999999999995</v>
      </c>
      <c r="O50" s="96">
        <v>-500</v>
      </c>
      <c r="P50" s="18">
        <f t="shared" si="5"/>
        <v>6733.5999999999995</v>
      </c>
      <c r="Q50" s="44">
        <v>500</v>
      </c>
      <c r="R50" s="18">
        <f t="shared" si="6"/>
        <v>7233.5999999999995</v>
      </c>
      <c r="S50" s="64"/>
      <c r="T50" s="18">
        <f t="shared" si="7"/>
        <v>7233.5999999999995</v>
      </c>
      <c r="U50" s="96">
        <v>470.9</v>
      </c>
      <c r="V50" s="18">
        <f t="shared" si="8"/>
        <v>7704.4999999999991</v>
      </c>
      <c r="W50" s="44">
        <v>128.4</v>
      </c>
      <c r="X50" s="18">
        <f t="shared" si="9"/>
        <v>7832.8999999999987</v>
      </c>
      <c r="Y50" s="43">
        <v>128.4</v>
      </c>
      <c r="Z50" s="43">
        <f t="shared" si="18"/>
        <v>7961.2999999999984</v>
      </c>
      <c r="AA50" s="43"/>
    </row>
    <row r="51" spans="1:27" x14ac:dyDescent="0.25">
      <c r="A51" s="13" t="s">
        <v>434</v>
      </c>
      <c r="B51" s="24" t="s">
        <v>435</v>
      </c>
      <c r="C51" s="24" t="s">
        <v>2</v>
      </c>
      <c r="D51" s="18">
        <f>D52+D56+D58+D54</f>
        <v>3331.3999999999996</v>
      </c>
      <c r="E51" s="18">
        <f>E52+E56+E58+E54</f>
        <v>0</v>
      </c>
      <c r="F51" s="18">
        <f t="shared" si="0"/>
        <v>3331.3999999999996</v>
      </c>
      <c r="G51" s="18">
        <f>G52+G56+G58+G54</f>
        <v>0</v>
      </c>
      <c r="H51" s="18">
        <f t="shared" si="1"/>
        <v>3331.3999999999996</v>
      </c>
      <c r="I51" s="18">
        <f>I52+I56+I58+I54</f>
        <v>0</v>
      </c>
      <c r="J51" s="18">
        <f t="shared" si="2"/>
        <v>3331.3999999999996</v>
      </c>
      <c r="K51" s="18">
        <f>K52+K56+K58+K54</f>
        <v>0</v>
      </c>
      <c r="L51" s="18">
        <f t="shared" si="3"/>
        <v>3331.3999999999996</v>
      </c>
      <c r="M51" s="18">
        <f>M52+M56+M58+M54</f>
        <v>93.5</v>
      </c>
      <c r="N51" s="18">
        <f t="shared" si="4"/>
        <v>3424.8999999999996</v>
      </c>
      <c r="O51" s="18">
        <f>O52+O56+O58+O54</f>
        <v>0</v>
      </c>
      <c r="P51" s="18">
        <f t="shared" si="5"/>
        <v>3424.8999999999996</v>
      </c>
      <c r="Q51" s="18">
        <f>Q52+Q56+Q58+Q54</f>
        <v>0</v>
      </c>
      <c r="R51" s="18">
        <f t="shared" si="6"/>
        <v>3424.8999999999996</v>
      </c>
      <c r="S51" s="18">
        <f>S52+S56+S58+S54</f>
        <v>0</v>
      </c>
      <c r="T51" s="18">
        <f t="shared" si="7"/>
        <v>3424.8999999999996</v>
      </c>
      <c r="U51" s="18">
        <f>U52+U56+U58+U54</f>
        <v>0</v>
      </c>
      <c r="V51" s="18">
        <f t="shared" si="8"/>
        <v>3424.8999999999996</v>
      </c>
      <c r="W51" s="18">
        <f>W52+W56+W58+W54</f>
        <v>0</v>
      </c>
      <c r="X51" s="18">
        <f t="shared" si="9"/>
        <v>3424.8999999999996</v>
      </c>
    </row>
    <row r="52" spans="1:27" ht="49.5" customHeight="1" x14ac:dyDescent="0.25">
      <c r="A52" s="13" t="s">
        <v>436</v>
      </c>
      <c r="B52" s="24" t="s">
        <v>437</v>
      </c>
      <c r="C52" s="24" t="s">
        <v>2</v>
      </c>
      <c r="D52" s="18">
        <f>D53</f>
        <v>3053.6</v>
      </c>
      <c r="E52" s="18">
        <f>E53</f>
        <v>0</v>
      </c>
      <c r="F52" s="18">
        <f t="shared" si="0"/>
        <v>3053.6</v>
      </c>
      <c r="G52" s="18">
        <f>G53</f>
        <v>0</v>
      </c>
      <c r="H52" s="18">
        <f t="shared" si="1"/>
        <v>3053.6</v>
      </c>
      <c r="I52" s="18">
        <f>I53</f>
        <v>0</v>
      </c>
      <c r="J52" s="18">
        <f t="shared" si="2"/>
        <v>3053.6</v>
      </c>
      <c r="K52" s="18">
        <f>K53</f>
        <v>0</v>
      </c>
      <c r="L52" s="18">
        <f t="shared" si="3"/>
        <v>3053.6</v>
      </c>
      <c r="M52" s="18">
        <f>M53</f>
        <v>0</v>
      </c>
      <c r="N52" s="18">
        <f t="shared" si="4"/>
        <v>3053.6</v>
      </c>
      <c r="O52" s="18">
        <f>O53</f>
        <v>0</v>
      </c>
      <c r="P52" s="18">
        <f t="shared" si="5"/>
        <v>3053.6</v>
      </c>
      <c r="Q52" s="18">
        <f>Q53</f>
        <v>0</v>
      </c>
      <c r="R52" s="18">
        <f t="shared" si="6"/>
        <v>3053.6</v>
      </c>
      <c r="S52" s="18">
        <f>S53</f>
        <v>0</v>
      </c>
      <c r="T52" s="18">
        <f t="shared" si="7"/>
        <v>3053.6</v>
      </c>
      <c r="U52" s="18">
        <f>U53</f>
        <v>0</v>
      </c>
      <c r="V52" s="18">
        <f t="shared" si="8"/>
        <v>3053.6</v>
      </c>
      <c r="W52" s="18">
        <f>W53</f>
        <v>0</v>
      </c>
      <c r="X52" s="18">
        <f t="shared" si="9"/>
        <v>3053.6</v>
      </c>
    </row>
    <row r="53" spans="1:27" ht="24.75" x14ac:dyDescent="0.25">
      <c r="A53" s="9" t="s">
        <v>505</v>
      </c>
      <c r="B53" s="25" t="s">
        <v>437</v>
      </c>
      <c r="C53" s="25" t="s">
        <v>260</v>
      </c>
      <c r="D53" s="19">
        <v>3053.6</v>
      </c>
      <c r="E53" s="19"/>
      <c r="F53" s="18">
        <f t="shared" si="0"/>
        <v>3053.6</v>
      </c>
      <c r="G53" s="19"/>
      <c r="H53" s="18">
        <f t="shared" si="1"/>
        <v>3053.6</v>
      </c>
      <c r="I53" s="19"/>
      <c r="J53" s="18">
        <f t="shared" si="2"/>
        <v>3053.6</v>
      </c>
      <c r="K53" s="19"/>
      <c r="L53" s="18">
        <f t="shared" si="3"/>
        <v>3053.6</v>
      </c>
      <c r="M53" s="19"/>
      <c r="N53" s="18">
        <f t="shared" si="4"/>
        <v>3053.6</v>
      </c>
      <c r="O53" s="19"/>
      <c r="P53" s="18">
        <f t="shared" si="5"/>
        <v>3053.6</v>
      </c>
      <c r="Q53" s="19"/>
      <c r="R53" s="18">
        <f t="shared" si="6"/>
        <v>3053.6</v>
      </c>
      <c r="S53" s="64"/>
      <c r="T53" s="18">
        <f t="shared" si="7"/>
        <v>3053.6</v>
      </c>
      <c r="U53" s="64"/>
      <c r="V53" s="18">
        <f t="shared" si="8"/>
        <v>3053.6</v>
      </c>
      <c r="W53" s="64"/>
      <c r="X53" s="18">
        <f t="shared" si="9"/>
        <v>3053.6</v>
      </c>
      <c r="Z53" s="43">
        <f>X53+Y53</f>
        <v>3053.6</v>
      </c>
      <c r="AA53" s="43"/>
    </row>
    <row r="54" spans="1:27" ht="72" customHeight="1" x14ac:dyDescent="0.25">
      <c r="A54" s="28" t="s">
        <v>533</v>
      </c>
      <c r="B54" s="26" t="s">
        <v>534</v>
      </c>
      <c r="C54" s="27"/>
      <c r="D54" s="18">
        <f>D55</f>
        <v>147.19999999999999</v>
      </c>
      <c r="E54" s="18">
        <f>E55</f>
        <v>0</v>
      </c>
      <c r="F54" s="18">
        <f t="shared" si="0"/>
        <v>147.19999999999999</v>
      </c>
      <c r="G54" s="18">
        <f>G55</f>
        <v>0</v>
      </c>
      <c r="H54" s="18">
        <f t="shared" si="1"/>
        <v>147.19999999999999</v>
      </c>
      <c r="I54" s="18">
        <f>I55</f>
        <v>0</v>
      </c>
      <c r="J54" s="18">
        <f t="shared" si="2"/>
        <v>147.19999999999999</v>
      </c>
      <c r="K54" s="18">
        <f>K55</f>
        <v>0</v>
      </c>
      <c r="L54" s="18">
        <f t="shared" si="3"/>
        <v>147.19999999999999</v>
      </c>
      <c r="M54" s="18">
        <f>M55</f>
        <v>0</v>
      </c>
      <c r="N54" s="18">
        <f t="shared" si="4"/>
        <v>147.19999999999999</v>
      </c>
      <c r="O54" s="18">
        <f>O55</f>
        <v>0</v>
      </c>
      <c r="P54" s="18">
        <f t="shared" si="5"/>
        <v>147.19999999999999</v>
      </c>
      <c r="Q54" s="18">
        <f>Q55</f>
        <v>0</v>
      </c>
      <c r="R54" s="18">
        <f t="shared" si="6"/>
        <v>147.19999999999999</v>
      </c>
      <c r="S54" s="18">
        <f>S55</f>
        <v>0</v>
      </c>
      <c r="T54" s="18">
        <f t="shared" si="7"/>
        <v>147.19999999999999</v>
      </c>
      <c r="U54" s="18">
        <f>U55</f>
        <v>0</v>
      </c>
      <c r="V54" s="18">
        <f t="shared" si="8"/>
        <v>147.19999999999999</v>
      </c>
      <c r="W54" s="18">
        <f>W55</f>
        <v>0</v>
      </c>
      <c r="X54" s="18">
        <f t="shared" si="9"/>
        <v>147.19999999999999</v>
      </c>
    </row>
    <row r="55" spans="1:27" x14ac:dyDescent="0.25">
      <c r="A55" s="7" t="s">
        <v>511</v>
      </c>
      <c r="B55" s="27" t="s">
        <v>534</v>
      </c>
      <c r="C55" s="27" t="s">
        <v>66</v>
      </c>
      <c r="D55" s="19">
        <v>147.19999999999999</v>
      </c>
      <c r="E55" s="19"/>
      <c r="F55" s="18">
        <f t="shared" si="0"/>
        <v>147.19999999999999</v>
      </c>
      <c r="G55" s="19"/>
      <c r="H55" s="18">
        <f t="shared" si="1"/>
        <v>147.19999999999999</v>
      </c>
      <c r="I55" s="19"/>
      <c r="J55" s="18">
        <f t="shared" si="2"/>
        <v>147.19999999999999</v>
      </c>
      <c r="K55" s="19"/>
      <c r="L55" s="18">
        <f t="shared" si="3"/>
        <v>147.19999999999999</v>
      </c>
      <c r="M55" s="19"/>
      <c r="N55" s="18">
        <f t="shared" si="4"/>
        <v>147.19999999999999</v>
      </c>
      <c r="O55" s="19"/>
      <c r="P55" s="18">
        <f t="shared" si="5"/>
        <v>147.19999999999999</v>
      </c>
      <c r="Q55" s="19"/>
      <c r="R55" s="18">
        <f t="shared" si="6"/>
        <v>147.19999999999999</v>
      </c>
      <c r="S55" s="64"/>
      <c r="T55" s="18">
        <f t="shared" si="7"/>
        <v>147.19999999999999</v>
      </c>
      <c r="U55" s="64"/>
      <c r="V55" s="18">
        <f t="shared" si="8"/>
        <v>147.19999999999999</v>
      </c>
      <c r="W55" s="64"/>
      <c r="X55" s="18">
        <f t="shared" si="9"/>
        <v>147.19999999999999</v>
      </c>
      <c r="Z55" s="43">
        <f>X55+Y55</f>
        <v>147.19999999999999</v>
      </c>
      <c r="AA55" s="43"/>
    </row>
    <row r="56" spans="1:27" ht="48.75" x14ac:dyDescent="0.25">
      <c r="A56" s="13" t="s">
        <v>438</v>
      </c>
      <c r="B56" s="24" t="s">
        <v>439</v>
      </c>
      <c r="C56" s="24" t="s">
        <v>2</v>
      </c>
      <c r="D56" s="18">
        <f>D57</f>
        <v>126.5</v>
      </c>
      <c r="E56" s="18">
        <f>E57</f>
        <v>0</v>
      </c>
      <c r="F56" s="18">
        <f t="shared" si="0"/>
        <v>126.5</v>
      </c>
      <c r="G56" s="18">
        <f>G57</f>
        <v>0</v>
      </c>
      <c r="H56" s="18">
        <f t="shared" si="1"/>
        <v>126.5</v>
      </c>
      <c r="I56" s="18">
        <f>I57</f>
        <v>0</v>
      </c>
      <c r="J56" s="18">
        <f t="shared" si="2"/>
        <v>126.5</v>
      </c>
      <c r="K56" s="18">
        <f>K57</f>
        <v>0</v>
      </c>
      <c r="L56" s="18">
        <f t="shared" si="3"/>
        <v>126.5</v>
      </c>
      <c r="M56" s="18">
        <f>M57</f>
        <v>93.5</v>
      </c>
      <c r="N56" s="18">
        <f t="shared" si="4"/>
        <v>220</v>
      </c>
      <c r="O56" s="18">
        <f>O57</f>
        <v>0</v>
      </c>
      <c r="P56" s="18">
        <f t="shared" si="5"/>
        <v>220</v>
      </c>
      <c r="Q56" s="18">
        <f>Q57</f>
        <v>0</v>
      </c>
      <c r="R56" s="18">
        <f t="shared" si="6"/>
        <v>220</v>
      </c>
      <c r="S56" s="18">
        <f>S57</f>
        <v>0</v>
      </c>
      <c r="T56" s="18">
        <f t="shared" si="7"/>
        <v>220</v>
      </c>
      <c r="U56" s="18">
        <f>U57</f>
        <v>0</v>
      </c>
      <c r="V56" s="18">
        <f t="shared" si="8"/>
        <v>220</v>
      </c>
      <c r="W56" s="18">
        <f>W57</f>
        <v>0</v>
      </c>
      <c r="X56" s="18">
        <f t="shared" si="9"/>
        <v>220</v>
      </c>
    </row>
    <row r="57" spans="1:27" x14ac:dyDescent="0.25">
      <c r="A57" s="9" t="s">
        <v>511</v>
      </c>
      <c r="B57" s="25" t="s">
        <v>439</v>
      </c>
      <c r="C57" s="25" t="s">
        <v>66</v>
      </c>
      <c r="D57" s="19">
        <v>126.5</v>
      </c>
      <c r="E57" s="19"/>
      <c r="F57" s="18">
        <f t="shared" si="0"/>
        <v>126.5</v>
      </c>
      <c r="G57" s="19"/>
      <c r="H57" s="18">
        <f t="shared" si="1"/>
        <v>126.5</v>
      </c>
      <c r="I57" s="19"/>
      <c r="J57" s="18">
        <f t="shared" si="2"/>
        <v>126.5</v>
      </c>
      <c r="K57" s="19"/>
      <c r="L57" s="18">
        <f t="shared" si="3"/>
        <v>126.5</v>
      </c>
      <c r="M57" s="45">
        <v>93.5</v>
      </c>
      <c r="N57" s="18">
        <f t="shared" si="4"/>
        <v>220</v>
      </c>
      <c r="O57" s="64"/>
      <c r="P57" s="18">
        <f t="shared" si="5"/>
        <v>220</v>
      </c>
      <c r="Q57" s="64"/>
      <c r="R57" s="18">
        <f t="shared" si="6"/>
        <v>220</v>
      </c>
      <c r="S57" s="64"/>
      <c r="T57" s="18">
        <f t="shared" si="7"/>
        <v>220</v>
      </c>
      <c r="U57" s="64"/>
      <c r="V57" s="18">
        <f t="shared" si="8"/>
        <v>220</v>
      </c>
      <c r="W57" s="64"/>
      <c r="X57" s="18">
        <f t="shared" si="9"/>
        <v>220</v>
      </c>
      <c r="Z57" s="43">
        <f>X57+Y57</f>
        <v>220</v>
      </c>
      <c r="AA57" s="43"/>
    </row>
    <row r="58" spans="1:27" ht="48.75" x14ac:dyDescent="0.25">
      <c r="A58" s="13" t="s">
        <v>440</v>
      </c>
      <c r="B58" s="24" t="s">
        <v>441</v>
      </c>
      <c r="C58" s="24" t="s">
        <v>2</v>
      </c>
      <c r="D58" s="18">
        <f>D59</f>
        <v>4.0999999999999996</v>
      </c>
      <c r="E58" s="18">
        <f>E59</f>
        <v>0</v>
      </c>
      <c r="F58" s="18">
        <f t="shared" si="0"/>
        <v>4.0999999999999996</v>
      </c>
      <c r="G58" s="18">
        <f>G59</f>
        <v>0</v>
      </c>
      <c r="H58" s="18">
        <f t="shared" si="1"/>
        <v>4.0999999999999996</v>
      </c>
      <c r="I58" s="18">
        <f>I59</f>
        <v>0</v>
      </c>
      <c r="J58" s="18">
        <f t="shared" si="2"/>
        <v>4.0999999999999996</v>
      </c>
      <c r="K58" s="18">
        <f>K59+K60</f>
        <v>0</v>
      </c>
      <c r="L58" s="18">
        <f t="shared" si="3"/>
        <v>4.0999999999999996</v>
      </c>
      <c r="M58" s="18">
        <f>M59+M60</f>
        <v>0</v>
      </c>
      <c r="N58" s="18">
        <f t="shared" si="4"/>
        <v>4.0999999999999996</v>
      </c>
      <c r="O58" s="18">
        <f>O59+O60</f>
        <v>0</v>
      </c>
      <c r="P58" s="18">
        <f t="shared" si="5"/>
        <v>4.0999999999999996</v>
      </c>
      <c r="Q58" s="18">
        <f>Q59+Q60</f>
        <v>0</v>
      </c>
      <c r="R58" s="18">
        <f t="shared" si="6"/>
        <v>4.0999999999999996</v>
      </c>
      <c r="S58" s="18">
        <f>S59+S60</f>
        <v>0</v>
      </c>
      <c r="T58" s="18">
        <f t="shared" si="7"/>
        <v>4.0999999999999996</v>
      </c>
      <c r="U58" s="18">
        <f>U59+U60</f>
        <v>0</v>
      </c>
      <c r="V58" s="18">
        <f t="shared" si="8"/>
        <v>4.0999999999999996</v>
      </c>
      <c r="W58" s="18">
        <f>W59+W60</f>
        <v>0</v>
      </c>
      <c r="X58" s="18">
        <f t="shared" si="9"/>
        <v>4.0999999999999996</v>
      </c>
    </row>
    <row r="59" spans="1:27" x14ac:dyDescent="0.25">
      <c r="A59" s="9" t="s">
        <v>511</v>
      </c>
      <c r="B59" s="25" t="s">
        <v>441</v>
      </c>
      <c r="C59" s="25" t="s">
        <v>66</v>
      </c>
      <c r="D59" s="19">
        <v>4.0999999999999996</v>
      </c>
      <c r="E59" s="19"/>
      <c r="F59" s="18">
        <f t="shared" si="0"/>
        <v>4.0999999999999996</v>
      </c>
      <c r="G59" s="19"/>
      <c r="H59" s="18">
        <f t="shared" si="1"/>
        <v>4.0999999999999996</v>
      </c>
      <c r="I59" s="19"/>
      <c r="J59" s="18">
        <f t="shared" si="2"/>
        <v>4.0999999999999996</v>
      </c>
      <c r="K59" s="105">
        <v>-0.1</v>
      </c>
      <c r="L59" s="18">
        <f t="shared" si="3"/>
        <v>3.9999999999999996</v>
      </c>
      <c r="M59" s="109"/>
      <c r="N59" s="18">
        <f t="shared" si="4"/>
        <v>3.9999999999999996</v>
      </c>
      <c r="O59" s="109"/>
      <c r="P59" s="18">
        <f t="shared" si="5"/>
        <v>3.9999999999999996</v>
      </c>
      <c r="Q59" s="109"/>
      <c r="R59" s="18">
        <f t="shared" si="6"/>
        <v>3.9999999999999996</v>
      </c>
      <c r="S59" s="109"/>
      <c r="T59" s="18">
        <f t="shared" si="7"/>
        <v>3.9999999999999996</v>
      </c>
      <c r="U59" s="109"/>
      <c r="V59" s="18">
        <f t="shared" si="8"/>
        <v>3.9999999999999996</v>
      </c>
      <c r="W59" s="109"/>
      <c r="X59" s="18">
        <f t="shared" si="9"/>
        <v>3.9999999999999996</v>
      </c>
      <c r="Z59" s="43">
        <f t="shared" ref="Z59:Z60" si="19">X59+Y59</f>
        <v>3.9999999999999996</v>
      </c>
      <c r="AA59" s="43"/>
    </row>
    <row r="60" spans="1:27" x14ac:dyDescent="0.25">
      <c r="A60" s="9" t="s">
        <v>266</v>
      </c>
      <c r="B60" s="25" t="s">
        <v>441</v>
      </c>
      <c r="C60" s="25" t="s">
        <v>267</v>
      </c>
      <c r="D60" s="19"/>
      <c r="E60" s="19"/>
      <c r="F60" s="18"/>
      <c r="G60" s="19"/>
      <c r="H60" s="18"/>
      <c r="I60" s="19"/>
      <c r="J60" s="18"/>
      <c r="K60" s="104">
        <v>0.1</v>
      </c>
      <c r="L60" s="18">
        <f t="shared" si="3"/>
        <v>0.1</v>
      </c>
      <c r="M60" s="110"/>
      <c r="N60" s="18">
        <f t="shared" si="4"/>
        <v>0.1</v>
      </c>
      <c r="O60" s="110"/>
      <c r="P60" s="18">
        <f t="shared" si="5"/>
        <v>0.1</v>
      </c>
      <c r="Q60" s="110"/>
      <c r="R60" s="18">
        <f t="shared" si="6"/>
        <v>0.1</v>
      </c>
      <c r="S60" s="110"/>
      <c r="T60" s="18">
        <f t="shared" si="7"/>
        <v>0.1</v>
      </c>
      <c r="U60" s="110"/>
      <c r="V60" s="18">
        <f t="shared" si="8"/>
        <v>0.1</v>
      </c>
      <c r="W60" s="110"/>
      <c r="X60" s="18">
        <f t="shared" si="9"/>
        <v>0.1</v>
      </c>
      <c r="Z60" s="43">
        <f t="shared" si="19"/>
        <v>0.1</v>
      </c>
      <c r="AA60" s="43"/>
    </row>
    <row r="61" spans="1:27" ht="24.75" x14ac:dyDescent="0.25">
      <c r="A61" s="13" t="s">
        <v>326</v>
      </c>
      <c r="B61" s="24" t="s">
        <v>327</v>
      </c>
      <c r="C61" s="24" t="s">
        <v>2</v>
      </c>
      <c r="D61" s="18">
        <f>D62</f>
        <v>20</v>
      </c>
      <c r="E61" s="18">
        <f>E62</f>
        <v>0</v>
      </c>
      <c r="F61" s="18">
        <f t="shared" si="0"/>
        <v>20</v>
      </c>
      <c r="G61" s="18">
        <f>G62</f>
        <v>0</v>
      </c>
      <c r="H61" s="18">
        <f t="shared" si="1"/>
        <v>20</v>
      </c>
      <c r="I61" s="18">
        <f>I62</f>
        <v>0</v>
      </c>
      <c r="J61" s="18">
        <f t="shared" si="2"/>
        <v>20</v>
      </c>
      <c r="K61" s="18">
        <f>K62</f>
        <v>0</v>
      </c>
      <c r="L61" s="18">
        <f t="shared" si="3"/>
        <v>20</v>
      </c>
      <c r="M61" s="18">
        <f>M62</f>
        <v>0</v>
      </c>
      <c r="N61" s="18">
        <f t="shared" si="4"/>
        <v>20</v>
      </c>
      <c r="O61" s="18">
        <f>O62</f>
        <v>0</v>
      </c>
      <c r="P61" s="18">
        <f t="shared" si="5"/>
        <v>20</v>
      </c>
      <c r="Q61" s="18">
        <f>Q62</f>
        <v>0</v>
      </c>
      <c r="R61" s="18">
        <f t="shared" si="6"/>
        <v>20</v>
      </c>
      <c r="S61" s="18">
        <f>S62</f>
        <v>0</v>
      </c>
      <c r="T61" s="18">
        <f t="shared" si="7"/>
        <v>20</v>
      </c>
      <c r="U61" s="18">
        <f>U62</f>
        <v>-11</v>
      </c>
      <c r="V61" s="18">
        <f t="shared" si="8"/>
        <v>9</v>
      </c>
      <c r="W61" s="18">
        <f>W62</f>
        <v>0</v>
      </c>
      <c r="X61" s="18">
        <f t="shared" si="9"/>
        <v>9</v>
      </c>
    </row>
    <row r="62" spans="1:27" ht="24.75" x14ac:dyDescent="0.25">
      <c r="A62" s="13" t="s">
        <v>328</v>
      </c>
      <c r="B62" s="24" t="s">
        <v>329</v>
      </c>
      <c r="C62" s="24" t="s">
        <v>2</v>
      </c>
      <c r="D62" s="18">
        <f>D63</f>
        <v>20</v>
      </c>
      <c r="E62" s="18">
        <f>E63</f>
        <v>0</v>
      </c>
      <c r="F62" s="18">
        <f t="shared" si="0"/>
        <v>20</v>
      </c>
      <c r="G62" s="18">
        <f>G63</f>
        <v>0</v>
      </c>
      <c r="H62" s="18">
        <f t="shared" si="1"/>
        <v>20</v>
      </c>
      <c r="I62" s="18">
        <f>I63</f>
        <v>0</v>
      </c>
      <c r="J62" s="18">
        <f t="shared" si="2"/>
        <v>20</v>
      </c>
      <c r="K62" s="18">
        <f>K63</f>
        <v>0</v>
      </c>
      <c r="L62" s="18">
        <f t="shared" si="3"/>
        <v>20</v>
      </c>
      <c r="M62" s="18">
        <f>M63</f>
        <v>0</v>
      </c>
      <c r="N62" s="18">
        <f t="shared" si="4"/>
        <v>20</v>
      </c>
      <c r="O62" s="18">
        <f>O63</f>
        <v>0</v>
      </c>
      <c r="P62" s="18">
        <f t="shared" si="5"/>
        <v>20</v>
      </c>
      <c r="Q62" s="18">
        <f>Q63</f>
        <v>0</v>
      </c>
      <c r="R62" s="18">
        <f t="shared" si="6"/>
        <v>20</v>
      </c>
      <c r="S62" s="18">
        <f>S63</f>
        <v>0</v>
      </c>
      <c r="T62" s="18">
        <f t="shared" si="7"/>
        <v>20</v>
      </c>
      <c r="U62" s="18">
        <f>U63</f>
        <v>-11</v>
      </c>
      <c r="V62" s="18">
        <f t="shared" si="8"/>
        <v>9</v>
      </c>
      <c r="W62" s="18">
        <f>W63</f>
        <v>0</v>
      </c>
      <c r="X62" s="18">
        <f t="shared" si="9"/>
        <v>9</v>
      </c>
    </row>
    <row r="63" spans="1:27" x14ac:dyDescent="0.25">
      <c r="A63" s="7" t="s">
        <v>54</v>
      </c>
      <c r="B63" s="25" t="s">
        <v>329</v>
      </c>
      <c r="C63" s="25" t="s">
        <v>34</v>
      </c>
      <c r="D63" s="19">
        <v>20</v>
      </c>
      <c r="E63" s="19"/>
      <c r="F63" s="18">
        <f t="shared" si="0"/>
        <v>20</v>
      </c>
      <c r="G63" s="19"/>
      <c r="H63" s="18">
        <f t="shared" si="1"/>
        <v>20</v>
      </c>
      <c r="I63" s="19"/>
      <c r="J63" s="18">
        <f t="shared" si="2"/>
        <v>20</v>
      </c>
      <c r="K63" s="19"/>
      <c r="L63" s="18">
        <f t="shared" si="3"/>
        <v>20</v>
      </c>
      <c r="M63" s="19"/>
      <c r="N63" s="18">
        <f t="shared" si="4"/>
        <v>20</v>
      </c>
      <c r="O63" s="19"/>
      <c r="P63" s="18">
        <f t="shared" si="5"/>
        <v>20</v>
      </c>
      <c r="Q63" s="19"/>
      <c r="R63" s="18">
        <f t="shared" si="6"/>
        <v>20</v>
      </c>
      <c r="S63" s="64"/>
      <c r="T63" s="18">
        <f t="shared" si="7"/>
        <v>20</v>
      </c>
      <c r="U63" s="96">
        <v>-11</v>
      </c>
      <c r="V63" s="18">
        <f t="shared" si="8"/>
        <v>9</v>
      </c>
      <c r="W63" s="64"/>
      <c r="X63" s="18">
        <f t="shared" si="9"/>
        <v>9</v>
      </c>
      <c r="Z63" s="43">
        <f>X63+Y63</f>
        <v>9</v>
      </c>
      <c r="AA63" s="43"/>
    </row>
    <row r="64" spans="1:27" x14ac:dyDescent="0.25">
      <c r="A64" s="13" t="s">
        <v>278</v>
      </c>
      <c r="B64" s="24" t="s">
        <v>279</v>
      </c>
      <c r="C64" s="24" t="s">
        <v>2</v>
      </c>
      <c r="D64" s="18">
        <f>D65</f>
        <v>7500</v>
      </c>
      <c r="E64" s="18">
        <f>E65</f>
        <v>0</v>
      </c>
      <c r="F64" s="18">
        <f t="shared" si="0"/>
        <v>7500</v>
      </c>
      <c r="G64" s="18">
        <f>G65</f>
        <v>0</v>
      </c>
      <c r="H64" s="18">
        <f t="shared" si="1"/>
        <v>7500</v>
      </c>
      <c r="I64" s="18">
        <f>I65</f>
        <v>0</v>
      </c>
      <c r="J64" s="18">
        <f t="shared" si="2"/>
        <v>7500</v>
      </c>
      <c r="K64" s="18">
        <f>K65</f>
        <v>0</v>
      </c>
      <c r="L64" s="18">
        <f t="shared" si="3"/>
        <v>7500</v>
      </c>
      <c r="M64" s="18">
        <f>M65</f>
        <v>0</v>
      </c>
      <c r="N64" s="18">
        <f t="shared" si="4"/>
        <v>7500</v>
      </c>
      <c r="O64" s="18">
        <f>O65</f>
        <v>0</v>
      </c>
      <c r="P64" s="18">
        <f t="shared" si="5"/>
        <v>7500</v>
      </c>
      <c r="Q64" s="18">
        <f>Q65</f>
        <v>0</v>
      </c>
      <c r="R64" s="18">
        <f t="shared" si="6"/>
        <v>7500</v>
      </c>
      <c r="S64" s="18">
        <f>S65</f>
        <v>0</v>
      </c>
      <c r="T64" s="18">
        <f t="shared" si="7"/>
        <v>7500</v>
      </c>
      <c r="U64" s="18">
        <f>U65</f>
        <v>0</v>
      </c>
      <c r="V64" s="18">
        <f t="shared" si="8"/>
        <v>7500</v>
      </c>
      <c r="W64" s="18">
        <f>W65</f>
        <v>-668.40000000000009</v>
      </c>
      <c r="X64" s="18">
        <f t="shared" si="9"/>
        <v>6831.6</v>
      </c>
    </row>
    <row r="65" spans="1:27" ht="24.75" x14ac:dyDescent="0.25">
      <c r="A65" s="13" t="s">
        <v>280</v>
      </c>
      <c r="B65" s="24" t="s">
        <v>281</v>
      </c>
      <c r="C65" s="24" t="s">
        <v>2</v>
      </c>
      <c r="D65" s="18">
        <f>D66+D67</f>
        <v>7500</v>
      </c>
      <c r="E65" s="18">
        <f>E66+E67</f>
        <v>0</v>
      </c>
      <c r="F65" s="18">
        <f t="shared" si="0"/>
        <v>7500</v>
      </c>
      <c r="G65" s="18">
        <f>G66+G67</f>
        <v>0</v>
      </c>
      <c r="H65" s="18">
        <f t="shared" si="1"/>
        <v>7500</v>
      </c>
      <c r="I65" s="18">
        <f>I66+I67</f>
        <v>0</v>
      </c>
      <c r="J65" s="18">
        <f t="shared" si="2"/>
        <v>7500</v>
      </c>
      <c r="K65" s="18">
        <f>K66+K67</f>
        <v>0</v>
      </c>
      <c r="L65" s="18">
        <f t="shared" si="3"/>
        <v>7500</v>
      </c>
      <c r="M65" s="18">
        <f>M66+M67</f>
        <v>0</v>
      </c>
      <c r="N65" s="18">
        <f t="shared" si="4"/>
        <v>7500</v>
      </c>
      <c r="O65" s="18">
        <f>O66+O67</f>
        <v>0</v>
      </c>
      <c r="P65" s="18">
        <f t="shared" si="5"/>
        <v>7500</v>
      </c>
      <c r="Q65" s="18">
        <f>Q66+Q67</f>
        <v>0</v>
      </c>
      <c r="R65" s="18">
        <f t="shared" si="6"/>
        <v>7500</v>
      </c>
      <c r="S65" s="18">
        <f>S66+S67</f>
        <v>0</v>
      </c>
      <c r="T65" s="18">
        <f t="shared" si="7"/>
        <v>7500</v>
      </c>
      <c r="U65" s="18">
        <f>U66+U67</f>
        <v>0</v>
      </c>
      <c r="V65" s="18">
        <f t="shared" si="8"/>
        <v>7500</v>
      </c>
      <c r="W65" s="18">
        <f>W66+W67</f>
        <v>-668.40000000000009</v>
      </c>
      <c r="X65" s="18">
        <f t="shared" si="9"/>
        <v>6831.6</v>
      </c>
    </row>
    <row r="66" spans="1:27" x14ac:dyDescent="0.25">
      <c r="A66" s="9" t="s">
        <v>511</v>
      </c>
      <c r="B66" s="25" t="s">
        <v>281</v>
      </c>
      <c r="C66" s="25" t="s">
        <v>66</v>
      </c>
      <c r="D66" s="19">
        <v>6000</v>
      </c>
      <c r="E66" s="19"/>
      <c r="F66" s="18">
        <f t="shared" si="0"/>
        <v>6000</v>
      </c>
      <c r="G66" s="19"/>
      <c r="H66" s="18">
        <f t="shared" si="1"/>
        <v>6000</v>
      </c>
      <c r="I66" s="19"/>
      <c r="J66" s="18">
        <f t="shared" si="2"/>
        <v>6000</v>
      </c>
      <c r="K66" s="19"/>
      <c r="L66" s="18">
        <f t="shared" si="3"/>
        <v>6000</v>
      </c>
      <c r="M66" s="62">
        <v>-1308.9000000000001</v>
      </c>
      <c r="N66" s="18">
        <f t="shared" si="4"/>
        <v>4691.1000000000004</v>
      </c>
      <c r="O66" s="64"/>
      <c r="P66" s="18">
        <f t="shared" si="5"/>
        <v>4691.1000000000004</v>
      </c>
      <c r="Q66" s="64"/>
      <c r="R66" s="18">
        <f t="shared" si="6"/>
        <v>4691.1000000000004</v>
      </c>
      <c r="S66" s="64"/>
      <c r="T66" s="18">
        <f t="shared" si="7"/>
        <v>4691.1000000000004</v>
      </c>
      <c r="U66" s="64"/>
      <c r="V66" s="18">
        <f t="shared" si="8"/>
        <v>4691.1000000000004</v>
      </c>
      <c r="W66" s="44">
        <v>-621.70000000000005</v>
      </c>
      <c r="X66" s="18">
        <f t="shared" si="9"/>
        <v>4069.4000000000005</v>
      </c>
      <c r="Y66" s="43">
        <v>-621.70000000000005</v>
      </c>
      <c r="Z66" s="43">
        <f t="shared" ref="Z66:Z67" si="20">X66+Y66</f>
        <v>3447.7000000000007</v>
      </c>
      <c r="AA66" s="43"/>
    </row>
    <row r="67" spans="1:27" x14ac:dyDescent="0.25">
      <c r="A67" s="9" t="s">
        <v>266</v>
      </c>
      <c r="B67" s="25" t="s">
        <v>281</v>
      </c>
      <c r="C67" s="25" t="s">
        <v>267</v>
      </c>
      <c r="D67" s="19">
        <v>1500</v>
      </c>
      <c r="E67" s="19"/>
      <c r="F67" s="18">
        <f t="shared" si="0"/>
        <v>1500</v>
      </c>
      <c r="G67" s="19"/>
      <c r="H67" s="18">
        <f t="shared" si="1"/>
        <v>1500</v>
      </c>
      <c r="I67" s="19"/>
      <c r="J67" s="18">
        <f t="shared" si="2"/>
        <v>1500</v>
      </c>
      <c r="K67" s="19"/>
      <c r="L67" s="18">
        <f t="shared" si="3"/>
        <v>1500</v>
      </c>
      <c r="M67" s="62">
        <v>1308.9000000000001</v>
      </c>
      <c r="N67" s="18">
        <f t="shared" si="4"/>
        <v>2808.9</v>
      </c>
      <c r="O67" s="64"/>
      <c r="P67" s="18">
        <f t="shared" si="5"/>
        <v>2808.9</v>
      </c>
      <c r="Q67" s="64"/>
      <c r="R67" s="18">
        <f t="shared" si="6"/>
        <v>2808.9</v>
      </c>
      <c r="S67" s="64"/>
      <c r="T67" s="18">
        <f t="shared" si="7"/>
        <v>2808.9</v>
      </c>
      <c r="U67" s="64"/>
      <c r="V67" s="18">
        <f t="shared" si="8"/>
        <v>2808.9</v>
      </c>
      <c r="W67" s="44">
        <v>-46.7</v>
      </c>
      <c r="X67" s="18">
        <f t="shared" si="9"/>
        <v>2762.2000000000003</v>
      </c>
      <c r="Y67" s="43">
        <v>-46.7</v>
      </c>
      <c r="Z67" s="43">
        <f t="shared" si="20"/>
        <v>2715.5000000000005</v>
      </c>
      <c r="AA67" s="43"/>
    </row>
    <row r="68" spans="1:27" ht="60" x14ac:dyDescent="0.25">
      <c r="A68" s="89" t="s">
        <v>680</v>
      </c>
      <c r="B68" s="66" t="s">
        <v>681</v>
      </c>
      <c r="C68" s="29"/>
      <c r="D68" s="19"/>
      <c r="E68" s="19"/>
      <c r="F68" s="18"/>
      <c r="G68" s="19"/>
      <c r="H68" s="18"/>
      <c r="I68" s="20">
        <f>I69+I70</f>
        <v>2118.4</v>
      </c>
      <c r="J68" s="18">
        <f t="shared" si="2"/>
        <v>2118.4</v>
      </c>
      <c r="K68" s="20">
        <f>K69+K70</f>
        <v>0</v>
      </c>
      <c r="L68" s="18">
        <f t="shared" si="3"/>
        <v>2118.4</v>
      </c>
      <c r="M68" s="20">
        <f>M69+M70</f>
        <v>0</v>
      </c>
      <c r="N68" s="18">
        <f t="shared" si="4"/>
        <v>2118.4</v>
      </c>
      <c r="O68" s="20">
        <f>O69+O70</f>
        <v>1617.3</v>
      </c>
      <c r="P68" s="18">
        <f t="shared" si="5"/>
        <v>3735.7</v>
      </c>
      <c r="Q68" s="20">
        <f>Q69+Q70</f>
        <v>0</v>
      </c>
      <c r="R68" s="18">
        <f t="shared" si="6"/>
        <v>3735.7</v>
      </c>
      <c r="S68" s="20">
        <f>S69+S70</f>
        <v>0</v>
      </c>
      <c r="T68" s="18">
        <f t="shared" si="7"/>
        <v>3735.7</v>
      </c>
      <c r="U68" s="20">
        <f>U69+U70</f>
        <v>0</v>
      </c>
      <c r="V68" s="18">
        <f t="shared" si="8"/>
        <v>3735.7</v>
      </c>
      <c r="W68" s="20">
        <f>W69+W70</f>
        <v>1280.0999999999999</v>
      </c>
      <c r="X68" s="18">
        <f t="shared" si="9"/>
        <v>5015.7999999999993</v>
      </c>
    </row>
    <row r="69" spans="1:27" x14ac:dyDescent="0.25">
      <c r="A69" s="57" t="s">
        <v>511</v>
      </c>
      <c r="B69" s="60" t="s">
        <v>681</v>
      </c>
      <c r="C69" s="60" t="s">
        <v>66</v>
      </c>
      <c r="D69" s="19"/>
      <c r="E69" s="19"/>
      <c r="F69" s="18"/>
      <c r="G69" s="19"/>
      <c r="H69" s="18"/>
      <c r="I69" s="45">
        <v>1941.8</v>
      </c>
      <c r="J69" s="18">
        <f t="shared" si="2"/>
        <v>1941.8</v>
      </c>
      <c r="K69" s="64"/>
      <c r="L69" s="18">
        <f t="shared" si="3"/>
        <v>1941.8</v>
      </c>
      <c r="M69" s="64"/>
      <c r="N69" s="18">
        <f t="shared" si="4"/>
        <v>1941.8</v>
      </c>
      <c r="O69" s="122">
        <v>1482.6</v>
      </c>
      <c r="P69" s="18">
        <f t="shared" si="5"/>
        <v>3424.3999999999996</v>
      </c>
      <c r="Q69" s="64"/>
      <c r="R69" s="18">
        <f t="shared" si="6"/>
        <v>3424.3999999999996</v>
      </c>
      <c r="S69" s="64"/>
      <c r="T69" s="18">
        <f t="shared" si="7"/>
        <v>3424.3999999999996</v>
      </c>
      <c r="U69" s="64"/>
      <c r="V69" s="18">
        <f t="shared" si="8"/>
        <v>3424.3999999999996</v>
      </c>
      <c r="W69" s="45">
        <v>1012.6</v>
      </c>
      <c r="X69" s="18">
        <f t="shared" si="9"/>
        <v>4437</v>
      </c>
      <c r="Z69" s="43">
        <f t="shared" ref="Z69:Z70" si="21">X69+Y69</f>
        <v>4437</v>
      </c>
      <c r="AA69" s="43"/>
    </row>
    <row r="70" spans="1:27" x14ac:dyDescent="0.25">
      <c r="A70" s="8" t="s">
        <v>266</v>
      </c>
      <c r="B70" s="60" t="s">
        <v>681</v>
      </c>
      <c r="C70" s="27" t="s">
        <v>267</v>
      </c>
      <c r="D70" s="19"/>
      <c r="E70" s="19"/>
      <c r="F70" s="18"/>
      <c r="G70" s="19"/>
      <c r="H70" s="18"/>
      <c r="I70" s="45">
        <v>176.6</v>
      </c>
      <c r="J70" s="18">
        <f t="shared" si="2"/>
        <v>176.6</v>
      </c>
      <c r="K70" s="64"/>
      <c r="L70" s="18">
        <f t="shared" si="3"/>
        <v>176.6</v>
      </c>
      <c r="M70" s="64"/>
      <c r="N70" s="18">
        <f t="shared" si="4"/>
        <v>176.6</v>
      </c>
      <c r="O70" s="122">
        <v>134.69999999999999</v>
      </c>
      <c r="P70" s="18">
        <f t="shared" si="5"/>
        <v>311.29999999999995</v>
      </c>
      <c r="Q70" s="64"/>
      <c r="R70" s="18">
        <f t="shared" si="6"/>
        <v>311.29999999999995</v>
      </c>
      <c r="S70" s="64"/>
      <c r="T70" s="18">
        <f t="shared" si="7"/>
        <v>311.29999999999995</v>
      </c>
      <c r="U70" s="64"/>
      <c r="V70" s="18">
        <f t="shared" si="8"/>
        <v>311.29999999999995</v>
      </c>
      <c r="W70" s="45">
        <v>267.5</v>
      </c>
      <c r="X70" s="18">
        <f t="shared" si="9"/>
        <v>578.79999999999995</v>
      </c>
      <c r="Z70" s="43">
        <f t="shared" si="21"/>
        <v>578.79999999999995</v>
      </c>
      <c r="AA70" s="43"/>
    </row>
    <row r="71" spans="1:27" ht="24.75" x14ac:dyDescent="0.25">
      <c r="A71" s="13" t="s">
        <v>301</v>
      </c>
      <c r="B71" s="24" t="s">
        <v>302</v>
      </c>
      <c r="C71" s="24" t="s">
        <v>2</v>
      </c>
      <c r="D71" s="18">
        <f>D72+D85</f>
        <v>87273.799999999988</v>
      </c>
      <c r="E71" s="18">
        <f>E72+E85</f>
        <v>0</v>
      </c>
      <c r="F71" s="18">
        <f t="shared" si="0"/>
        <v>87273.799999999988</v>
      </c>
      <c r="G71" s="18">
        <f>G72+G85</f>
        <v>0</v>
      </c>
      <c r="H71" s="18">
        <f t="shared" si="1"/>
        <v>87273.799999999988</v>
      </c>
      <c r="I71" s="18">
        <f>I72+I85</f>
        <v>0</v>
      </c>
      <c r="J71" s="18">
        <f t="shared" si="2"/>
        <v>87273.799999999988</v>
      </c>
      <c r="K71" s="18">
        <f>K72+K85</f>
        <v>0</v>
      </c>
      <c r="L71" s="18">
        <f t="shared" si="3"/>
        <v>87273.799999999988</v>
      </c>
      <c r="M71" s="18">
        <f>M72+M85</f>
        <v>1043.2</v>
      </c>
      <c r="N71" s="18">
        <f t="shared" si="4"/>
        <v>88316.999999999985</v>
      </c>
      <c r="O71" s="18">
        <f>O72+O85</f>
        <v>722.1</v>
      </c>
      <c r="P71" s="18">
        <f t="shared" si="5"/>
        <v>89039.099999999991</v>
      </c>
      <c r="Q71" s="18">
        <f>Q72+Q85</f>
        <v>68.900000000000006</v>
      </c>
      <c r="R71" s="18">
        <f t="shared" si="6"/>
        <v>89107.999999999985</v>
      </c>
      <c r="S71" s="18">
        <f>S72+S85</f>
        <v>-1194.8</v>
      </c>
      <c r="T71" s="18">
        <f t="shared" si="7"/>
        <v>87913.199999999983</v>
      </c>
      <c r="U71" s="18">
        <f>U72+U85</f>
        <v>1852</v>
      </c>
      <c r="V71" s="18">
        <f t="shared" si="8"/>
        <v>89765.199999999983</v>
      </c>
      <c r="W71" s="18">
        <f>W72+W85</f>
        <v>-1113.3000000000002</v>
      </c>
      <c r="X71" s="18">
        <f t="shared" si="9"/>
        <v>88651.89999999998</v>
      </c>
    </row>
    <row r="72" spans="1:27" x14ac:dyDescent="0.25">
      <c r="A72" s="13" t="s">
        <v>303</v>
      </c>
      <c r="B72" s="24" t="s">
        <v>304</v>
      </c>
      <c r="C72" s="24" t="s">
        <v>2</v>
      </c>
      <c r="D72" s="18">
        <f>D75+D77+D80+D82</f>
        <v>77736.899999999994</v>
      </c>
      <c r="E72" s="18">
        <f>E75+E77+E80+E82</f>
        <v>0</v>
      </c>
      <c r="F72" s="18">
        <f t="shared" si="0"/>
        <v>77736.899999999994</v>
      </c>
      <c r="G72" s="18">
        <f>G75+G77+G80+G82</f>
        <v>0</v>
      </c>
      <c r="H72" s="18">
        <f t="shared" si="1"/>
        <v>77736.899999999994</v>
      </c>
      <c r="I72" s="18">
        <f>I75+I77+I80+I82</f>
        <v>0</v>
      </c>
      <c r="J72" s="18">
        <f t="shared" si="2"/>
        <v>77736.899999999994</v>
      </c>
      <c r="K72" s="18">
        <f>K75+K77+K80+K82</f>
        <v>0</v>
      </c>
      <c r="L72" s="18">
        <f t="shared" si="3"/>
        <v>77736.899999999994</v>
      </c>
      <c r="M72" s="18">
        <f>M75+M77+M80+M82</f>
        <v>0</v>
      </c>
      <c r="N72" s="18">
        <f t="shared" si="4"/>
        <v>77736.899999999994</v>
      </c>
      <c r="O72" s="18">
        <f>O75+O77+O80+O82</f>
        <v>372</v>
      </c>
      <c r="P72" s="18">
        <f t="shared" si="5"/>
        <v>78108.899999999994</v>
      </c>
      <c r="Q72" s="18">
        <f>Q75+Q77+Q80+Q82+Q73</f>
        <v>68.900000000000006</v>
      </c>
      <c r="R72" s="18">
        <f t="shared" si="6"/>
        <v>78177.799999999988</v>
      </c>
      <c r="S72" s="18">
        <f>S75+S77+S80+S82+S73</f>
        <v>6.5</v>
      </c>
      <c r="T72" s="18">
        <f t="shared" si="7"/>
        <v>78184.299999999988</v>
      </c>
      <c r="U72" s="18">
        <f>U75+U77+U80+U82+U73</f>
        <v>1953.5</v>
      </c>
      <c r="V72" s="18">
        <f t="shared" si="8"/>
        <v>80137.799999999988</v>
      </c>
      <c r="W72" s="18">
        <f>W75+W77+W80+W82+W73</f>
        <v>-1113.3000000000002</v>
      </c>
      <c r="X72" s="18">
        <f t="shared" si="9"/>
        <v>79024.499999999985</v>
      </c>
    </row>
    <row r="73" spans="1:27" x14ac:dyDescent="0.25">
      <c r="A73" s="33" t="s">
        <v>662</v>
      </c>
      <c r="B73" s="26" t="s">
        <v>1136</v>
      </c>
      <c r="C73" s="25"/>
      <c r="D73" s="18"/>
      <c r="E73" s="18"/>
      <c r="F73" s="18"/>
      <c r="G73" s="18"/>
      <c r="H73" s="18"/>
      <c r="I73" s="18"/>
      <c r="J73" s="18"/>
      <c r="K73" s="18"/>
      <c r="L73" s="18"/>
      <c r="M73" s="18"/>
      <c r="N73" s="18"/>
      <c r="O73" s="18"/>
      <c r="P73" s="18"/>
      <c r="Q73" s="20">
        <f>Q74</f>
        <v>39.1</v>
      </c>
      <c r="R73" s="18">
        <f t="shared" si="6"/>
        <v>39.1</v>
      </c>
      <c r="S73" s="20">
        <f>S74</f>
        <v>0</v>
      </c>
      <c r="T73" s="18">
        <f t="shared" si="7"/>
        <v>39.1</v>
      </c>
      <c r="U73" s="20">
        <f>U74</f>
        <v>0</v>
      </c>
      <c r="V73" s="18">
        <f t="shared" si="8"/>
        <v>39.1</v>
      </c>
      <c r="W73" s="20">
        <f>W74</f>
        <v>0</v>
      </c>
      <c r="X73" s="18">
        <f t="shared" si="9"/>
        <v>39.1</v>
      </c>
    </row>
    <row r="74" spans="1:27" x14ac:dyDescent="0.25">
      <c r="A74" s="9" t="s">
        <v>511</v>
      </c>
      <c r="B74" s="27" t="s">
        <v>1136</v>
      </c>
      <c r="C74" s="25" t="s">
        <v>66</v>
      </c>
      <c r="D74" s="18"/>
      <c r="E74" s="18"/>
      <c r="F74" s="18"/>
      <c r="G74" s="18"/>
      <c r="H74" s="18"/>
      <c r="I74" s="18"/>
      <c r="J74" s="18"/>
      <c r="K74" s="18"/>
      <c r="L74" s="18"/>
      <c r="M74" s="18"/>
      <c r="N74" s="18"/>
      <c r="O74" s="18"/>
      <c r="P74" s="18"/>
      <c r="Q74" s="45">
        <v>39.1</v>
      </c>
      <c r="R74" s="18">
        <f t="shared" si="6"/>
        <v>39.1</v>
      </c>
      <c r="S74" s="64"/>
      <c r="T74" s="18">
        <f t="shared" si="7"/>
        <v>39.1</v>
      </c>
      <c r="U74" s="64"/>
      <c r="V74" s="18">
        <f t="shared" si="8"/>
        <v>39.1</v>
      </c>
      <c r="W74" s="64"/>
      <c r="X74" s="18">
        <f t="shared" si="9"/>
        <v>39.1</v>
      </c>
      <c r="Z74" s="43">
        <f>X74+Y74</f>
        <v>39.1</v>
      </c>
      <c r="AA74" s="43"/>
    </row>
    <row r="75" spans="1:27" ht="24.75" x14ac:dyDescent="0.25">
      <c r="A75" s="13" t="s">
        <v>258</v>
      </c>
      <c r="B75" s="24" t="s">
        <v>305</v>
      </c>
      <c r="C75" s="24" t="s">
        <v>2</v>
      </c>
      <c r="D75" s="18">
        <f>D76</f>
        <v>348</v>
      </c>
      <c r="E75" s="18">
        <f>E76</f>
        <v>0</v>
      </c>
      <c r="F75" s="18">
        <f t="shared" si="0"/>
        <v>348</v>
      </c>
      <c r="G75" s="18">
        <f>G76</f>
        <v>0</v>
      </c>
      <c r="H75" s="18">
        <f t="shared" si="1"/>
        <v>348</v>
      </c>
      <c r="I75" s="18">
        <f>I76</f>
        <v>0</v>
      </c>
      <c r="J75" s="18">
        <f t="shared" si="2"/>
        <v>348</v>
      </c>
      <c r="K75" s="18">
        <f>K76</f>
        <v>0</v>
      </c>
      <c r="L75" s="18">
        <f t="shared" si="3"/>
        <v>348</v>
      </c>
      <c r="M75" s="18">
        <f>M76</f>
        <v>0</v>
      </c>
      <c r="N75" s="18">
        <f t="shared" si="4"/>
        <v>348</v>
      </c>
      <c r="O75" s="18">
        <f>O76</f>
        <v>0</v>
      </c>
      <c r="P75" s="18">
        <f t="shared" si="5"/>
        <v>348</v>
      </c>
      <c r="Q75" s="18">
        <f>Q76</f>
        <v>0</v>
      </c>
      <c r="R75" s="18">
        <f t="shared" si="6"/>
        <v>348</v>
      </c>
      <c r="S75" s="18">
        <f>S76</f>
        <v>0</v>
      </c>
      <c r="T75" s="18">
        <f t="shared" si="7"/>
        <v>348</v>
      </c>
      <c r="U75" s="18">
        <f>U76</f>
        <v>0</v>
      </c>
      <c r="V75" s="18">
        <f t="shared" si="8"/>
        <v>348</v>
      </c>
      <c r="W75" s="18">
        <f>W76</f>
        <v>60</v>
      </c>
      <c r="X75" s="18">
        <f t="shared" si="9"/>
        <v>408</v>
      </c>
    </row>
    <row r="76" spans="1:27" ht="24.75" x14ac:dyDescent="0.25">
      <c r="A76" s="9" t="s">
        <v>505</v>
      </c>
      <c r="B76" s="25" t="s">
        <v>305</v>
      </c>
      <c r="C76" s="25" t="s">
        <v>260</v>
      </c>
      <c r="D76" s="19">
        <v>348</v>
      </c>
      <c r="E76" s="19"/>
      <c r="F76" s="18">
        <f t="shared" si="0"/>
        <v>348</v>
      </c>
      <c r="G76" s="19"/>
      <c r="H76" s="18">
        <f t="shared" si="1"/>
        <v>348</v>
      </c>
      <c r="I76" s="19"/>
      <c r="J76" s="18">
        <f t="shared" si="2"/>
        <v>348</v>
      </c>
      <c r="K76" s="19"/>
      <c r="L76" s="18">
        <f t="shared" si="3"/>
        <v>348</v>
      </c>
      <c r="M76" s="19"/>
      <c r="N76" s="18">
        <f t="shared" si="4"/>
        <v>348</v>
      </c>
      <c r="O76" s="19"/>
      <c r="P76" s="18">
        <f t="shared" si="5"/>
        <v>348</v>
      </c>
      <c r="Q76" s="19"/>
      <c r="R76" s="18">
        <f t="shared" si="6"/>
        <v>348</v>
      </c>
      <c r="S76" s="64"/>
      <c r="T76" s="18">
        <f t="shared" si="7"/>
        <v>348</v>
      </c>
      <c r="U76" s="64"/>
      <c r="V76" s="18">
        <f t="shared" si="8"/>
        <v>348</v>
      </c>
      <c r="W76" s="44">
        <v>60</v>
      </c>
      <c r="X76" s="18">
        <f t="shared" si="9"/>
        <v>408</v>
      </c>
      <c r="Z76" s="43">
        <f>X76+Y76</f>
        <v>408</v>
      </c>
      <c r="AA76" s="43"/>
    </row>
    <row r="77" spans="1:27" ht="24.75" x14ac:dyDescent="0.25">
      <c r="A77" s="13" t="s">
        <v>330</v>
      </c>
      <c r="B77" s="24" t="s">
        <v>331</v>
      </c>
      <c r="C77" s="24" t="s">
        <v>2</v>
      </c>
      <c r="D77" s="18">
        <f>D79</f>
        <v>700</v>
      </c>
      <c r="E77" s="18">
        <f>E79</f>
        <v>0</v>
      </c>
      <c r="F77" s="18">
        <f t="shared" si="0"/>
        <v>700</v>
      </c>
      <c r="G77" s="18">
        <f>G79</f>
        <v>0</v>
      </c>
      <c r="H77" s="18">
        <f t="shared" si="1"/>
        <v>700</v>
      </c>
      <c r="I77" s="18">
        <f>I79</f>
        <v>0</v>
      </c>
      <c r="J77" s="18">
        <f t="shared" si="2"/>
        <v>700</v>
      </c>
      <c r="K77" s="18">
        <f>K79</f>
        <v>0</v>
      </c>
      <c r="L77" s="18">
        <f t="shared" si="3"/>
        <v>700</v>
      </c>
      <c r="M77" s="18">
        <f>M79</f>
        <v>0</v>
      </c>
      <c r="N77" s="18">
        <f t="shared" si="4"/>
        <v>700</v>
      </c>
      <c r="O77" s="18">
        <f>O79</f>
        <v>0</v>
      </c>
      <c r="P77" s="18">
        <f t="shared" si="5"/>
        <v>700</v>
      </c>
      <c r="Q77" s="18">
        <f>Q79+Q78</f>
        <v>29.799999999999997</v>
      </c>
      <c r="R77" s="18">
        <f t="shared" si="6"/>
        <v>729.8</v>
      </c>
      <c r="S77" s="18">
        <f>S79+S78</f>
        <v>0</v>
      </c>
      <c r="T77" s="18">
        <f t="shared" si="7"/>
        <v>729.8</v>
      </c>
      <c r="U77" s="18">
        <f>U79+U78</f>
        <v>14.5</v>
      </c>
      <c r="V77" s="18">
        <f t="shared" si="8"/>
        <v>744.3</v>
      </c>
      <c r="W77" s="18">
        <f>W79+W78</f>
        <v>0</v>
      </c>
      <c r="X77" s="18">
        <f t="shared" si="9"/>
        <v>744.3</v>
      </c>
    </row>
    <row r="78" spans="1:27" x14ac:dyDescent="0.25">
      <c r="A78" s="7" t="s">
        <v>54</v>
      </c>
      <c r="B78" s="25" t="s">
        <v>331</v>
      </c>
      <c r="C78" s="25" t="s">
        <v>34</v>
      </c>
      <c r="D78" s="18"/>
      <c r="E78" s="18"/>
      <c r="F78" s="18"/>
      <c r="G78" s="18"/>
      <c r="H78" s="18"/>
      <c r="I78" s="18"/>
      <c r="J78" s="18"/>
      <c r="K78" s="18"/>
      <c r="L78" s="18"/>
      <c r="M78" s="18"/>
      <c r="N78" s="18"/>
      <c r="O78" s="18"/>
      <c r="P78" s="18"/>
      <c r="Q78" s="44">
        <v>39.799999999999997</v>
      </c>
      <c r="R78" s="18">
        <f t="shared" si="6"/>
        <v>39.799999999999997</v>
      </c>
      <c r="S78" s="64"/>
      <c r="T78" s="18">
        <f t="shared" si="7"/>
        <v>39.799999999999997</v>
      </c>
      <c r="U78" s="64"/>
      <c r="V78" s="18">
        <f t="shared" si="8"/>
        <v>39.799999999999997</v>
      </c>
      <c r="W78" s="64"/>
      <c r="X78" s="18">
        <f t="shared" si="9"/>
        <v>39.799999999999997</v>
      </c>
      <c r="Z78" s="43">
        <f t="shared" ref="Z78:Z79" si="22">X78+Y78</f>
        <v>39.799999999999997</v>
      </c>
      <c r="AA78" s="43"/>
    </row>
    <row r="79" spans="1:27" x14ac:dyDescent="0.25">
      <c r="A79" s="9" t="s">
        <v>511</v>
      </c>
      <c r="B79" s="25" t="s">
        <v>331</v>
      </c>
      <c r="C79" s="25" t="s">
        <v>66</v>
      </c>
      <c r="D79" s="19">
        <v>700</v>
      </c>
      <c r="E79" s="19"/>
      <c r="F79" s="18">
        <f t="shared" si="0"/>
        <v>700</v>
      </c>
      <c r="G79" s="19"/>
      <c r="H79" s="18">
        <f t="shared" si="1"/>
        <v>700</v>
      </c>
      <c r="I79" s="19"/>
      <c r="J79" s="18">
        <f t="shared" si="2"/>
        <v>700</v>
      </c>
      <c r="K79" s="19"/>
      <c r="L79" s="18">
        <f t="shared" si="3"/>
        <v>700</v>
      </c>
      <c r="M79" s="19"/>
      <c r="N79" s="18">
        <f t="shared" si="4"/>
        <v>700</v>
      </c>
      <c r="O79" s="19"/>
      <c r="P79" s="18">
        <f t="shared" si="5"/>
        <v>700</v>
      </c>
      <c r="Q79" s="44">
        <v>-10</v>
      </c>
      <c r="R79" s="18">
        <f t="shared" si="6"/>
        <v>690</v>
      </c>
      <c r="S79" s="64"/>
      <c r="T79" s="18">
        <f t="shared" si="7"/>
        <v>690</v>
      </c>
      <c r="U79" s="96">
        <v>14.5</v>
      </c>
      <c r="V79" s="18">
        <f t="shared" si="8"/>
        <v>704.5</v>
      </c>
      <c r="W79" s="64"/>
      <c r="X79" s="18">
        <f t="shared" si="9"/>
        <v>704.5</v>
      </c>
      <c r="Z79" s="43">
        <f t="shared" si="22"/>
        <v>704.5</v>
      </c>
      <c r="AA79" s="43"/>
    </row>
    <row r="80" spans="1:27" ht="24.75" x14ac:dyDescent="0.25">
      <c r="A80" s="13" t="s">
        <v>307</v>
      </c>
      <c r="B80" s="24" t="s">
        <v>308</v>
      </c>
      <c r="C80" s="24" t="s">
        <v>2</v>
      </c>
      <c r="D80" s="18">
        <f>D81</f>
        <v>12350</v>
      </c>
      <c r="E80" s="18">
        <f>E81</f>
        <v>0</v>
      </c>
      <c r="F80" s="18">
        <f t="shared" si="0"/>
        <v>12350</v>
      </c>
      <c r="G80" s="18">
        <f>G81</f>
        <v>0</v>
      </c>
      <c r="H80" s="18">
        <f t="shared" si="1"/>
        <v>12350</v>
      </c>
      <c r="I80" s="18">
        <f>I81</f>
        <v>0</v>
      </c>
      <c r="J80" s="18">
        <f t="shared" si="2"/>
        <v>12350</v>
      </c>
      <c r="K80" s="18">
        <f>K81</f>
        <v>0</v>
      </c>
      <c r="L80" s="18">
        <f t="shared" si="3"/>
        <v>12350</v>
      </c>
      <c r="M80" s="18">
        <f>M81</f>
        <v>0</v>
      </c>
      <c r="N80" s="18">
        <f t="shared" si="4"/>
        <v>12350</v>
      </c>
      <c r="O80" s="18">
        <f>O81</f>
        <v>0</v>
      </c>
      <c r="P80" s="18">
        <f t="shared" si="5"/>
        <v>12350</v>
      </c>
      <c r="Q80" s="18">
        <f>Q81</f>
        <v>0</v>
      </c>
      <c r="R80" s="18">
        <f t="shared" si="6"/>
        <v>12350</v>
      </c>
      <c r="S80" s="18">
        <f>S81</f>
        <v>0</v>
      </c>
      <c r="T80" s="18">
        <f t="shared" si="7"/>
        <v>12350</v>
      </c>
      <c r="U80" s="18">
        <f>U81</f>
        <v>0</v>
      </c>
      <c r="V80" s="18">
        <f t="shared" si="8"/>
        <v>12350</v>
      </c>
      <c r="W80" s="18">
        <f>W81</f>
        <v>-2063.9</v>
      </c>
      <c r="X80" s="18">
        <f t="shared" si="9"/>
        <v>10286.1</v>
      </c>
    </row>
    <row r="81" spans="1:27" x14ac:dyDescent="0.25">
      <c r="A81" s="9" t="s">
        <v>266</v>
      </c>
      <c r="B81" s="25" t="s">
        <v>308</v>
      </c>
      <c r="C81" s="25" t="s">
        <v>267</v>
      </c>
      <c r="D81" s="19">
        <v>12350</v>
      </c>
      <c r="E81" s="19"/>
      <c r="F81" s="18">
        <f t="shared" si="0"/>
        <v>12350</v>
      </c>
      <c r="G81" s="19"/>
      <c r="H81" s="18">
        <f t="shared" si="1"/>
        <v>12350</v>
      </c>
      <c r="I81" s="19"/>
      <c r="J81" s="18">
        <f t="shared" si="2"/>
        <v>12350</v>
      </c>
      <c r="K81" s="19"/>
      <c r="L81" s="18">
        <f t="shared" si="3"/>
        <v>12350</v>
      </c>
      <c r="M81" s="19"/>
      <c r="N81" s="18">
        <f t="shared" si="4"/>
        <v>12350</v>
      </c>
      <c r="O81" s="19"/>
      <c r="P81" s="18">
        <f t="shared" si="5"/>
        <v>12350</v>
      </c>
      <c r="Q81" s="19"/>
      <c r="R81" s="18">
        <f t="shared" si="6"/>
        <v>12350</v>
      </c>
      <c r="S81" s="64"/>
      <c r="T81" s="18">
        <f t="shared" si="7"/>
        <v>12350</v>
      </c>
      <c r="U81" s="64"/>
      <c r="V81" s="18">
        <f t="shared" si="8"/>
        <v>12350</v>
      </c>
      <c r="W81" s="44">
        <v>-2063.9</v>
      </c>
      <c r="X81" s="18">
        <f t="shared" si="9"/>
        <v>10286.1</v>
      </c>
      <c r="Y81" s="43">
        <v>-2063.9</v>
      </c>
      <c r="Z81" s="43">
        <f>X81+Y81</f>
        <v>8222.2000000000007</v>
      </c>
      <c r="AA81" s="43"/>
    </row>
    <row r="82" spans="1:27" ht="30" customHeight="1" x14ac:dyDescent="0.25">
      <c r="A82" s="13" t="s">
        <v>30</v>
      </c>
      <c r="B82" s="24" t="s">
        <v>306</v>
      </c>
      <c r="C82" s="24" t="s">
        <v>2</v>
      </c>
      <c r="D82" s="18">
        <f>D83+D84</f>
        <v>64338.9</v>
      </c>
      <c r="E82" s="18">
        <f>E83+E84</f>
        <v>0</v>
      </c>
      <c r="F82" s="18">
        <f t="shared" si="0"/>
        <v>64338.9</v>
      </c>
      <c r="G82" s="18">
        <f>G83+G84</f>
        <v>0</v>
      </c>
      <c r="H82" s="18">
        <f t="shared" si="1"/>
        <v>64338.9</v>
      </c>
      <c r="I82" s="18">
        <f>I83+I84</f>
        <v>0</v>
      </c>
      <c r="J82" s="18">
        <f t="shared" si="2"/>
        <v>64338.9</v>
      </c>
      <c r="K82" s="18">
        <f>K83+K84</f>
        <v>0</v>
      </c>
      <c r="L82" s="18">
        <f t="shared" si="3"/>
        <v>64338.9</v>
      </c>
      <c r="M82" s="18">
        <f>M83+M84</f>
        <v>0</v>
      </c>
      <c r="N82" s="18">
        <f t="shared" si="4"/>
        <v>64338.9</v>
      </c>
      <c r="O82" s="18">
        <f>O83+O84</f>
        <v>372</v>
      </c>
      <c r="P82" s="18">
        <f t="shared" si="5"/>
        <v>64710.9</v>
      </c>
      <c r="Q82" s="18">
        <f>Q83+Q84</f>
        <v>0</v>
      </c>
      <c r="R82" s="18">
        <f t="shared" si="6"/>
        <v>64710.9</v>
      </c>
      <c r="S82" s="18">
        <f>S83+S84</f>
        <v>6.5</v>
      </c>
      <c r="T82" s="18">
        <f t="shared" si="7"/>
        <v>64717.4</v>
      </c>
      <c r="U82" s="18">
        <f>U83+U84</f>
        <v>1939</v>
      </c>
      <c r="V82" s="18">
        <f t="shared" si="8"/>
        <v>66656.399999999994</v>
      </c>
      <c r="W82" s="18">
        <f>W83+W84</f>
        <v>890.6</v>
      </c>
      <c r="X82" s="18">
        <f t="shared" si="9"/>
        <v>67547</v>
      </c>
    </row>
    <row r="83" spans="1:27" ht="36.75" x14ac:dyDescent="0.25">
      <c r="A83" s="9" t="s">
        <v>510</v>
      </c>
      <c r="B83" s="25" t="s">
        <v>306</v>
      </c>
      <c r="C83" s="25" t="s">
        <v>68</v>
      </c>
      <c r="D83" s="19">
        <v>64110.9</v>
      </c>
      <c r="E83" s="19"/>
      <c r="F83" s="18">
        <f t="shared" si="0"/>
        <v>64110.9</v>
      </c>
      <c r="G83" s="19"/>
      <c r="H83" s="18">
        <f t="shared" si="1"/>
        <v>64110.9</v>
      </c>
      <c r="I83" s="19"/>
      <c r="J83" s="18">
        <f t="shared" si="2"/>
        <v>64110.9</v>
      </c>
      <c r="K83" s="19"/>
      <c r="L83" s="18">
        <f t="shared" si="3"/>
        <v>64110.9</v>
      </c>
      <c r="M83" s="19"/>
      <c r="N83" s="18">
        <f t="shared" si="4"/>
        <v>64110.9</v>
      </c>
      <c r="O83" s="19"/>
      <c r="P83" s="18">
        <f t="shared" si="5"/>
        <v>64110.9</v>
      </c>
      <c r="Q83" s="19"/>
      <c r="R83" s="18">
        <f t="shared" si="6"/>
        <v>64110.9</v>
      </c>
      <c r="S83" s="64"/>
      <c r="T83" s="18">
        <f t="shared" si="7"/>
        <v>64110.9</v>
      </c>
      <c r="U83" s="96">
        <v>1939</v>
      </c>
      <c r="V83" s="18">
        <f t="shared" si="8"/>
        <v>66049.899999999994</v>
      </c>
      <c r="W83" s="44">
        <v>890.6</v>
      </c>
      <c r="X83" s="18">
        <f t="shared" si="9"/>
        <v>66940.5</v>
      </c>
      <c r="Y83" s="43">
        <v>890.6</v>
      </c>
      <c r="Z83" s="43">
        <f t="shared" ref="Z83:Z84" si="23">X83+Y83</f>
        <v>67831.100000000006</v>
      </c>
      <c r="AA83" s="43"/>
    </row>
    <row r="84" spans="1:27" x14ac:dyDescent="0.25">
      <c r="A84" s="9" t="s">
        <v>511</v>
      </c>
      <c r="B84" s="25" t="s">
        <v>306</v>
      </c>
      <c r="C84" s="25" t="s">
        <v>66</v>
      </c>
      <c r="D84" s="19">
        <v>228</v>
      </c>
      <c r="E84" s="19"/>
      <c r="F84" s="18">
        <f t="shared" si="0"/>
        <v>228</v>
      </c>
      <c r="G84" s="19"/>
      <c r="H84" s="18">
        <f t="shared" si="1"/>
        <v>228</v>
      </c>
      <c r="I84" s="19"/>
      <c r="J84" s="18">
        <f t="shared" si="2"/>
        <v>228</v>
      </c>
      <c r="K84" s="19"/>
      <c r="L84" s="18">
        <f t="shared" si="3"/>
        <v>228</v>
      </c>
      <c r="M84" s="19"/>
      <c r="N84" s="18">
        <f t="shared" si="4"/>
        <v>228</v>
      </c>
      <c r="O84" s="44">
        <v>372</v>
      </c>
      <c r="P84" s="18">
        <f t="shared" si="5"/>
        <v>600</v>
      </c>
      <c r="Q84" s="64"/>
      <c r="R84" s="18">
        <f t="shared" si="6"/>
        <v>600</v>
      </c>
      <c r="S84" s="44">
        <v>6.5</v>
      </c>
      <c r="T84" s="18">
        <f t="shared" si="7"/>
        <v>606.5</v>
      </c>
      <c r="U84" s="64"/>
      <c r="V84" s="18">
        <f t="shared" si="8"/>
        <v>606.5</v>
      </c>
      <c r="W84" s="64"/>
      <c r="X84" s="18">
        <f t="shared" si="9"/>
        <v>606.5</v>
      </c>
      <c r="Z84" s="43">
        <f t="shared" si="23"/>
        <v>606.5</v>
      </c>
      <c r="AA84" s="43"/>
    </row>
    <row r="85" spans="1:27" x14ac:dyDescent="0.25">
      <c r="A85" s="13" t="s">
        <v>311</v>
      </c>
      <c r="B85" s="24" t="s">
        <v>312</v>
      </c>
      <c r="C85" s="24" t="s">
        <v>2</v>
      </c>
      <c r="D85" s="18">
        <f>D86+D92</f>
        <v>9536.9</v>
      </c>
      <c r="E85" s="18">
        <f>E86+E92</f>
        <v>0</v>
      </c>
      <c r="F85" s="18">
        <f t="shared" si="0"/>
        <v>9536.9</v>
      </c>
      <c r="G85" s="18">
        <f>G86+G92</f>
        <v>0</v>
      </c>
      <c r="H85" s="18">
        <f t="shared" si="1"/>
        <v>9536.9</v>
      </c>
      <c r="I85" s="18">
        <f>I86+I92</f>
        <v>0</v>
      </c>
      <c r="J85" s="18">
        <f t="shared" si="2"/>
        <v>9536.9</v>
      </c>
      <c r="K85" s="18">
        <f>K86+K92</f>
        <v>0</v>
      </c>
      <c r="L85" s="18">
        <f t="shared" si="3"/>
        <v>9536.9</v>
      </c>
      <c r="M85" s="18">
        <f>M86+M92+M90</f>
        <v>1043.2</v>
      </c>
      <c r="N85" s="18">
        <f t="shared" si="4"/>
        <v>10580.1</v>
      </c>
      <c r="O85" s="18">
        <f>O86+O92+O90</f>
        <v>350.1</v>
      </c>
      <c r="P85" s="18">
        <f t="shared" si="5"/>
        <v>10930.2</v>
      </c>
      <c r="Q85" s="18">
        <f>Q86+Q92+Q90</f>
        <v>0</v>
      </c>
      <c r="R85" s="18">
        <f t="shared" si="6"/>
        <v>10930.2</v>
      </c>
      <c r="S85" s="18">
        <f>S86+S92+S90</f>
        <v>-1201.3</v>
      </c>
      <c r="T85" s="18">
        <f t="shared" si="7"/>
        <v>9728.9000000000015</v>
      </c>
      <c r="U85" s="18">
        <f>U86+U92+U90</f>
        <v>-101.5</v>
      </c>
      <c r="V85" s="18">
        <f t="shared" si="8"/>
        <v>9627.4000000000015</v>
      </c>
      <c r="W85" s="18">
        <f>W86+W92+W90</f>
        <v>0</v>
      </c>
      <c r="X85" s="18">
        <f t="shared" si="9"/>
        <v>9627.4000000000015</v>
      </c>
    </row>
    <row r="86" spans="1:27" ht="36.75" x14ac:dyDescent="0.25">
      <c r="A86" s="13" t="s">
        <v>313</v>
      </c>
      <c r="B86" s="24" t="s">
        <v>314</v>
      </c>
      <c r="C86" s="24" t="s">
        <v>2</v>
      </c>
      <c r="D86" s="18">
        <f>D87+D88+D89</f>
        <v>7840.9</v>
      </c>
      <c r="E86" s="18">
        <f>E87+E88+E89</f>
        <v>0</v>
      </c>
      <c r="F86" s="18">
        <f t="shared" si="0"/>
        <v>7840.9</v>
      </c>
      <c r="G86" s="18">
        <f>G87+G88+G89</f>
        <v>0</v>
      </c>
      <c r="H86" s="18">
        <f t="shared" si="1"/>
        <v>7840.9</v>
      </c>
      <c r="I86" s="18">
        <f>I87+I88+I89</f>
        <v>0</v>
      </c>
      <c r="J86" s="18">
        <f t="shared" si="2"/>
        <v>7840.9</v>
      </c>
      <c r="K86" s="18">
        <f>K87+K88+K89</f>
        <v>0</v>
      </c>
      <c r="L86" s="18">
        <f t="shared" si="3"/>
        <v>7840.9</v>
      </c>
      <c r="M86" s="18">
        <f>M87+M88+M89</f>
        <v>0</v>
      </c>
      <c r="N86" s="18">
        <f t="shared" si="4"/>
        <v>7840.9</v>
      </c>
      <c r="O86" s="18">
        <f>O87+O88+O89</f>
        <v>0</v>
      </c>
      <c r="P86" s="18">
        <f t="shared" si="5"/>
        <v>7840.9</v>
      </c>
      <c r="Q86" s="18">
        <f>Q87+Q88+Q89</f>
        <v>0</v>
      </c>
      <c r="R86" s="18">
        <f t="shared" si="6"/>
        <v>7840.9</v>
      </c>
      <c r="S86" s="18">
        <f>S87+S88+S89</f>
        <v>0</v>
      </c>
      <c r="T86" s="18">
        <f t="shared" si="7"/>
        <v>7840.9</v>
      </c>
      <c r="U86" s="18">
        <f>U87+U88+U89</f>
        <v>0</v>
      </c>
      <c r="V86" s="18">
        <f t="shared" si="8"/>
        <v>7840.9</v>
      </c>
      <c r="W86" s="18">
        <f>W87+W88+W89</f>
        <v>0</v>
      </c>
      <c r="X86" s="18">
        <f t="shared" si="9"/>
        <v>7840.9</v>
      </c>
    </row>
    <row r="87" spans="1:27" ht="24.75" x14ac:dyDescent="0.25">
      <c r="A87" s="9" t="s">
        <v>505</v>
      </c>
      <c r="B87" s="25" t="s">
        <v>314</v>
      </c>
      <c r="C87" s="25" t="s">
        <v>260</v>
      </c>
      <c r="D87" s="19">
        <v>1500</v>
      </c>
      <c r="E87" s="19"/>
      <c r="F87" s="18">
        <f t="shared" si="0"/>
        <v>1500</v>
      </c>
      <c r="G87" s="19"/>
      <c r="H87" s="18">
        <f t="shared" si="1"/>
        <v>1500</v>
      </c>
      <c r="I87" s="19"/>
      <c r="J87" s="18">
        <f t="shared" si="2"/>
        <v>1500</v>
      </c>
      <c r="K87" s="19"/>
      <c r="L87" s="18">
        <f t="shared" si="3"/>
        <v>1500</v>
      </c>
      <c r="M87" s="116">
        <v>-1496.6</v>
      </c>
      <c r="N87" s="18">
        <f t="shared" si="4"/>
        <v>3.4000000000000909</v>
      </c>
      <c r="O87" s="64"/>
      <c r="P87" s="18">
        <f t="shared" si="5"/>
        <v>3.4000000000000909</v>
      </c>
      <c r="Q87" s="64"/>
      <c r="R87" s="18">
        <f t="shared" si="6"/>
        <v>3.4000000000000909</v>
      </c>
      <c r="S87" s="122">
        <v>64</v>
      </c>
      <c r="T87" s="18">
        <f t="shared" si="7"/>
        <v>67.400000000000091</v>
      </c>
      <c r="U87" s="64"/>
      <c r="V87" s="18">
        <f t="shared" si="8"/>
        <v>67.400000000000091</v>
      </c>
      <c r="W87" s="64"/>
      <c r="X87" s="18">
        <f t="shared" si="9"/>
        <v>67.400000000000091</v>
      </c>
      <c r="Z87" s="43">
        <f t="shared" ref="Z87:Z89" si="24">X87+Y87</f>
        <v>67.400000000000091</v>
      </c>
      <c r="AA87" s="43"/>
    </row>
    <row r="88" spans="1:27" x14ac:dyDescent="0.25">
      <c r="A88" s="9" t="s">
        <v>511</v>
      </c>
      <c r="B88" s="25" t="s">
        <v>314</v>
      </c>
      <c r="C88" s="25" t="s">
        <v>66</v>
      </c>
      <c r="D88" s="19">
        <v>5762.9</v>
      </c>
      <c r="E88" s="19"/>
      <c r="F88" s="18">
        <f t="shared" si="0"/>
        <v>5762.9</v>
      </c>
      <c r="G88" s="19"/>
      <c r="H88" s="18">
        <f t="shared" si="1"/>
        <v>5762.9</v>
      </c>
      <c r="I88" s="19"/>
      <c r="J88" s="18">
        <f t="shared" si="2"/>
        <v>5762.9</v>
      </c>
      <c r="K88" s="19"/>
      <c r="L88" s="18">
        <f t="shared" si="3"/>
        <v>5762.9</v>
      </c>
      <c r="M88" s="116">
        <v>1361.3</v>
      </c>
      <c r="N88" s="18">
        <f t="shared" si="4"/>
        <v>7124.2</v>
      </c>
      <c r="O88" s="64"/>
      <c r="P88" s="18">
        <f t="shared" si="5"/>
        <v>7124.2</v>
      </c>
      <c r="Q88" s="64"/>
      <c r="R88" s="18">
        <f t="shared" si="6"/>
        <v>7124.2</v>
      </c>
      <c r="S88" s="122">
        <v>-64</v>
      </c>
      <c r="T88" s="18">
        <f t="shared" si="7"/>
        <v>7060.2</v>
      </c>
      <c r="U88" s="64"/>
      <c r="V88" s="18">
        <f t="shared" si="8"/>
        <v>7060.2</v>
      </c>
      <c r="W88" s="64"/>
      <c r="X88" s="18">
        <f t="shared" si="9"/>
        <v>7060.2</v>
      </c>
      <c r="Z88" s="43">
        <f t="shared" si="24"/>
        <v>7060.2</v>
      </c>
      <c r="AA88" s="43"/>
    </row>
    <row r="89" spans="1:27" x14ac:dyDescent="0.25">
      <c r="A89" s="9" t="s">
        <v>266</v>
      </c>
      <c r="B89" s="25" t="s">
        <v>314</v>
      </c>
      <c r="C89" s="25" t="s">
        <v>267</v>
      </c>
      <c r="D89" s="19">
        <v>578</v>
      </c>
      <c r="E89" s="19"/>
      <c r="F89" s="18">
        <f t="shared" si="0"/>
        <v>578</v>
      </c>
      <c r="G89" s="19"/>
      <c r="H89" s="18">
        <f t="shared" si="1"/>
        <v>578</v>
      </c>
      <c r="I89" s="19"/>
      <c r="J89" s="18">
        <f t="shared" si="2"/>
        <v>578</v>
      </c>
      <c r="K89" s="19"/>
      <c r="L89" s="18">
        <f t="shared" si="3"/>
        <v>578</v>
      </c>
      <c r="M89" s="116">
        <v>135.30000000000001</v>
      </c>
      <c r="N89" s="18">
        <f t="shared" si="4"/>
        <v>713.3</v>
      </c>
      <c r="O89" s="64"/>
      <c r="P89" s="18">
        <f t="shared" si="5"/>
        <v>713.3</v>
      </c>
      <c r="Q89" s="64"/>
      <c r="R89" s="18">
        <f t="shared" si="6"/>
        <v>713.3</v>
      </c>
      <c r="S89" s="122"/>
      <c r="T89" s="18">
        <f t="shared" si="7"/>
        <v>713.3</v>
      </c>
      <c r="U89" s="122"/>
      <c r="V89" s="18">
        <f t="shared" si="8"/>
        <v>713.3</v>
      </c>
      <c r="W89" s="64"/>
      <c r="X89" s="18">
        <f t="shared" si="9"/>
        <v>713.3</v>
      </c>
      <c r="Z89" s="43">
        <f t="shared" si="24"/>
        <v>713.3</v>
      </c>
      <c r="AA89" s="43"/>
    </row>
    <row r="90" spans="1:27" ht="24" x14ac:dyDescent="0.25">
      <c r="A90" s="89" t="s">
        <v>132</v>
      </c>
      <c r="B90" s="66" t="s">
        <v>739</v>
      </c>
      <c r="C90" s="31"/>
      <c r="D90" s="19"/>
      <c r="E90" s="19"/>
      <c r="F90" s="18"/>
      <c r="G90" s="19"/>
      <c r="H90" s="18"/>
      <c r="I90" s="19"/>
      <c r="J90" s="18"/>
      <c r="K90" s="19"/>
      <c r="L90" s="18"/>
      <c r="M90" s="20">
        <f>M91</f>
        <v>1043.2</v>
      </c>
      <c r="N90" s="18">
        <f t="shared" si="4"/>
        <v>1043.2</v>
      </c>
      <c r="O90" s="20">
        <f>O91</f>
        <v>350.1</v>
      </c>
      <c r="P90" s="18">
        <f t="shared" si="5"/>
        <v>1393.3000000000002</v>
      </c>
      <c r="Q90" s="20">
        <f>Q91</f>
        <v>0</v>
      </c>
      <c r="R90" s="18">
        <f t="shared" si="6"/>
        <v>1393.3000000000002</v>
      </c>
      <c r="S90" s="20">
        <f>S91</f>
        <v>-1201.3</v>
      </c>
      <c r="T90" s="18">
        <f t="shared" si="7"/>
        <v>192.00000000000023</v>
      </c>
      <c r="U90" s="20">
        <f>U91</f>
        <v>0</v>
      </c>
      <c r="V90" s="18">
        <f t="shared" si="8"/>
        <v>192.00000000000023</v>
      </c>
      <c r="W90" s="20">
        <f>W91</f>
        <v>0</v>
      </c>
      <c r="X90" s="18">
        <f t="shared" si="9"/>
        <v>192.00000000000023</v>
      </c>
    </row>
    <row r="91" spans="1:27" x14ac:dyDescent="0.25">
      <c r="A91" s="57" t="s">
        <v>54</v>
      </c>
      <c r="B91" s="60" t="s">
        <v>739</v>
      </c>
      <c r="C91" s="60" t="s">
        <v>34</v>
      </c>
      <c r="D91" s="19"/>
      <c r="E91" s="19"/>
      <c r="F91" s="18"/>
      <c r="G91" s="19"/>
      <c r="H91" s="18"/>
      <c r="I91" s="19"/>
      <c r="J91" s="18"/>
      <c r="K91" s="19"/>
      <c r="L91" s="18"/>
      <c r="M91" s="44">
        <v>1043.2</v>
      </c>
      <c r="N91" s="18">
        <f t="shared" si="4"/>
        <v>1043.2</v>
      </c>
      <c r="O91" s="123">
        <v>350.1</v>
      </c>
      <c r="P91" s="18">
        <f t="shared" si="5"/>
        <v>1393.3000000000002</v>
      </c>
      <c r="Q91" s="64"/>
      <c r="R91" s="18">
        <f t="shared" si="6"/>
        <v>1393.3000000000002</v>
      </c>
      <c r="S91" s="62">
        <v>-1201.3</v>
      </c>
      <c r="T91" s="18">
        <f t="shared" si="7"/>
        <v>192.00000000000023</v>
      </c>
      <c r="U91" s="64"/>
      <c r="V91" s="18">
        <f t="shared" si="8"/>
        <v>192.00000000000023</v>
      </c>
      <c r="W91" s="64"/>
      <c r="X91" s="18">
        <f t="shared" si="9"/>
        <v>192.00000000000023</v>
      </c>
      <c r="Z91" s="43">
        <f>X91+Y91</f>
        <v>192.00000000000023</v>
      </c>
      <c r="AA91" s="43"/>
    </row>
    <row r="92" spans="1:27" ht="24.75" x14ac:dyDescent="0.25">
      <c r="A92" s="13" t="s">
        <v>332</v>
      </c>
      <c r="B92" s="24" t="s">
        <v>333</v>
      </c>
      <c r="C92" s="24" t="s">
        <v>2</v>
      </c>
      <c r="D92" s="18">
        <f>D94+D95</f>
        <v>1696</v>
      </c>
      <c r="E92" s="18">
        <f>E94+E95</f>
        <v>0</v>
      </c>
      <c r="F92" s="18">
        <f t="shared" si="0"/>
        <v>1696</v>
      </c>
      <c r="G92" s="18">
        <f>G94+G95</f>
        <v>0</v>
      </c>
      <c r="H92" s="18">
        <f t="shared" si="1"/>
        <v>1696</v>
      </c>
      <c r="I92" s="18">
        <f>I94+I95</f>
        <v>0</v>
      </c>
      <c r="J92" s="18">
        <f t="shared" si="2"/>
        <v>1696</v>
      </c>
      <c r="K92" s="18">
        <f>K94+K95</f>
        <v>0</v>
      </c>
      <c r="L92" s="18">
        <f t="shared" si="3"/>
        <v>1696</v>
      </c>
      <c r="M92" s="18">
        <f>M94+M95</f>
        <v>0</v>
      </c>
      <c r="N92" s="18">
        <f t="shared" si="4"/>
        <v>1696</v>
      </c>
      <c r="O92" s="18">
        <f>O94+O95</f>
        <v>0</v>
      </c>
      <c r="P92" s="18">
        <f t="shared" si="5"/>
        <v>1696</v>
      </c>
      <c r="Q92" s="18">
        <f>Q94+Q95</f>
        <v>0</v>
      </c>
      <c r="R92" s="18">
        <f t="shared" si="6"/>
        <v>1696</v>
      </c>
      <c r="S92" s="18">
        <f>S94+S95+S93</f>
        <v>0</v>
      </c>
      <c r="T92" s="18">
        <f t="shared" si="7"/>
        <v>1696</v>
      </c>
      <c r="U92" s="18">
        <f>U94+U95+U93</f>
        <v>-101.5</v>
      </c>
      <c r="V92" s="18">
        <f t="shared" si="8"/>
        <v>1594.5</v>
      </c>
      <c r="W92" s="18">
        <f>W94+W95+W93</f>
        <v>0</v>
      </c>
      <c r="X92" s="18">
        <f t="shared" si="9"/>
        <v>1594.5</v>
      </c>
    </row>
    <row r="93" spans="1:27" ht="24.75" x14ac:dyDescent="0.25">
      <c r="A93" s="9" t="s">
        <v>505</v>
      </c>
      <c r="B93" s="25" t="s">
        <v>333</v>
      </c>
      <c r="C93" s="25" t="s">
        <v>260</v>
      </c>
      <c r="D93" s="18"/>
      <c r="E93" s="18"/>
      <c r="F93" s="18"/>
      <c r="G93" s="18"/>
      <c r="H93" s="18"/>
      <c r="I93" s="18"/>
      <c r="J93" s="18"/>
      <c r="K93" s="18"/>
      <c r="L93" s="18"/>
      <c r="M93" s="18"/>
      <c r="N93" s="18"/>
      <c r="O93" s="18"/>
      <c r="P93" s="18"/>
      <c r="Q93" s="18"/>
      <c r="R93" s="18"/>
      <c r="S93" s="62">
        <v>39.799999999999997</v>
      </c>
      <c r="T93" s="18">
        <f t="shared" si="7"/>
        <v>39.799999999999997</v>
      </c>
      <c r="U93" s="64"/>
      <c r="V93" s="18">
        <f t="shared" si="8"/>
        <v>39.799999999999997</v>
      </c>
      <c r="W93" s="64"/>
      <c r="X93" s="18">
        <f t="shared" si="9"/>
        <v>39.799999999999997</v>
      </c>
      <c r="Z93" s="43">
        <f t="shared" ref="Z93:Z95" si="25">X93+Y93</f>
        <v>39.799999999999997</v>
      </c>
      <c r="AA93" s="43"/>
    </row>
    <row r="94" spans="1:27" x14ac:dyDescent="0.25">
      <c r="A94" s="9" t="s">
        <v>511</v>
      </c>
      <c r="B94" s="25" t="s">
        <v>333</v>
      </c>
      <c r="C94" s="25" t="s">
        <v>66</v>
      </c>
      <c r="D94" s="19">
        <v>1529.7</v>
      </c>
      <c r="E94" s="19"/>
      <c r="F94" s="18">
        <f t="shared" si="0"/>
        <v>1529.7</v>
      </c>
      <c r="G94" s="19"/>
      <c r="H94" s="18">
        <f t="shared" si="1"/>
        <v>1529.7</v>
      </c>
      <c r="I94" s="19"/>
      <c r="J94" s="18">
        <f t="shared" si="2"/>
        <v>1529.7</v>
      </c>
      <c r="K94" s="19"/>
      <c r="L94" s="18">
        <f t="shared" si="3"/>
        <v>1529.7</v>
      </c>
      <c r="M94" s="62">
        <v>-79.400000000000006</v>
      </c>
      <c r="N94" s="18">
        <f t="shared" si="4"/>
        <v>1450.3</v>
      </c>
      <c r="O94" s="64"/>
      <c r="P94" s="18">
        <f t="shared" si="5"/>
        <v>1450.3</v>
      </c>
      <c r="Q94" s="64"/>
      <c r="R94" s="18">
        <f t="shared" si="6"/>
        <v>1450.3</v>
      </c>
      <c r="S94" s="64"/>
      <c r="T94" s="18">
        <f t="shared" si="7"/>
        <v>1450.3</v>
      </c>
      <c r="U94" s="96">
        <v>-38.299999999999997</v>
      </c>
      <c r="V94" s="18">
        <f t="shared" si="8"/>
        <v>1412</v>
      </c>
      <c r="W94" s="64"/>
      <c r="X94" s="18">
        <f t="shared" si="9"/>
        <v>1412</v>
      </c>
      <c r="Z94" s="43">
        <f t="shared" si="25"/>
        <v>1412</v>
      </c>
      <c r="AA94" s="43"/>
    </row>
    <row r="95" spans="1:27" x14ac:dyDescent="0.25">
      <c r="A95" s="9" t="s">
        <v>266</v>
      </c>
      <c r="B95" s="25" t="s">
        <v>333</v>
      </c>
      <c r="C95" s="25" t="s">
        <v>267</v>
      </c>
      <c r="D95" s="19">
        <v>166.3</v>
      </c>
      <c r="E95" s="19"/>
      <c r="F95" s="18">
        <f t="shared" si="0"/>
        <v>166.3</v>
      </c>
      <c r="G95" s="19"/>
      <c r="H95" s="18">
        <f t="shared" si="1"/>
        <v>166.3</v>
      </c>
      <c r="I95" s="19"/>
      <c r="J95" s="18">
        <f t="shared" si="2"/>
        <v>166.3</v>
      </c>
      <c r="K95" s="19"/>
      <c r="L95" s="18">
        <f t="shared" si="3"/>
        <v>166.3</v>
      </c>
      <c r="M95" s="62">
        <v>79.400000000000006</v>
      </c>
      <c r="N95" s="18">
        <f t="shared" si="4"/>
        <v>245.70000000000002</v>
      </c>
      <c r="O95" s="64"/>
      <c r="P95" s="18">
        <f t="shared" si="5"/>
        <v>245.70000000000002</v>
      </c>
      <c r="Q95" s="64"/>
      <c r="R95" s="18">
        <f t="shared" si="6"/>
        <v>245.70000000000002</v>
      </c>
      <c r="S95" s="62">
        <v>-39.799999999999997</v>
      </c>
      <c r="T95" s="18">
        <f t="shared" si="7"/>
        <v>205.90000000000003</v>
      </c>
      <c r="U95" s="96">
        <v>-63.2</v>
      </c>
      <c r="V95" s="18">
        <f t="shared" si="8"/>
        <v>142.70000000000005</v>
      </c>
      <c r="W95" s="64"/>
      <c r="X95" s="18">
        <f t="shared" si="9"/>
        <v>142.70000000000005</v>
      </c>
      <c r="Z95" s="43">
        <f t="shared" si="25"/>
        <v>142.70000000000005</v>
      </c>
      <c r="AA95" s="43"/>
    </row>
    <row r="96" spans="1:27" x14ac:dyDescent="0.25">
      <c r="A96" s="13" t="s">
        <v>254</v>
      </c>
      <c r="B96" s="24" t="s">
        <v>255</v>
      </c>
      <c r="C96" s="24" t="s">
        <v>2</v>
      </c>
      <c r="D96" s="18">
        <f t="shared" ref="D96:W98" si="26">D97</f>
        <v>35368.699999999997</v>
      </c>
      <c r="E96" s="18">
        <f t="shared" si="26"/>
        <v>0</v>
      </c>
      <c r="F96" s="18">
        <f t="shared" si="0"/>
        <v>35368.699999999997</v>
      </c>
      <c r="G96" s="18">
        <f t="shared" si="26"/>
        <v>0</v>
      </c>
      <c r="H96" s="18">
        <f t="shared" si="1"/>
        <v>35368.699999999997</v>
      </c>
      <c r="I96" s="18">
        <f>I97+I100</f>
        <v>85.1</v>
      </c>
      <c r="J96" s="18">
        <f t="shared" si="2"/>
        <v>35453.799999999996</v>
      </c>
      <c r="K96" s="18">
        <f>K97+K100</f>
        <v>0</v>
      </c>
      <c r="L96" s="18">
        <f t="shared" si="3"/>
        <v>35453.799999999996</v>
      </c>
      <c r="M96" s="18">
        <f>M97+M100</f>
        <v>0</v>
      </c>
      <c r="N96" s="18">
        <f t="shared" si="4"/>
        <v>35453.799999999996</v>
      </c>
      <c r="O96" s="18">
        <f>O97+O100</f>
        <v>0</v>
      </c>
      <c r="P96" s="18">
        <f t="shared" si="5"/>
        <v>35453.799999999996</v>
      </c>
      <c r="Q96" s="18">
        <f>Q97+Q100</f>
        <v>0</v>
      </c>
      <c r="R96" s="18">
        <f t="shared" si="6"/>
        <v>35453.799999999996</v>
      </c>
      <c r="S96" s="18">
        <f>S97+S100</f>
        <v>65</v>
      </c>
      <c r="T96" s="18">
        <f t="shared" si="7"/>
        <v>35518.799999999996</v>
      </c>
      <c r="U96" s="18">
        <f>U97+U100</f>
        <v>0</v>
      </c>
      <c r="V96" s="18">
        <f t="shared" si="8"/>
        <v>35518.799999999996</v>
      </c>
      <c r="W96" s="18">
        <f>W97+W100</f>
        <v>-3639.9</v>
      </c>
      <c r="X96" s="18">
        <f t="shared" si="9"/>
        <v>31878.899999999994</v>
      </c>
    </row>
    <row r="97" spans="1:27" x14ac:dyDescent="0.25">
      <c r="A97" s="13" t="s">
        <v>256</v>
      </c>
      <c r="B97" s="24" t="s">
        <v>257</v>
      </c>
      <c r="C97" s="24" t="s">
        <v>2</v>
      </c>
      <c r="D97" s="18">
        <f t="shared" si="26"/>
        <v>35368.699999999997</v>
      </c>
      <c r="E97" s="18">
        <f t="shared" si="26"/>
        <v>0</v>
      </c>
      <c r="F97" s="18">
        <f t="shared" si="0"/>
        <v>35368.699999999997</v>
      </c>
      <c r="G97" s="18">
        <f t="shared" si="26"/>
        <v>0</v>
      </c>
      <c r="H97" s="18">
        <f t="shared" si="1"/>
        <v>35368.699999999997</v>
      </c>
      <c r="I97" s="18">
        <f t="shared" si="26"/>
        <v>0</v>
      </c>
      <c r="J97" s="18">
        <f t="shared" si="2"/>
        <v>35368.699999999997</v>
      </c>
      <c r="K97" s="18">
        <f t="shared" si="26"/>
        <v>0</v>
      </c>
      <c r="L97" s="18">
        <f t="shared" si="3"/>
        <v>35368.699999999997</v>
      </c>
      <c r="M97" s="18">
        <f t="shared" si="26"/>
        <v>0</v>
      </c>
      <c r="N97" s="18">
        <f t="shared" si="4"/>
        <v>35368.699999999997</v>
      </c>
      <c r="O97" s="18">
        <f t="shared" si="26"/>
        <v>0</v>
      </c>
      <c r="P97" s="18">
        <f t="shared" si="5"/>
        <v>35368.699999999997</v>
      </c>
      <c r="Q97" s="18">
        <f t="shared" si="26"/>
        <v>0</v>
      </c>
      <c r="R97" s="18">
        <f t="shared" si="6"/>
        <v>35368.699999999997</v>
      </c>
      <c r="S97" s="18">
        <f t="shared" si="26"/>
        <v>0</v>
      </c>
      <c r="T97" s="18">
        <f t="shared" si="7"/>
        <v>35368.699999999997</v>
      </c>
      <c r="U97" s="18">
        <f t="shared" si="26"/>
        <v>0</v>
      </c>
      <c r="V97" s="18">
        <f t="shared" si="8"/>
        <v>35368.699999999997</v>
      </c>
      <c r="W97" s="18">
        <f t="shared" si="26"/>
        <v>-3669.9</v>
      </c>
      <c r="X97" s="18">
        <f t="shared" si="9"/>
        <v>31698.799999999996</v>
      </c>
    </row>
    <row r="98" spans="1:27" ht="24.75" x14ac:dyDescent="0.25">
      <c r="A98" s="13" t="s">
        <v>258</v>
      </c>
      <c r="B98" s="24" t="s">
        <v>259</v>
      </c>
      <c r="C98" s="24" t="s">
        <v>2</v>
      </c>
      <c r="D98" s="18">
        <f t="shared" si="26"/>
        <v>35368.699999999997</v>
      </c>
      <c r="E98" s="18">
        <f t="shared" si="26"/>
        <v>0</v>
      </c>
      <c r="F98" s="18">
        <f t="shared" si="0"/>
        <v>35368.699999999997</v>
      </c>
      <c r="G98" s="18">
        <f t="shared" si="26"/>
        <v>0</v>
      </c>
      <c r="H98" s="18">
        <f t="shared" si="1"/>
        <v>35368.699999999997</v>
      </c>
      <c r="I98" s="18">
        <f t="shared" si="26"/>
        <v>0</v>
      </c>
      <c r="J98" s="18">
        <f t="shared" si="2"/>
        <v>35368.699999999997</v>
      </c>
      <c r="K98" s="18">
        <f t="shared" si="26"/>
        <v>0</v>
      </c>
      <c r="L98" s="18">
        <f t="shared" si="3"/>
        <v>35368.699999999997</v>
      </c>
      <c r="M98" s="18">
        <f t="shared" si="26"/>
        <v>0</v>
      </c>
      <c r="N98" s="18">
        <f t="shared" si="4"/>
        <v>35368.699999999997</v>
      </c>
      <c r="O98" s="18">
        <f t="shared" si="26"/>
        <v>0</v>
      </c>
      <c r="P98" s="18">
        <f t="shared" si="5"/>
        <v>35368.699999999997</v>
      </c>
      <c r="Q98" s="18">
        <f t="shared" si="26"/>
        <v>0</v>
      </c>
      <c r="R98" s="18">
        <f t="shared" si="6"/>
        <v>35368.699999999997</v>
      </c>
      <c r="S98" s="18">
        <f t="shared" si="26"/>
        <v>0</v>
      </c>
      <c r="T98" s="18">
        <f t="shared" si="7"/>
        <v>35368.699999999997</v>
      </c>
      <c r="U98" s="18">
        <f t="shared" si="26"/>
        <v>0</v>
      </c>
      <c r="V98" s="18">
        <f t="shared" si="8"/>
        <v>35368.699999999997</v>
      </c>
      <c r="W98" s="18">
        <f t="shared" si="26"/>
        <v>-3669.9</v>
      </c>
      <c r="X98" s="18">
        <f t="shared" si="9"/>
        <v>31698.799999999996</v>
      </c>
    </row>
    <row r="99" spans="1:27" ht="24.75" x14ac:dyDescent="0.25">
      <c r="A99" s="9" t="s">
        <v>505</v>
      </c>
      <c r="B99" s="25" t="s">
        <v>259</v>
      </c>
      <c r="C99" s="25" t="s">
        <v>260</v>
      </c>
      <c r="D99" s="19">
        <v>35368.699999999997</v>
      </c>
      <c r="E99" s="19"/>
      <c r="F99" s="18">
        <f t="shared" si="0"/>
        <v>35368.699999999997</v>
      </c>
      <c r="G99" s="19"/>
      <c r="H99" s="18">
        <f t="shared" si="1"/>
        <v>35368.699999999997</v>
      </c>
      <c r="I99" s="19"/>
      <c r="J99" s="18">
        <f t="shared" si="2"/>
        <v>35368.699999999997</v>
      </c>
      <c r="K99" s="19"/>
      <c r="L99" s="18">
        <f t="shared" si="3"/>
        <v>35368.699999999997</v>
      </c>
      <c r="M99" s="19"/>
      <c r="N99" s="18">
        <f t="shared" si="4"/>
        <v>35368.699999999997</v>
      </c>
      <c r="O99" s="19"/>
      <c r="P99" s="18">
        <f t="shared" si="5"/>
        <v>35368.699999999997</v>
      </c>
      <c r="Q99" s="19"/>
      <c r="R99" s="18">
        <f t="shared" si="6"/>
        <v>35368.699999999997</v>
      </c>
      <c r="S99" s="64"/>
      <c r="T99" s="18">
        <f t="shared" si="7"/>
        <v>35368.699999999997</v>
      </c>
      <c r="U99" s="64"/>
      <c r="V99" s="18">
        <f t="shared" si="8"/>
        <v>35368.699999999997</v>
      </c>
      <c r="W99" s="44">
        <v>-3669.9</v>
      </c>
      <c r="X99" s="18">
        <f t="shared" si="9"/>
        <v>31698.799999999996</v>
      </c>
      <c r="Y99" s="43">
        <f>-1943.6-1671.6-54.7</f>
        <v>-3669.8999999999996</v>
      </c>
      <c r="Z99" s="43">
        <f>X99+Y99</f>
        <v>28028.899999999994</v>
      </c>
      <c r="AA99" s="43"/>
    </row>
    <row r="100" spans="1:27" x14ac:dyDescent="0.25">
      <c r="A100" s="56" t="s">
        <v>682</v>
      </c>
      <c r="B100" s="29" t="s">
        <v>684</v>
      </c>
      <c r="C100" s="27"/>
      <c r="D100" s="19"/>
      <c r="E100" s="19"/>
      <c r="F100" s="18"/>
      <c r="G100" s="19"/>
      <c r="H100" s="18"/>
      <c r="I100" s="20">
        <f>I101</f>
        <v>85.1</v>
      </c>
      <c r="J100" s="18">
        <f t="shared" si="2"/>
        <v>85.1</v>
      </c>
      <c r="K100" s="20">
        <f>K101</f>
        <v>0</v>
      </c>
      <c r="L100" s="18">
        <f t="shared" si="3"/>
        <v>85.1</v>
      </c>
      <c r="M100" s="20">
        <f>M101</f>
        <v>0</v>
      </c>
      <c r="N100" s="18">
        <f t="shared" si="4"/>
        <v>85.1</v>
      </c>
      <c r="O100" s="20">
        <f>O101</f>
        <v>0</v>
      </c>
      <c r="P100" s="18">
        <f t="shared" si="5"/>
        <v>85.1</v>
      </c>
      <c r="Q100" s="20">
        <f>Q101</f>
        <v>0</v>
      </c>
      <c r="R100" s="18">
        <f t="shared" si="6"/>
        <v>85.1</v>
      </c>
      <c r="S100" s="20">
        <f>S101+S104</f>
        <v>65</v>
      </c>
      <c r="T100" s="18">
        <f t="shared" si="7"/>
        <v>150.1</v>
      </c>
      <c r="U100" s="20">
        <f>U101+U104</f>
        <v>0</v>
      </c>
      <c r="V100" s="18">
        <f t="shared" si="8"/>
        <v>150.1</v>
      </c>
      <c r="W100" s="20">
        <f>W101+W104</f>
        <v>30</v>
      </c>
      <c r="X100" s="18">
        <f t="shared" si="9"/>
        <v>180.1</v>
      </c>
    </row>
    <row r="101" spans="1:27" ht="24" x14ac:dyDescent="0.25">
      <c r="A101" s="89" t="s">
        <v>683</v>
      </c>
      <c r="B101" s="29" t="s">
        <v>685</v>
      </c>
      <c r="C101" s="31"/>
      <c r="D101" s="19"/>
      <c r="E101" s="19"/>
      <c r="F101" s="18"/>
      <c r="G101" s="19"/>
      <c r="H101" s="18"/>
      <c r="I101" s="20">
        <f>I102+I103</f>
        <v>85.1</v>
      </c>
      <c r="J101" s="18">
        <f t="shared" si="2"/>
        <v>85.1</v>
      </c>
      <c r="K101" s="20">
        <f>K102+K103</f>
        <v>0</v>
      </c>
      <c r="L101" s="18">
        <f t="shared" si="3"/>
        <v>85.1</v>
      </c>
      <c r="M101" s="20">
        <f>M102+M103</f>
        <v>0</v>
      </c>
      <c r="N101" s="18">
        <f t="shared" si="4"/>
        <v>85.1</v>
      </c>
      <c r="O101" s="20">
        <f>O102+O103</f>
        <v>0</v>
      </c>
      <c r="P101" s="18">
        <f t="shared" si="5"/>
        <v>85.1</v>
      </c>
      <c r="Q101" s="20">
        <f>Q102+Q103</f>
        <v>0</v>
      </c>
      <c r="R101" s="18">
        <f t="shared" si="6"/>
        <v>85.1</v>
      </c>
      <c r="S101" s="20">
        <f>S102+S103</f>
        <v>0</v>
      </c>
      <c r="T101" s="18">
        <f t="shared" si="7"/>
        <v>85.1</v>
      </c>
      <c r="U101" s="20">
        <f>U102+U103</f>
        <v>0</v>
      </c>
      <c r="V101" s="18">
        <f t="shared" si="8"/>
        <v>85.1</v>
      </c>
      <c r="W101" s="20">
        <f>W102+W103</f>
        <v>0</v>
      </c>
      <c r="X101" s="18">
        <f t="shared" si="9"/>
        <v>85.1</v>
      </c>
    </row>
    <row r="102" spans="1:27" x14ac:dyDescent="0.25">
      <c r="A102" s="57" t="s">
        <v>511</v>
      </c>
      <c r="B102" s="31" t="s">
        <v>685</v>
      </c>
      <c r="C102" s="60" t="s">
        <v>66</v>
      </c>
      <c r="D102" s="19"/>
      <c r="E102" s="19"/>
      <c r="F102" s="18"/>
      <c r="G102" s="19"/>
      <c r="H102" s="18"/>
      <c r="I102" s="45">
        <v>75.599999999999994</v>
      </c>
      <c r="J102" s="18">
        <f t="shared" si="2"/>
        <v>75.599999999999994</v>
      </c>
      <c r="K102" s="64"/>
      <c r="L102" s="18">
        <f t="shared" si="3"/>
        <v>75.599999999999994</v>
      </c>
      <c r="M102" s="64"/>
      <c r="N102" s="18">
        <f t="shared" si="4"/>
        <v>75.599999999999994</v>
      </c>
      <c r="O102" s="64"/>
      <c r="P102" s="18">
        <f t="shared" si="5"/>
        <v>75.599999999999994</v>
      </c>
      <c r="Q102" s="64"/>
      <c r="R102" s="18">
        <f t="shared" si="6"/>
        <v>75.599999999999994</v>
      </c>
      <c r="S102" s="64"/>
      <c r="T102" s="18">
        <f t="shared" si="7"/>
        <v>75.599999999999994</v>
      </c>
      <c r="U102" s="64"/>
      <c r="V102" s="18">
        <f t="shared" si="8"/>
        <v>75.599999999999994</v>
      </c>
      <c r="W102" s="64"/>
      <c r="X102" s="18">
        <f t="shared" si="9"/>
        <v>75.599999999999994</v>
      </c>
      <c r="Z102" s="43">
        <f t="shared" ref="Z102:Z103" si="27">X102+Y102</f>
        <v>75.599999999999994</v>
      </c>
      <c r="AA102" s="43"/>
    </row>
    <row r="103" spans="1:27" x14ac:dyDescent="0.25">
      <c r="A103" s="57" t="s">
        <v>266</v>
      </c>
      <c r="B103" s="31" t="s">
        <v>685</v>
      </c>
      <c r="C103" s="60" t="s">
        <v>267</v>
      </c>
      <c r="D103" s="19"/>
      <c r="E103" s="19"/>
      <c r="F103" s="18"/>
      <c r="G103" s="19"/>
      <c r="H103" s="18"/>
      <c r="I103" s="45">
        <v>9.5</v>
      </c>
      <c r="J103" s="18">
        <f t="shared" si="2"/>
        <v>9.5</v>
      </c>
      <c r="K103" s="64"/>
      <c r="L103" s="18">
        <f t="shared" si="3"/>
        <v>9.5</v>
      </c>
      <c r="M103" s="64"/>
      <c r="N103" s="18">
        <f t="shared" si="4"/>
        <v>9.5</v>
      </c>
      <c r="O103" s="64"/>
      <c r="P103" s="18">
        <f t="shared" si="5"/>
        <v>9.5</v>
      </c>
      <c r="Q103" s="64"/>
      <c r="R103" s="18">
        <f t="shared" si="6"/>
        <v>9.5</v>
      </c>
      <c r="S103" s="64"/>
      <c r="T103" s="18">
        <f t="shared" si="7"/>
        <v>9.5</v>
      </c>
      <c r="U103" s="64"/>
      <c r="V103" s="18">
        <f t="shared" si="8"/>
        <v>9.5</v>
      </c>
      <c r="W103" s="64"/>
      <c r="X103" s="18">
        <f t="shared" si="9"/>
        <v>9.5</v>
      </c>
      <c r="Z103" s="43">
        <f t="shared" si="27"/>
        <v>9.5</v>
      </c>
      <c r="AA103" s="43"/>
    </row>
    <row r="104" spans="1:27" x14ac:dyDescent="0.25">
      <c r="A104" s="33" t="s">
        <v>1143</v>
      </c>
      <c r="B104" s="29" t="s">
        <v>1144</v>
      </c>
      <c r="C104" s="27"/>
      <c r="D104" s="19"/>
      <c r="E104" s="19"/>
      <c r="F104" s="18"/>
      <c r="G104" s="19"/>
      <c r="H104" s="18"/>
      <c r="I104" s="45"/>
      <c r="J104" s="18"/>
      <c r="K104" s="64"/>
      <c r="L104" s="18"/>
      <c r="M104" s="64"/>
      <c r="N104" s="18"/>
      <c r="O104" s="64"/>
      <c r="P104" s="18"/>
      <c r="Q104" s="64"/>
      <c r="R104" s="18"/>
      <c r="S104" s="47">
        <f>S105</f>
        <v>65</v>
      </c>
      <c r="T104" s="18">
        <f t="shared" si="7"/>
        <v>65</v>
      </c>
      <c r="U104" s="47">
        <f>U105</f>
        <v>0</v>
      </c>
      <c r="V104" s="18">
        <f t="shared" si="8"/>
        <v>65</v>
      </c>
      <c r="W104" s="47">
        <f>W105</f>
        <v>30</v>
      </c>
      <c r="X104" s="18">
        <f t="shared" si="9"/>
        <v>95</v>
      </c>
    </row>
    <row r="105" spans="1:27" x14ac:dyDescent="0.25">
      <c r="A105" s="51" t="s">
        <v>511</v>
      </c>
      <c r="B105" s="31" t="s">
        <v>1144</v>
      </c>
      <c r="C105" s="27" t="s">
        <v>66</v>
      </c>
      <c r="D105" s="19"/>
      <c r="E105" s="19"/>
      <c r="F105" s="18"/>
      <c r="G105" s="19"/>
      <c r="H105" s="18"/>
      <c r="I105" s="45"/>
      <c r="J105" s="18"/>
      <c r="K105" s="64"/>
      <c r="L105" s="18"/>
      <c r="M105" s="64"/>
      <c r="N105" s="18"/>
      <c r="O105" s="64"/>
      <c r="P105" s="18"/>
      <c r="Q105" s="64"/>
      <c r="R105" s="18"/>
      <c r="S105" s="44">
        <v>65</v>
      </c>
      <c r="T105" s="18">
        <f t="shared" si="7"/>
        <v>65</v>
      </c>
      <c r="U105" s="64"/>
      <c r="V105" s="18">
        <f t="shared" si="8"/>
        <v>65</v>
      </c>
      <c r="W105" s="44">
        <v>30</v>
      </c>
      <c r="X105" s="18">
        <f t="shared" si="9"/>
        <v>95</v>
      </c>
      <c r="Y105" s="43">
        <v>30</v>
      </c>
      <c r="Z105" s="43">
        <f>X105+Y105</f>
        <v>125</v>
      </c>
      <c r="AA105" s="43"/>
    </row>
    <row r="106" spans="1:27" ht="14.25" customHeight="1" x14ac:dyDescent="0.25">
      <c r="A106" s="13" t="s">
        <v>62</v>
      </c>
      <c r="B106" s="24" t="s">
        <v>63</v>
      </c>
      <c r="C106" s="24" t="s">
        <v>2</v>
      </c>
      <c r="D106" s="18">
        <f>D107+D125+D133+D176+D183</f>
        <v>500693.29999999993</v>
      </c>
      <c r="E106" s="18">
        <f>E107+E125+E133+E176+E183</f>
        <v>535767.4</v>
      </c>
      <c r="F106" s="18">
        <f t="shared" si="0"/>
        <v>1036460.7</v>
      </c>
      <c r="G106" s="18">
        <f>G107+G125+G133+G176+G183</f>
        <v>-52680.7</v>
      </c>
      <c r="H106" s="18">
        <f t="shared" si="1"/>
        <v>983780</v>
      </c>
      <c r="I106" s="18">
        <f>I107+I125+I133+I176+I183+I187</f>
        <v>131364</v>
      </c>
      <c r="J106" s="18">
        <f t="shared" si="2"/>
        <v>1115144</v>
      </c>
      <c r="K106" s="18">
        <f>K107+K125+K133+K176+K183+K187</f>
        <v>65443.899999999994</v>
      </c>
      <c r="L106" s="18">
        <f t="shared" si="3"/>
        <v>1180587.8999999999</v>
      </c>
      <c r="M106" s="18">
        <f>M107+M125+M133+M176+M183+M187+M189</f>
        <v>-7714.2999999999956</v>
      </c>
      <c r="N106" s="18">
        <f t="shared" si="4"/>
        <v>1172873.5999999999</v>
      </c>
      <c r="O106" s="18">
        <f>O107+O125+O133+O176+O183+O187+O189</f>
        <v>5703.0000000000018</v>
      </c>
      <c r="P106" s="18">
        <f t="shared" si="5"/>
        <v>1178576.5999999999</v>
      </c>
      <c r="Q106" s="18">
        <f>Q107+Q125+Q133+Q176+Q183+Q187+Q189</f>
        <v>5709</v>
      </c>
      <c r="R106" s="18">
        <f t="shared" si="6"/>
        <v>1184285.5999999999</v>
      </c>
      <c r="S106" s="18">
        <f>S107+S125+S133+S176+S183+S187+S189</f>
        <v>3376.8999999999996</v>
      </c>
      <c r="T106" s="18">
        <f t="shared" si="7"/>
        <v>1187662.4999999998</v>
      </c>
      <c r="U106" s="18">
        <f>U107+U125+U133+U176+U183+U187+U189</f>
        <v>-2846.2999999999993</v>
      </c>
      <c r="V106" s="18">
        <f t="shared" si="8"/>
        <v>1184816.1999999997</v>
      </c>
      <c r="W106" s="18">
        <f>W107+W125+W133+W176+W183+W187+W189</f>
        <v>-17107.600000000002</v>
      </c>
      <c r="X106" s="18">
        <f t="shared" si="9"/>
        <v>1167708.5999999996</v>
      </c>
    </row>
    <row r="107" spans="1:27" x14ac:dyDescent="0.25">
      <c r="A107" s="13" t="s">
        <v>261</v>
      </c>
      <c r="B107" s="24" t="s">
        <v>262</v>
      </c>
      <c r="C107" s="24" t="s">
        <v>2</v>
      </c>
      <c r="D107" s="18">
        <f>D111+D119+D122</f>
        <v>47977.600000000006</v>
      </c>
      <c r="E107" s="18">
        <f>E111+E119+E122</f>
        <v>-30551</v>
      </c>
      <c r="F107" s="18">
        <f t="shared" si="0"/>
        <v>17426.600000000006</v>
      </c>
      <c r="G107" s="18">
        <f>G111+G119+G122</f>
        <v>0</v>
      </c>
      <c r="H107" s="18">
        <f t="shared" si="1"/>
        <v>17426.600000000006</v>
      </c>
      <c r="I107" s="18">
        <f>I111+I119+I122</f>
        <v>0</v>
      </c>
      <c r="J107" s="18">
        <f t="shared" si="2"/>
        <v>17426.600000000006</v>
      </c>
      <c r="K107" s="18">
        <f>K111+K119+K122</f>
        <v>0</v>
      </c>
      <c r="L107" s="18">
        <f t="shared" si="3"/>
        <v>17426.600000000006</v>
      </c>
      <c r="M107" s="18">
        <f>M111+M119+M122</f>
        <v>3915.8</v>
      </c>
      <c r="N107" s="18">
        <f t="shared" si="4"/>
        <v>21342.400000000005</v>
      </c>
      <c r="O107" s="18">
        <f>O111+O119+O122</f>
        <v>0</v>
      </c>
      <c r="P107" s="18">
        <f t="shared" si="5"/>
        <v>21342.400000000005</v>
      </c>
      <c r="Q107" s="18">
        <f>Q111+Q119+Q122+Q108</f>
        <v>112.60000000000028</v>
      </c>
      <c r="R107" s="18">
        <f t="shared" si="6"/>
        <v>21455.000000000004</v>
      </c>
      <c r="S107" s="18">
        <f>S111+S119+S122+S108</f>
        <v>-30.000000000000007</v>
      </c>
      <c r="T107" s="18">
        <f t="shared" si="7"/>
        <v>21425.000000000004</v>
      </c>
      <c r="U107" s="18">
        <f>U111+U119+U122+U108+U116</f>
        <v>-612</v>
      </c>
      <c r="V107" s="18">
        <f t="shared" si="8"/>
        <v>20813.000000000004</v>
      </c>
      <c r="W107" s="18">
        <f>W111+W119+W122+W108+W116</f>
        <v>149.69999999999999</v>
      </c>
      <c r="X107" s="18">
        <f t="shared" si="9"/>
        <v>20962.700000000004</v>
      </c>
    </row>
    <row r="108" spans="1:27" x14ac:dyDescent="0.25">
      <c r="A108" s="33" t="s">
        <v>662</v>
      </c>
      <c r="B108" s="26" t="s">
        <v>1135</v>
      </c>
      <c r="C108" s="26" t="s">
        <v>2</v>
      </c>
      <c r="D108" s="18"/>
      <c r="E108" s="18"/>
      <c r="F108" s="18"/>
      <c r="G108" s="18"/>
      <c r="H108" s="18"/>
      <c r="I108" s="18"/>
      <c r="J108" s="18"/>
      <c r="K108" s="18"/>
      <c r="L108" s="18"/>
      <c r="M108" s="18"/>
      <c r="N108" s="18"/>
      <c r="O108" s="18"/>
      <c r="P108" s="18"/>
      <c r="Q108" s="20">
        <f>Q109+Q110</f>
        <v>142.4</v>
      </c>
      <c r="R108" s="18">
        <f t="shared" si="6"/>
        <v>142.4</v>
      </c>
      <c r="S108" s="20">
        <f>S109+S110</f>
        <v>0</v>
      </c>
      <c r="T108" s="18">
        <f t="shared" si="7"/>
        <v>142.4</v>
      </c>
      <c r="U108" s="20">
        <f>U109+U110</f>
        <v>0</v>
      </c>
      <c r="V108" s="18">
        <f t="shared" si="8"/>
        <v>142.4</v>
      </c>
      <c r="W108" s="20">
        <f>W109+W110</f>
        <v>0</v>
      </c>
      <c r="X108" s="18">
        <f t="shared" si="9"/>
        <v>142.4</v>
      </c>
    </row>
    <row r="109" spans="1:27" x14ac:dyDescent="0.25">
      <c r="A109" s="8" t="s">
        <v>498</v>
      </c>
      <c r="B109" s="27" t="s">
        <v>1135</v>
      </c>
      <c r="C109" s="27" t="s">
        <v>8</v>
      </c>
      <c r="D109" s="18"/>
      <c r="E109" s="18"/>
      <c r="F109" s="18"/>
      <c r="G109" s="18"/>
      <c r="H109" s="18"/>
      <c r="I109" s="18"/>
      <c r="J109" s="18"/>
      <c r="K109" s="18"/>
      <c r="L109" s="18"/>
      <c r="M109" s="18"/>
      <c r="N109" s="18"/>
      <c r="O109" s="18"/>
      <c r="P109" s="18"/>
      <c r="Q109" s="45">
        <v>109.4</v>
      </c>
      <c r="R109" s="18">
        <f t="shared" si="6"/>
        <v>109.4</v>
      </c>
      <c r="S109" s="64"/>
      <c r="T109" s="18">
        <f t="shared" si="7"/>
        <v>109.4</v>
      </c>
      <c r="U109" s="64"/>
      <c r="V109" s="18">
        <f t="shared" si="8"/>
        <v>109.4</v>
      </c>
      <c r="W109" s="64"/>
      <c r="X109" s="18">
        <f t="shared" si="9"/>
        <v>109.4</v>
      </c>
      <c r="Z109" s="43">
        <f t="shared" ref="Z109:Z110" si="28">X109+Y109</f>
        <v>109.4</v>
      </c>
      <c r="AA109" s="43"/>
    </row>
    <row r="110" spans="1:27" ht="36.75" x14ac:dyDescent="0.25">
      <c r="A110" s="8" t="s">
        <v>500</v>
      </c>
      <c r="B110" s="27" t="s">
        <v>1135</v>
      </c>
      <c r="C110" s="27" t="s">
        <v>9</v>
      </c>
      <c r="D110" s="18"/>
      <c r="E110" s="18"/>
      <c r="F110" s="18"/>
      <c r="G110" s="18"/>
      <c r="H110" s="18"/>
      <c r="I110" s="18"/>
      <c r="J110" s="18"/>
      <c r="K110" s="18"/>
      <c r="L110" s="18"/>
      <c r="M110" s="18"/>
      <c r="N110" s="18"/>
      <c r="O110" s="18"/>
      <c r="P110" s="18"/>
      <c r="Q110" s="45">
        <v>33</v>
      </c>
      <c r="R110" s="18">
        <f t="shared" si="6"/>
        <v>33</v>
      </c>
      <c r="S110" s="64"/>
      <c r="T110" s="18">
        <f t="shared" si="7"/>
        <v>33</v>
      </c>
      <c r="U110" s="64"/>
      <c r="V110" s="18">
        <f t="shared" si="8"/>
        <v>33</v>
      </c>
      <c r="W110" s="64"/>
      <c r="X110" s="18">
        <f t="shared" si="9"/>
        <v>33</v>
      </c>
      <c r="Z110" s="43">
        <f t="shared" si="28"/>
        <v>33</v>
      </c>
      <c r="AA110" s="43"/>
    </row>
    <row r="111" spans="1:27" x14ac:dyDescent="0.25">
      <c r="A111" s="13" t="s">
        <v>44</v>
      </c>
      <c r="B111" s="24" t="s">
        <v>334</v>
      </c>
      <c r="C111" s="24" t="s">
        <v>2</v>
      </c>
      <c r="D111" s="18">
        <f>D112+D113+D114+D115</f>
        <v>8999.7000000000007</v>
      </c>
      <c r="E111" s="18">
        <f>E112+E113+E114+E115</f>
        <v>0</v>
      </c>
      <c r="F111" s="18">
        <f t="shared" si="0"/>
        <v>8999.7000000000007</v>
      </c>
      <c r="G111" s="18">
        <f>G112+G113+G114+G115</f>
        <v>0</v>
      </c>
      <c r="H111" s="18">
        <f t="shared" si="1"/>
        <v>8999.7000000000007</v>
      </c>
      <c r="I111" s="18">
        <f>I112+I113+I114+I115</f>
        <v>0</v>
      </c>
      <c r="J111" s="18">
        <f t="shared" si="2"/>
        <v>8999.7000000000007</v>
      </c>
      <c r="K111" s="18">
        <f>K112+K113+K114+K115</f>
        <v>0</v>
      </c>
      <c r="L111" s="18">
        <f t="shared" si="3"/>
        <v>8999.7000000000007</v>
      </c>
      <c r="M111" s="18">
        <f>M112+M113+M114+M115</f>
        <v>0</v>
      </c>
      <c r="N111" s="18">
        <f t="shared" si="4"/>
        <v>8999.7000000000007</v>
      </c>
      <c r="O111" s="18">
        <f>O112+O113+O114+O115</f>
        <v>0</v>
      </c>
      <c r="P111" s="18">
        <f t="shared" si="5"/>
        <v>8999.7000000000007</v>
      </c>
      <c r="Q111" s="18">
        <f>Q112+Q113+Q114+Q115</f>
        <v>-29.8</v>
      </c>
      <c r="R111" s="18">
        <f t="shared" si="6"/>
        <v>8969.9000000000015</v>
      </c>
      <c r="S111" s="18">
        <f>S112+S113+S114+S115</f>
        <v>-30.000000000000007</v>
      </c>
      <c r="T111" s="18">
        <f t="shared" si="7"/>
        <v>8939.9000000000015</v>
      </c>
      <c r="U111" s="18">
        <f>U112+U113+U114+U115</f>
        <v>-703.3</v>
      </c>
      <c r="V111" s="18">
        <f t="shared" si="8"/>
        <v>8236.6000000000022</v>
      </c>
      <c r="W111" s="18">
        <f>W112+W113+W114+W115</f>
        <v>149.69999999999999</v>
      </c>
      <c r="X111" s="18">
        <f t="shared" si="9"/>
        <v>8386.3000000000029</v>
      </c>
    </row>
    <row r="112" spans="1:27" x14ac:dyDescent="0.25">
      <c r="A112" s="7" t="s">
        <v>498</v>
      </c>
      <c r="B112" s="25" t="s">
        <v>334</v>
      </c>
      <c r="C112" s="25" t="s">
        <v>8</v>
      </c>
      <c r="D112" s="19">
        <v>6480</v>
      </c>
      <c r="E112" s="19"/>
      <c r="F112" s="18">
        <f t="shared" si="0"/>
        <v>6480</v>
      </c>
      <c r="G112" s="19"/>
      <c r="H112" s="18">
        <f t="shared" si="1"/>
        <v>6480</v>
      </c>
      <c r="I112" s="19"/>
      <c r="J112" s="18">
        <f t="shared" si="2"/>
        <v>6480</v>
      </c>
      <c r="K112" s="106">
        <v>18</v>
      </c>
      <c r="L112" s="18">
        <f t="shared" si="3"/>
        <v>6498</v>
      </c>
      <c r="M112" s="64"/>
      <c r="N112" s="18">
        <f t="shared" si="4"/>
        <v>6498</v>
      </c>
      <c r="O112" s="64"/>
      <c r="P112" s="18">
        <f t="shared" si="5"/>
        <v>6498</v>
      </c>
      <c r="Q112" s="64"/>
      <c r="R112" s="18">
        <f t="shared" si="6"/>
        <v>6498</v>
      </c>
      <c r="S112" s="64"/>
      <c r="T112" s="18">
        <f t="shared" si="7"/>
        <v>6498</v>
      </c>
      <c r="U112" s="96">
        <v>-510</v>
      </c>
      <c r="V112" s="18">
        <f t="shared" si="8"/>
        <v>5988</v>
      </c>
      <c r="W112" s="64"/>
      <c r="X112" s="18">
        <f t="shared" si="9"/>
        <v>5988</v>
      </c>
      <c r="Z112" s="43">
        <f t="shared" ref="Z112:Z115" si="29">X112+Y112</f>
        <v>5988</v>
      </c>
      <c r="AA112" s="43"/>
    </row>
    <row r="113" spans="1:27" ht="28.5" customHeight="1" x14ac:dyDescent="0.25">
      <c r="A113" s="9" t="s">
        <v>500</v>
      </c>
      <c r="B113" s="25" t="s">
        <v>334</v>
      </c>
      <c r="C113" s="25" t="s">
        <v>9</v>
      </c>
      <c r="D113" s="19">
        <v>1959.7</v>
      </c>
      <c r="E113" s="19"/>
      <c r="F113" s="18">
        <f t="shared" si="0"/>
        <v>1959.7</v>
      </c>
      <c r="G113" s="19"/>
      <c r="H113" s="18">
        <f t="shared" si="1"/>
        <v>1959.7</v>
      </c>
      <c r="I113" s="19"/>
      <c r="J113" s="18">
        <f t="shared" si="2"/>
        <v>1959.7</v>
      </c>
      <c r="K113" s="106">
        <v>-18</v>
      </c>
      <c r="L113" s="18">
        <f t="shared" si="3"/>
        <v>1941.7</v>
      </c>
      <c r="M113" s="64"/>
      <c r="N113" s="18">
        <f t="shared" si="4"/>
        <v>1941.7</v>
      </c>
      <c r="O113" s="64"/>
      <c r="P113" s="18">
        <f t="shared" si="5"/>
        <v>1941.7</v>
      </c>
      <c r="Q113" s="64"/>
      <c r="R113" s="18">
        <f t="shared" si="6"/>
        <v>1941.7</v>
      </c>
      <c r="S113" s="64"/>
      <c r="T113" s="18">
        <f t="shared" si="7"/>
        <v>1941.7</v>
      </c>
      <c r="U113" s="121"/>
      <c r="V113" s="18">
        <f t="shared" si="8"/>
        <v>1941.7</v>
      </c>
      <c r="W113" s="121"/>
      <c r="X113" s="18">
        <f t="shared" si="9"/>
        <v>1941.7</v>
      </c>
      <c r="Z113" s="43">
        <f t="shared" si="29"/>
        <v>1941.7</v>
      </c>
      <c r="AA113" s="43"/>
    </row>
    <row r="114" spans="1:27" ht="15" customHeight="1" x14ac:dyDescent="0.25">
      <c r="A114" s="9" t="s">
        <v>501</v>
      </c>
      <c r="B114" s="25" t="s">
        <v>334</v>
      </c>
      <c r="C114" s="25" t="s">
        <v>33</v>
      </c>
      <c r="D114" s="19">
        <v>150</v>
      </c>
      <c r="E114" s="19"/>
      <c r="F114" s="18">
        <f t="shared" ref="F114:F243" si="30">D114+E114</f>
        <v>150</v>
      </c>
      <c r="G114" s="19"/>
      <c r="H114" s="18">
        <f t="shared" ref="H114:H243" si="31">F114+G114</f>
        <v>150</v>
      </c>
      <c r="I114" s="19"/>
      <c r="J114" s="18">
        <f t="shared" ref="J114:J243" si="32">H114+I114</f>
        <v>150</v>
      </c>
      <c r="K114" s="106">
        <v>1</v>
      </c>
      <c r="L114" s="18">
        <f t="shared" ref="L114:L243" si="33">J114+K114</f>
        <v>151</v>
      </c>
      <c r="M114" s="62">
        <v>84.6</v>
      </c>
      <c r="N114" s="18">
        <f t="shared" ref="N114:N243" si="34">L114+M114</f>
        <v>235.6</v>
      </c>
      <c r="O114" s="64"/>
      <c r="P114" s="18">
        <f t="shared" ref="P114:P243" si="35">N114+O114</f>
        <v>235.6</v>
      </c>
      <c r="Q114" s="64"/>
      <c r="R114" s="18">
        <f t="shared" ref="R114:R243" si="36">P114+Q114</f>
        <v>235.6</v>
      </c>
      <c r="S114" s="62">
        <v>-64.400000000000006</v>
      </c>
      <c r="T114" s="18">
        <f t="shared" ref="T114:T243" si="37">R114+S114</f>
        <v>171.2</v>
      </c>
      <c r="U114" s="44">
        <f>-100+65</f>
        <v>-35</v>
      </c>
      <c r="V114" s="18">
        <f t="shared" ref="V114:V243" si="38">T114+U114</f>
        <v>136.19999999999999</v>
      </c>
      <c r="W114" s="112">
        <f>100-25</f>
        <v>75</v>
      </c>
      <c r="X114" s="18">
        <f t="shared" ref="X114:X243" si="39">V114+W114</f>
        <v>211.2</v>
      </c>
      <c r="Y114" s="43">
        <v>-25</v>
      </c>
      <c r="Z114" s="43">
        <f t="shared" si="29"/>
        <v>186.2</v>
      </c>
      <c r="AA114" s="43"/>
    </row>
    <row r="115" spans="1:27" x14ac:dyDescent="0.25">
      <c r="A115" s="7" t="s">
        <v>54</v>
      </c>
      <c r="B115" s="25" t="s">
        <v>334</v>
      </c>
      <c r="C115" s="25" t="s">
        <v>34</v>
      </c>
      <c r="D115" s="19">
        <v>410</v>
      </c>
      <c r="E115" s="19"/>
      <c r="F115" s="18">
        <f t="shared" si="30"/>
        <v>410</v>
      </c>
      <c r="G115" s="19"/>
      <c r="H115" s="18">
        <f t="shared" si="31"/>
        <v>410</v>
      </c>
      <c r="I115" s="19"/>
      <c r="J115" s="18">
        <f t="shared" si="32"/>
        <v>410</v>
      </c>
      <c r="K115" s="106">
        <v>-1</v>
      </c>
      <c r="L115" s="18">
        <f t="shared" si="33"/>
        <v>409</v>
      </c>
      <c r="M115" s="62">
        <v>-84.6</v>
      </c>
      <c r="N115" s="18">
        <f t="shared" si="34"/>
        <v>324.39999999999998</v>
      </c>
      <c r="O115" s="64"/>
      <c r="P115" s="18">
        <f t="shared" si="35"/>
        <v>324.39999999999998</v>
      </c>
      <c r="Q115" s="44">
        <v>-29.8</v>
      </c>
      <c r="R115" s="18">
        <f t="shared" si="36"/>
        <v>294.59999999999997</v>
      </c>
      <c r="S115" s="62">
        <v>34.4</v>
      </c>
      <c r="T115" s="18">
        <f t="shared" si="37"/>
        <v>328.99999999999994</v>
      </c>
      <c r="U115" s="44">
        <f>-66.9-91.4</f>
        <v>-158.30000000000001</v>
      </c>
      <c r="V115" s="18">
        <f t="shared" si="38"/>
        <v>170.69999999999993</v>
      </c>
      <c r="W115" s="112">
        <f>66.9+7.8</f>
        <v>74.7</v>
      </c>
      <c r="X115" s="18">
        <f t="shared" si="39"/>
        <v>245.39999999999992</v>
      </c>
      <c r="Y115" s="43">
        <v>7.8</v>
      </c>
      <c r="Z115" s="43">
        <f t="shared" si="29"/>
        <v>253.19999999999993</v>
      </c>
      <c r="AA115" s="43"/>
    </row>
    <row r="116" spans="1:27" x14ac:dyDescent="0.25">
      <c r="A116" s="101" t="s">
        <v>734</v>
      </c>
      <c r="B116" s="26" t="s">
        <v>1287</v>
      </c>
      <c r="C116" s="26" t="s">
        <v>2</v>
      </c>
      <c r="D116" s="19"/>
      <c r="E116" s="19"/>
      <c r="F116" s="18"/>
      <c r="G116" s="19"/>
      <c r="H116" s="18"/>
      <c r="I116" s="19"/>
      <c r="J116" s="18"/>
      <c r="K116" s="106"/>
      <c r="L116" s="18"/>
      <c r="M116" s="62"/>
      <c r="N116" s="18"/>
      <c r="O116" s="64"/>
      <c r="P116" s="18"/>
      <c r="Q116" s="44"/>
      <c r="R116" s="18"/>
      <c r="S116" s="62"/>
      <c r="T116" s="18"/>
      <c r="U116" s="47">
        <f>U117+U118</f>
        <v>91.4</v>
      </c>
      <c r="V116" s="18">
        <f t="shared" si="38"/>
        <v>91.4</v>
      </c>
      <c r="W116" s="47">
        <f>W117+W118</f>
        <v>0</v>
      </c>
      <c r="X116" s="18">
        <f t="shared" si="39"/>
        <v>91.4</v>
      </c>
    </row>
    <row r="117" spans="1:27" x14ac:dyDescent="0.25">
      <c r="A117" s="8" t="s">
        <v>498</v>
      </c>
      <c r="B117" s="27" t="s">
        <v>1287</v>
      </c>
      <c r="C117" s="27" t="s">
        <v>8</v>
      </c>
      <c r="D117" s="19"/>
      <c r="E117" s="19"/>
      <c r="F117" s="18"/>
      <c r="G117" s="19"/>
      <c r="H117" s="18"/>
      <c r="I117" s="19"/>
      <c r="J117" s="18"/>
      <c r="K117" s="106"/>
      <c r="L117" s="18"/>
      <c r="M117" s="62"/>
      <c r="N117" s="18"/>
      <c r="O117" s="64"/>
      <c r="P117" s="18"/>
      <c r="Q117" s="44"/>
      <c r="R117" s="18"/>
      <c r="S117" s="62"/>
      <c r="T117" s="18"/>
      <c r="U117" s="151">
        <v>70.2</v>
      </c>
      <c r="V117" s="18">
        <f t="shared" si="38"/>
        <v>70.2</v>
      </c>
      <c r="W117" s="64"/>
      <c r="X117" s="18">
        <f t="shared" si="39"/>
        <v>70.2</v>
      </c>
      <c r="Z117" s="43">
        <f t="shared" ref="Z117:Z118" si="40">X117+Y117</f>
        <v>70.2</v>
      </c>
      <c r="AA117" s="43"/>
    </row>
    <row r="118" spans="1:27" ht="36.75" x14ac:dyDescent="0.25">
      <c r="A118" s="8" t="s">
        <v>500</v>
      </c>
      <c r="B118" s="27" t="s">
        <v>1287</v>
      </c>
      <c r="C118" s="27" t="s">
        <v>9</v>
      </c>
      <c r="D118" s="19"/>
      <c r="E118" s="19"/>
      <c r="F118" s="18"/>
      <c r="G118" s="19"/>
      <c r="H118" s="18"/>
      <c r="I118" s="19"/>
      <c r="J118" s="18"/>
      <c r="K118" s="106"/>
      <c r="L118" s="18"/>
      <c r="M118" s="62"/>
      <c r="N118" s="18"/>
      <c r="O118" s="64"/>
      <c r="P118" s="18"/>
      <c r="Q118" s="44"/>
      <c r="R118" s="18"/>
      <c r="S118" s="62"/>
      <c r="T118" s="18"/>
      <c r="U118" s="151">
        <v>21.2</v>
      </c>
      <c r="V118" s="18">
        <f t="shared" si="38"/>
        <v>21.2</v>
      </c>
      <c r="W118" s="64"/>
      <c r="X118" s="18">
        <f t="shared" si="39"/>
        <v>21.2</v>
      </c>
      <c r="Z118" s="43">
        <f t="shared" si="40"/>
        <v>21.2</v>
      </c>
      <c r="AA118" s="43"/>
    </row>
    <row r="119" spans="1:27" x14ac:dyDescent="0.25">
      <c r="A119" s="13" t="s">
        <v>263</v>
      </c>
      <c r="B119" s="24" t="s">
        <v>264</v>
      </c>
      <c r="C119" s="24" t="s">
        <v>2</v>
      </c>
      <c r="D119" s="18">
        <f>D120</f>
        <v>32126.1</v>
      </c>
      <c r="E119" s="18">
        <f>E120</f>
        <v>-30551</v>
      </c>
      <c r="F119" s="18">
        <f t="shared" si="30"/>
        <v>1575.0999999999985</v>
      </c>
      <c r="G119" s="18">
        <f>G120</f>
        <v>0</v>
      </c>
      <c r="H119" s="18">
        <f t="shared" si="31"/>
        <v>1575.0999999999985</v>
      </c>
      <c r="I119" s="18">
        <f>I120</f>
        <v>0</v>
      </c>
      <c r="J119" s="18">
        <f t="shared" si="32"/>
        <v>1575.0999999999985</v>
      </c>
      <c r="K119" s="18">
        <f>K120</f>
        <v>0</v>
      </c>
      <c r="L119" s="18">
        <f t="shared" si="33"/>
        <v>1575.0999999999985</v>
      </c>
      <c r="M119" s="18">
        <f>M120</f>
        <v>2280.4</v>
      </c>
      <c r="N119" s="18">
        <f t="shared" si="34"/>
        <v>3855.4999999999986</v>
      </c>
      <c r="O119" s="18">
        <f>O120</f>
        <v>0</v>
      </c>
      <c r="P119" s="18">
        <f t="shared" si="35"/>
        <v>3855.4999999999986</v>
      </c>
      <c r="Q119" s="18">
        <f>Q120+Q121</f>
        <v>2129.3000000000002</v>
      </c>
      <c r="R119" s="18">
        <f t="shared" si="36"/>
        <v>5984.7999999999993</v>
      </c>
      <c r="S119" s="18">
        <f>S120+S121</f>
        <v>0</v>
      </c>
      <c r="T119" s="18">
        <f t="shared" si="37"/>
        <v>5984.7999999999993</v>
      </c>
      <c r="U119" s="18">
        <f>U120+U121</f>
        <v>0</v>
      </c>
      <c r="V119" s="18">
        <f t="shared" si="38"/>
        <v>5984.7999999999993</v>
      </c>
      <c r="W119" s="18">
        <f>W120+W121</f>
        <v>0</v>
      </c>
      <c r="X119" s="18">
        <f t="shared" si="39"/>
        <v>5984.7999999999993</v>
      </c>
    </row>
    <row r="120" spans="1:27" x14ac:dyDescent="0.25">
      <c r="A120" s="9" t="s">
        <v>511</v>
      </c>
      <c r="B120" s="25" t="s">
        <v>264</v>
      </c>
      <c r="C120" s="25" t="s">
        <v>66</v>
      </c>
      <c r="D120" s="19">
        <v>32126.1</v>
      </c>
      <c r="E120" s="62">
        <f>-12255-18296</f>
        <v>-30551</v>
      </c>
      <c r="F120" s="18">
        <f t="shared" si="30"/>
        <v>1575.0999999999985</v>
      </c>
      <c r="G120" s="64"/>
      <c r="H120" s="18">
        <f t="shared" si="31"/>
        <v>1575.0999999999985</v>
      </c>
      <c r="I120" s="64"/>
      <c r="J120" s="18">
        <f t="shared" si="32"/>
        <v>1575.0999999999985</v>
      </c>
      <c r="K120" s="64"/>
      <c r="L120" s="18">
        <f t="shared" si="33"/>
        <v>1575.0999999999985</v>
      </c>
      <c r="M120" s="62">
        <v>2280.4</v>
      </c>
      <c r="N120" s="18">
        <f t="shared" si="34"/>
        <v>3855.4999999999986</v>
      </c>
      <c r="O120" s="64"/>
      <c r="P120" s="18">
        <f t="shared" si="35"/>
        <v>3855.4999999999986</v>
      </c>
      <c r="Q120" s="44">
        <f>2392.4-274.1+5</f>
        <v>2123.3000000000002</v>
      </c>
      <c r="R120" s="18">
        <f t="shared" si="36"/>
        <v>5978.7999999999993</v>
      </c>
      <c r="S120" s="64"/>
      <c r="T120" s="18">
        <f t="shared" si="37"/>
        <v>5978.7999999999993</v>
      </c>
      <c r="U120" s="64"/>
      <c r="V120" s="18">
        <f t="shared" si="38"/>
        <v>5978.7999999999993</v>
      </c>
      <c r="W120" s="64"/>
      <c r="X120" s="18">
        <f t="shared" si="39"/>
        <v>5978.7999999999993</v>
      </c>
      <c r="Z120" s="43">
        <f t="shared" ref="Z120:Z121" si="41">X120+Y120</f>
        <v>5978.7999999999993</v>
      </c>
      <c r="AA120" s="43"/>
    </row>
    <row r="121" spans="1:27" x14ac:dyDescent="0.25">
      <c r="A121" s="9" t="s">
        <v>266</v>
      </c>
      <c r="B121" s="25" t="s">
        <v>264</v>
      </c>
      <c r="C121" s="25" t="s">
        <v>267</v>
      </c>
      <c r="D121" s="19"/>
      <c r="E121" s="62"/>
      <c r="F121" s="18"/>
      <c r="G121" s="64"/>
      <c r="H121" s="18"/>
      <c r="I121" s="64"/>
      <c r="J121" s="18"/>
      <c r="K121" s="64"/>
      <c r="L121" s="18"/>
      <c r="M121" s="62"/>
      <c r="N121" s="18"/>
      <c r="O121" s="64"/>
      <c r="P121" s="18"/>
      <c r="Q121" s="44">
        <f>6</f>
        <v>6</v>
      </c>
      <c r="R121" s="18">
        <f t="shared" si="36"/>
        <v>6</v>
      </c>
      <c r="S121" s="64"/>
      <c r="T121" s="18">
        <f t="shared" si="37"/>
        <v>6</v>
      </c>
      <c r="U121" s="64"/>
      <c r="V121" s="18">
        <f t="shared" si="38"/>
        <v>6</v>
      </c>
      <c r="W121" s="64"/>
      <c r="X121" s="18">
        <f t="shared" si="39"/>
        <v>6</v>
      </c>
      <c r="Z121" s="43">
        <f t="shared" si="41"/>
        <v>6</v>
      </c>
      <c r="AA121" s="43"/>
    </row>
    <row r="122" spans="1:27" x14ac:dyDescent="0.25">
      <c r="A122" s="13" t="s">
        <v>41</v>
      </c>
      <c r="B122" s="24" t="s">
        <v>265</v>
      </c>
      <c r="C122" s="24" t="s">
        <v>2</v>
      </c>
      <c r="D122" s="18">
        <f>D123+D124</f>
        <v>6851.8</v>
      </c>
      <c r="E122" s="18">
        <f>E123+E124</f>
        <v>0</v>
      </c>
      <c r="F122" s="18">
        <f t="shared" si="30"/>
        <v>6851.8</v>
      </c>
      <c r="G122" s="18">
        <f>G123+G124</f>
        <v>0</v>
      </c>
      <c r="H122" s="18">
        <f t="shared" si="31"/>
        <v>6851.8</v>
      </c>
      <c r="I122" s="18">
        <f>I123+I124</f>
        <v>0</v>
      </c>
      <c r="J122" s="18">
        <f t="shared" si="32"/>
        <v>6851.8</v>
      </c>
      <c r="K122" s="18">
        <f>K123+K124</f>
        <v>0</v>
      </c>
      <c r="L122" s="18">
        <f t="shared" si="33"/>
        <v>6851.8</v>
      </c>
      <c r="M122" s="18">
        <f>M123+M124</f>
        <v>1635.4</v>
      </c>
      <c r="N122" s="18">
        <f t="shared" si="34"/>
        <v>8487.2000000000007</v>
      </c>
      <c r="O122" s="18">
        <f>O123+O124</f>
        <v>0</v>
      </c>
      <c r="P122" s="18">
        <f t="shared" si="35"/>
        <v>8487.2000000000007</v>
      </c>
      <c r="Q122" s="18">
        <f>Q123+Q124</f>
        <v>-2129.2999999999997</v>
      </c>
      <c r="R122" s="18">
        <f t="shared" si="36"/>
        <v>6357.9000000000015</v>
      </c>
      <c r="S122" s="18">
        <f>S123+S124</f>
        <v>0</v>
      </c>
      <c r="T122" s="18">
        <f t="shared" si="37"/>
        <v>6357.9000000000015</v>
      </c>
      <c r="U122" s="18">
        <f>U123+U124</f>
        <v>-0.1</v>
      </c>
      <c r="V122" s="18">
        <f t="shared" si="38"/>
        <v>6357.8000000000011</v>
      </c>
      <c r="W122" s="18">
        <f>W123+W124</f>
        <v>0</v>
      </c>
      <c r="X122" s="18">
        <f t="shared" si="39"/>
        <v>6357.8000000000011</v>
      </c>
    </row>
    <row r="123" spans="1:27" x14ac:dyDescent="0.25">
      <c r="A123" s="9" t="s">
        <v>511</v>
      </c>
      <c r="B123" s="25" t="s">
        <v>265</v>
      </c>
      <c r="C123" s="25" t="s">
        <v>66</v>
      </c>
      <c r="D123" s="19">
        <v>6121.8</v>
      </c>
      <c r="E123" s="19"/>
      <c r="F123" s="18">
        <f t="shared" si="30"/>
        <v>6121.8</v>
      </c>
      <c r="G123" s="19"/>
      <c r="H123" s="18">
        <f t="shared" si="31"/>
        <v>6121.8</v>
      </c>
      <c r="I123" s="19"/>
      <c r="J123" s="18">
        <f t="shared" si="32"/>
        <v>6121.8</v>
      </c>
      <c r="K123" s="19"/>
      <c r="L123" s="18">
        <f t="shared" si="33"/>
        <v>6121.8</v>
      </c>
      <c r="M123" s="44">
        <f>503.1+1029.8+5+27.2</f>
        <v>1565.1000000000001</v>
      </c>
      <c r="N123" s="18">
        <f t="shared" si="34"/>
        <v>7686.9000000000005</v>
      </c>
      <c r="O123" s="64"/>
      <c r="P123" s="18">
        <f t="shared" si="35"/>
        <v>7686.9000000000005</v>
      </c>
      <c r="Q123" s="44">
        <f>-797-888.1-4.1-140.2</f>
        <v>-1829.3999999999999</v>
      </c>
      <c r="R123" s="18">
        <f t="shared" si="36"/>
        <v>5857.5000000000009</v>
      </c>
      <c r="S123" s="64"/>
      <c r="T123" s="18">
        <f t="shared" si="37"/>
        <v>5857.5000000000009</v>
      </c>
      <c r="U123" s="64"/>
      <c r="V123" s="18">
        <f t="shared" si="38"/>
        <v>5857.5000000000009</v>
      </c>
      <c r="W123" s="64"/>
      <c r="X123" s="18">
        <f t="shared" si="39"/>
        <v>5857.5000000000009</v>
      </c>
      <c r="Z123" s="43">
        <f t="shared" ref="Z123:Z124" si="42">X123+Y123</f>
        <v>5857.5000000000009</v>
      </c>
      <c r="AA123" s="43"/>
    </row>
    <row r="124" spans="1:27" x14ac:dyDescent="0.25">
      <c r="A124" s="9" t="s">
        <v>266</v>
      </c>
      <c r="B124" s="25" t="s">
        <v>265</v>
      </c>
      <c r="C124" s="25" t="s">
        <v>267</v>
      </c>
      <c r="D124" s="19">
        <v>730</v>
      </c>
      <c r="E124" s="19"/>
      <c r="F124" s="18">
        <f t="shared" si="30"/>
        <v>730</v>
      </c>
      <c r="G124" s="19"/>
      <c r="H124" s="18">
        <f t="shared" si="31"/>
        <v>730</v>
      </c>
      <c r="I124" s="19"/>
      <c r="J124" s="18">
        <f t="shared" si="32"/>
        <v>730</v>
      </c>
      <c r="K124" s="19"/>
      <c r="L124" s="18">
        <f t="shared" si="33"/>
        <v>730</v>
      </c>
      <c r="M124" s="44">
        <f>17+53.3</f>
        <v>70.3</v>
      </c>
      <c r="N124" s="18">
        <f t="shared" si="34"/>
        <v>800.3</v>
      </c>
      <c r="O124" s="64"/>
      <c r="P124" s="18">
        <f t="shared" si="35"/>
        <v>800.3</v>
      </c>
      <c r="Q124" s="44">
        <f>-22.2-277.7</f>
        <v>-299.89999999999998</v>
      </c>
      <c r="R124" s="18">
        <f t="shared" si="36"/>
        <v>500.4</v>
      </c>
      <c r="S124" s="64"/>
      <c r="T124" s="18">
        <f t="shared" si="37"/>
        <v>500.4</v>
      </c>
      <c r="U124" s="96">
        <v>-0.1</v>
      </c>
      <c r="V124" s="18">
        <f t="shared" si="38"/>
        <v>500.29999999999995</v>
      </c>
      <c r="W124" s="64"/>
      <c r="X124" s="18">
        <f t="shared" si="39"/>
        <v>500.29999999999995</v>
      </c>
      <c r="Z124" s="43">
        <f t="shared" si="42"/>
        <v>500.29999999999995</v>
      </c>
      <c r="AA124" s="43"/>
    </row>
    <row r="125" spans="1:27" x14ac:dyDescent="0.25">
      <c r="A125" s="13" t="s">
        <v>64</v>
      </c>
      <c r="B125" s="24" t="s">
        <v>65</v>
      </c>
      <c r="C125" s="24" t="s">
        <v>2</v>
      </c>
      <c r="D125" s="18">
        <f>D130</f>
        <v>61995.8</v>
      </c>
      <c r="E125" s="18">
        <f>E130</f>
        <v>0</v>
      </c>
      <c r="F125" s="18">
        <f t="shared" si="30"/>
        <v>61995.8</v>
      </c>
      <c r="G125" s="18">
        <f>G130</f>
        <v>0</v>
      </c>
      <c r="H125" s="18">
        <f t="shared" si="31"/>
        <v>61995.8</v>
      </c>
      <c r="I125" s="18">
        <f>I130</f>
        <v>0</v>
      </c>
      <c r="J125" s="18">
        <f t="shared" si="32"/>
        <v>61995.8</v>
      </c>
      <c r="K125" s="18">
        <f>K130+K128</f>
        <v>3300</v>
      </c>
      <c r="L125" s="18">
        <f t="shared" si="33"/>
        <v>65295.8</v>
      </c>
      <c r="M125" s="18">
        <f>M130+M128</f>
        <v>0</v>
      </c>
      <c r="N125" s="18">
        <f t="shared" si="34"/>
        <v>65295.8</v>
      </c>
      <c r="O125" s="18">
        <f>O130+O128</f>
        <v>430</v>
      </c>
      <c r="P125" s="18">
        <f t="shared" si="35"/>
        <v>65725.8</v>
      </c>
      <c r="Q125" s="18">
        <f>Q130+Q128</f>
        <v>198.9</v>
      </c>
      <c r="R125" s="18">
        <f t="shared" si="36"/>
        <v>65924.7</v>
      </c>
      <c r="S125" s="18">
        <f>S130+S128</f>
        <v>-963.4</v>
      </c>
      <c r="T125" s="18">
        <f t="shared" si="37"/>
        <v>64961.299999999996</v>
      </c>
      <c r="U125" s="18">
        <f>U130+U128+U126</f>
        <v>84</v>
      </c>
      <c r="V125" s="18">
        <f t="shared" si="38"/>
        <v>65045.299999999996</v>
      </c>
      <c r="W125" s="18">
        <f>W130+W128+W126</f>
        <v>2996.6</v>
      </c>
      <c r="X125" s="18">
        <f t="shared" si="39"/>
        <v>68041.899999999994</v>
      </c>
    </row>
    <row r="126" spans="1:27" x14ac:dyDescent="0.25">
      <c r="A126" s="13" t="s">
        <v>662</v>
      </c>
      <c r="B126" s="24" t="s">
        <v>1300</v>
      </c>
      <c r="C126" s="24"/>
      <c r="D126" s="18"/>
      <c r="E126" s="18"/>
      <c r="F126" s="18"/>
      <c r="G126" s="18"/>
      <c r="H126" s="18"/>
      <c r="I126" s="18"/>
      <c r="J126" s="18"/>
      <c r="K126" s="18"/>
      <c r="L126" s="18"/>
      <c r="M126" s="18"/>
      <c r="N126" s="18"/>
      <c r="O126" s="18"/>
      <c r="P126" s="18"/>
      <c r="Q126" s="18"/>
      <c r="R126" s="18"/>
      <c r="S126" s="18"/>
      <c r="T126" s="18"/>
      <c r="U126" s="18">
        <f>U127</f>
        <v>84</v>
      </c>
      <c r="V126" s="18">
        <f t="shared" si="38"/>
        <v>84</v>
      </c>
      <c r="W126" s="18">
        <f>W127</f>
        <v>0</v>
      </c>
      <c r="X126" s="18">
        <f t="shared" si="39"/>
        <v>84</v>
      </c>
    </row>
    <row r="127" spans="1:27" x14ac:dyDescent="0.25">
      <c r="A127" s="8" t="s">
        <v>511</v>
      </c>
      <c r="B127" s="25" t="s">
        <v>1300</v>
      </c>
      <c r="C127" s="25" t="s">
        <v>66</v>
      </c>
      <c r="D127" s="18"/>
      <c r="E127" s="18"/>
      <c r="F127" s="18"/>
      <c r="G127" s="18"/>
      <c r="H127" s="18"/>
      <c r="I127" s="18"/>
      <c r="J127" s="18"/>
      <c r="K127" s="18"/>
      <c r="L127" s="18"/>
      <c r="M127" s="18"/>
      <c r="N127" s="18"/>
      <c r="O127" s="18"/>
      <c r="P127" s="18"/>
      <c r="Q127" s="18"/>
      <c r="R127" s="18"/>
      <c r="S127" s="18"/>
      <c r="T127" s="18"/>
      <c r="U127" s="157">
        <v>84</v>
      </c>
      <c r="V127" s="18">
        <f t="shared" si="38"/>
        <v>84</v>
      </c>
      <c r="W127" s="64"/>
      <c r="X127" s="18">
        <f t="shared" si="39"/>
        <v>84</v>
      </c>
      <c r="Z127" s="43">
        <f>X127+Y127</f>
        <v>84</v>
      </c>
      <c r="AA127" s="43"/>
    </row>
    <row r="128" spans="1:27" x14ac:dyDescent="0.25">
      <c r="A128" s="28" t="s">
        <v>561</v>
      </c>
      <c r="B128" s="29" t="s">
        <v>732</v>
      </c>
      <c r="C128" s="29"/>
      <c r="D128" s="18"/>
      <c r="E128" s="18"/>
      <c r="F128" s="18"/>
      <c r="G128" s="18"/>
      <c r="H128" s="18"/>
      <c r="I128" s="18"/>
      <c r="J128" s="18"/>
      <c r="K128" s="20">
        <f>K129</f>
        <v>3300</v>
      </c>
      <c r="L128" s="18">
        <f t="shared" si="33"/>
        <v>3300</v>
      </c>
      <c r="M128" s="20">
        <f>M129</f>
        <v>0</v>
      </c>
      <c r="N128" s="18">
        <f t="shared" si="34"/>
        <v>3300</v>
      </c>
      <c r="O128" s="20">
        <f>O129</f>
        <v>430</v>
      </c>
      <c r="P128" s="18">
        <f t="shared" si="35"/>
        <v>3730</v>
      </c>
      <c r="Q128" s="20">
        <f>Q129</f>
        <v>198.9</v>
      </c>
      <c r="R128" s="18">
        <f t="shared" si="36"/>
        <v>3928.9</v>
      </c>
      <c r="S128" s="20">
        <f>S129</f>
        <v>-963.4</v>
      </c>
      <c r="T128" s="18">
        <f t="shared" si="37"/>
        <v>2965.5</v>
      </c>
      <c r="U128" s="20">
        <f>U129</f>
        <v>0</v>
      </c>
      <c r="V128" s="18">
        <f t="shared" si="38"/>
        <v>2965.5</v>
      </c>
      <c r="W128" s="20">
        <f>W129</f>
        <v>0</v>
      </c>
      <c r="X128" s="18">
        <f t="shared" si="39"/>
        <v>2965.5</v>
      </c>
    </row>
    <row r="129" spans="1:27" x14ac:dyDescent="0.25">
      <c r="A129" s="7" t="s">
        <v>511</v>
      </c>
      <c r="B129" s="31" t="s">
        <v>732</v>
      </c>
      <c r="C129" s="60" t="s">
        <v>66</v>
      </c>
      <c r="D129" s="18"/>
      <c r="E129" s="18"/>
      <c r="F129" s="18"/>
      <c r="G129" s="18"/>
      <c r="H129" s="18"/>
      <c r="I129" s="18"/>
      <c r="J129" s="18"/>
      <c r="K129" s="81">
        <f>1000+2300</f>
        <v>3300</v>
      </c>
      <c r="L129" s="18">
        <f t="shared" si="33"/>
        <v>3300</v>
      </c>
      <c r="M129" s="64"/>
      <c r="N129" s="18">
        <f t="shared" si="34"/>
        <v>3300</v>
      </c>
      <c r="O129" s="44">
        <f>-3300+3300+430</f>
        <v>430</v>
      </c>
      <c r="P129" s="18">
        <f t="shared" si="35"/>
        <v>3730</v>
      </c>
      <c r="Q129" s="44">
        <v>198.9</v>
      </c>
      <c r="R129" s="18">
        <f t="shared" si="36"/>
        <v>3928.9</v>
      </c>
      <c r="S129" s="44">
        <v>-963.4</v>
      </c>
      <c r="T129" s="18">
        <f t="shared" si="37"/>
        <v>2965.5</v>
      </c>
      <c r="U129" s="64"/>
      <c r="V129" s="18">
        <f t="shared" si="38"/>
        <v>2965.5</v>
      </c>
      <c r="W129" s="64"/>
      <c r="X129" s="18">
        <f t="shared" si="39"/>
        <v>2965.5</v>
      </c>
      <c r="Z129" s="43">
        <f>X129+Y129</f>
        <v>2965.5</v>
      </c>
      <c r="AA129" s="43"/>
    </row>
    <row r="130" spans="1:27" ht="28.5" customHeight="1" x14ac:dyDescent="0.25">
      <c r="A130" s="13" t="s">
        <v>30</v>
      </c>
      <c r="B130" s="24" t="s">
        <v>67</v>
      </c>
      <c r="C130" s="24" t="s">
        <v>2</v>
      </c>
      <c r="D130" s="18">
        <f>D132</f>
        <v>61995.8</v>
      </c>
      <c r="E130" s="18">
        <f>E132</f>
        <v>0</v>
      </c>
      <c r="F130" s="18">
        <f t="shared" si="30"/>
        <v>61995.8</v>
      </c>
      <c r="G130" s="18">
        <f>G132</f>
        <v>0</v>
      </c>
      <c r="H130" s="18">
        <f t="shared" si="31"/>
        <v>61995.8</v>
      </c>
      <c r="I130" s="18">
        <f>I132</f>
        <v>0</v>
      </c>
      <c r="J130" s="18">
        <f t="shared" si="32"/>
        <v>61995.8</v>
      </c>
      <c r="K130" s="18">
        <f>K132</f>
        <v>0</v>
      </c>
      <c r="L130" s="18">
        <f t="shared" si="33"/>
        <v>61995.8</v>
      </c>
      <c r="M130" s="18">
        <f>M132</f>
        <v>0</v>
      </c>
      <c r="N130" s="18">
        <f t="shared" si="34"/>
        <v>61995.8</v>
      </c>
      <c r="O130" s="18">
        <f>O132</f>
        <v>0</v>
      </c>
      <c r="P130" s="18">
        <f t="shared" si="35"/>
        <v>61995.8</v>
      </c>
      <c r="Q130" s="18">
        <f>Q131+Q132</f>
        <v>0</v>
      </c>
      <c r="R130" s="18">
        <f t="shared" si="36"/>
        <v>61995.8</v>
      </c>
      <c r="S130" s="18">
        <f>S131+S132</f>
        <v>0</v>
      </c>
      <c r="T130" s="18">
        <f t="shared" si="37"/>
        <v>61995.8</v>
      </c>
      <c r="U130" s="18">
        <f>U131+U132</f>
        <v>0</v>
      </c>
      <c r="V130" s="18">
        <f t="shared" si="38"/>
        <v>61995.8</v>
      </c>
      <c r="W130" s="18">
        <f>W131+W132</f>
        <v>2996.6</v>
      </c>
      <c r="X130" s="18">
        <f t="shared" si="39"/>
        <v>64992.4</v>
      </c>
    </row>
    <row r="131" spans="1:27" ht="28.5" hidden="1" customHeight="1" x14ac:dyDescent="0.25">
      <c r="A131" s="7" t="s">
        <v>511</v>
      </c>
      <c r="B131" s="25" t="s">
        <v>67</v>
      </c>
      <c r="C131" s="25" t="s">
        <v>66</v>
      </c>
      <c r="D131" s="18">
        <v>61995.8</v>
      </c>
      <c r="E131" s="19"/>
      <c r="F131" s="18">
        <v>61995.8</v>
      </c>
      <c r="G131" s="18"/>
      <c r="H131" s="18"/>
      <c r="I131" s="18"/>
      <c r="J131" s="18"/>
      <c r="K131" s="18"/>
      <c r="L131" s="18"/>
      <c r="M131" s="18"/>
      <c r="N131" s="18"/>
      <c r="O131" s="18"/>
      <c r="P131" s="18"/>
      <c r="Q131" s="44"/>
      <c r="R131" s="18">
        <f t="shared" si="36"/>
        <v>0</v>
      </c>
      <c r="S131" s="64"/>
      <c r="T131" s="18">
        <f t="shared" si="37"/>
        <v>0</v>
      </c>
      <c r="U131" s="64"/>
      <c r="V131" s="18">
        <f t="shared" si="38"/>
        <v>0</v>
      </c>
      <c r="W131" s="64"/>
      <c r="X131" s="18">
        <f t="shared" si="39"/>
        <v>0</v>
      </c>
      <c r="Z131" s="43">
        <f t="shared" ref="Z131:Z132" si="43">X131+Y131</f>
        <v>0</v>
      </c>
      <c r="AA131" s="43"/>
    </row>
    <row r="132" spans="1:27" ht="36.75" x14ac:dyDescent="0.25">
      <c r="A132" s="9" t="s">
        <v>510</v>
      </c>
      <c r="B132" s="25" t="s">
        <v>67</v>
      </c>
      <c r="C132" s="25" t="s">
        <v>68</v>
      </c>
      <c r="D132" s="19">
        <v>61995.8</v>
      </c>
      <c r="E132" s="19"/>
      <c r="F132" s="18">
        <f t="shared" si="30"/>
        <v>61995.8</v>
      </c>
      <c r="G132" s="19"/>
      <c r="H132" s="18">
        <f t="shared" si="31"/>
        <v>61995.8</v>
      </c>
      <c r="I132" s="19"/>
      <c r="J132" s="18">
        <f t="shared" si="32"/>
        <v>61995.8</v>
      </c>
      <c r="K132" s="19"/>
      <c r="L132" s="18">
        <f t="shared" si="33"/>
        <v>61995.8</v>
      </c>
      <c r="M132" s="19"/>
      <c r="N132" s="18">
        <f t="shared" si="34"/>
        <v>61995.8</v>
      </c>
      <c r="O132" s="19"/>
      <c r="P132" s="18">
        <f t="shared" si="35"/>
        <v>61995.8</v>
      </c>
      <c r="Q132" s="19"/>
      <c r="R132" s="18">
        <f t="shared" si="36"/>
        <v>61995.8</v>
      </c>
      <c r="S132" s="64"/>
      <c r="T132" s="18">
        <f t="shared" si="37"/>
        <v>61995.8</v>
      </c>
      <c r="U132" s="64"/>
      <c r="V132" s="18">
        <f t="shared" si="38"/>
        <v>61995.8</v>
      </c>
      <c r="W132" s="44">
        <v>2996.6</v>
      </c>
      <c r="X132" s="18">
        <f t="shared" si="39"/>
        <v>64992.4</v>
      </c>
      <c r="Y132" s="43">
        <f>2576.2+420.4</f>
        <v>2996.6</v>
      </c>
      <c r="Z132" s="43">
        <f t="shared" si="43"/>
        <v>67989</v>
      </c>
      <c r="AA132" s="43"/>
    </row>
    <row r="133" spans="1:27" ht="24.75" x14ac:dyDescent="0.25">
      <c r="A133" s="13" t="s">
        <v>268</v>
      </c>
      <c r="B133" s="24" t="s">
        <v>269</v>
      </c>
      <c r="C133" s="24" t="s">
        <v>2</v>
      </c>
      <c r="D133" s="18">
        <f>D144+D149+D154+D162+D168+D165+D171</f>
        <v>118650.7</v>
      </c>
      <c r="E133" s="18">
        <f>E144+E149+E154+E162+E168+E165+E171+E139+E156</f>
        <v>156576.1</v>
      </c>
      <c r="F133" s="18">
        <f t="shared" si="30"/>
        <v>275226.8</v>
      </c>
      <c r="G133" s="18">
        <f>G144+G149+G154+G162+G168+G165+G171+G139+G156</f>
        <v>-48592.6</v>
      </c>
      <c r="H133" s="18">
        <f t="shared" si="31"/>
        <v>226634.19999999998</v>
      </c>
      <c r="I133" s="18">
        <f>I144+I149+I154+I162+I168+I165+I171+I139+I156+I141</f>
        <v>46638.700000000004</v>
      </c>
      <c r="J133" s="18">
        <f t="shared" si="32"/>
        <v>273272.89999999997</v>
      </c>
      <c r="K133" s="18">
        <f>K144+K149+K154+K162+K168+K165+K171+K139+K156+K141+K159+K137</f>
        <v>-79150.100000000006</v>
      </c>
      <c r="L133" s="18">
        <f t="shared" si="33"/>
        <v>194122.79999999996</v>
      </c>
      <c r="M133" s="18">
        <f>M144+M149+M154+M162+M168+M165+M171+M139+M156+M141+M159+M137</f>
        <v>-40812.1</v>
      </c>
      <c r="N133" s="18">
        <f t="shared" si="34"/>
        <v>153310.69999999995</v>
      </c>
      <c r="O133" s="18">
        <f>O144+O149+O154+O162+O168+O165+O171+O139+O156+O141+O159+O137+O134</f>
        <v>5273.0000000000018</v>
      </c>
      <c r="P133" s="18">
        <f t="shared" si="35"/>
        <v>158583.69999999995</v>
      </c>
      <c r="Q133" s="18">
        <f>Q144+Q149+Q154+Q162+Q168+Q165+Q171+Q139+Q156+Q141+Q159+Q137+Q134</f>
        <v>5397.5</v>
      </c>
      <c r="R133" s="18">
        <f t="shared" si="36"/>
        <v>163981.19999999995</v>
      </c>
      <c r="S133" s="18">
        <f>S144+S149+S154+S162+S168+S165+S171+S139+S156+S141+S159+S137+S134</f>
        <v>4368.8999999999996</v>
      </c>
      <c r="T133" s="18">
        <f t="shared" si="37"/>
        <v>168350.09999999995</v>
      </c>
      <c r="U133" s="18">
        <f>U144+U149+U154+U162+U168+U165+U171+U139+U156+U141+U159+U137+U134+U174</f>
        <v>-2346.2999999999993</v>
      </c>
      <c r="V133" s="18">
        <f t="shared" si="38"/>
        <v>166003.79999999996</v>
      </c>
      <c r="W133" s="18">
        <f>W144+W149+W154+W162+W168+W165+W171+W139+W156+W141+W159+W137+W134+W174</f>
        <v>3202.2</v>
      </c>
      <c r="X133" s="18">
        <f t="shared" si="39"/>
        <v>169205.99999999997</v>
      </c>
    </row>
    <row r="134" spans="1:27" x14ac:dyDescent="0.25">
      <c r="A134" s="13" t="s">
        <v>662</v>
      </c>
      <c r="B134" s="24" t="s">
        <v>798</v>
      </c>
      <c r="C134" s="24"/>
      <c r="D134" s="18"/>
      <c r="E134" s="18"/>
      <c r="F134" s="18"/>
      <c r="G134" s="18"/>
      <c r="H134" s="18"/>
      <c r="I134" s="18"/>
      <c r="J134" s="18"/>
      <c r="K134" s="18"/>
      <c r="L134" s="18"/>
      <c r="M134" s="18"/>
      <c r="N134" s="18">
        <f t="shared" si="34"/>
        <v>0</v>
      </c>
      <c r="O134" s="18">
        <f>O136+O135</f>
        <v>384</v>
      </c>
      <c r="P134" s="18">
        <f t="shared" si="35"/>
        <v>384</v>
      </c>
      <c r="Q134" s="18">
        <f>Q136+Q135</f>
        <v>0</v>
      </c>
      <c r="R134" s="18">
        <f t="shared" si="36"/>
        <v>384</v>
      </c>
      <c r="S134" s="18">
        <f>S136+S135</f>
        <v>0</v>
      </c>
      <c r="T134" s="18">
        <f t="shared" si="37"/>
        <v>384</v>
      </c>
      <c r="U134" s="18">
        <f>U136+U135</f>
        <v>0</v>
      </c>
      <c r="V134" s="18">
        <f t="shared" si="38"/>
        <v>384</v>
      </c>
      <c r="W134" s="18">
        <f>W136+W135</f>
        <v>0</v>
      </c>
      <c r="X134" s="18">
        <f t="shared" si="39"/>
        <v>384</v>
      </c>
    </row>
    <row r="135" spans="1:27" x14ac:dyDescent="0.25">
      <c r="A135" s="7" t="s">
        <v>511</v>
      </c>
      <c r="B135" s="25" t="s">
        <v>798</v>
      </c>
      <c r="C135" s="25" t="s">
        <v>66</v>
      </c>
      <c r="D135" s="18"/>
      <c r="E135" s="18"/>
      <c r="F135" s="18"/>
      <c r="G135" s="18"/>
      <c r="H135" s="18"/>
      <c r="I135" s="18"/>
      <c r="J135" s="18"/>
      <c r="K135" s="18"/>
      <c r="L135" s="18"/>
      <c r="M135" s="18"/>
      <c r="N135" s="18"/>
      <c r="O135" s="45">
        <v>84</v>
      </c>
      <c r="P135" s="18">
        <f t="shared" si="35"/>
        <v>84</v>
      </c>
      <c r="Q135" s="64"/>
      <c r="R135" s="18">
        <f t="shared" si="36"/>
        <v>84</v>
      </c>
      <c r="S135" s="64"/>
      <c r="T135" s="18">
        <f t="shared" si="37"/>
        <v>84</v>
      </c>
      <c r="U135" s="64"/>
      <c r="V135" s="18">
        <f t="shared" si="38"/>
        <v>84</v>
      </c>
      <c r="W135" s="64"/>
      <c r="X135" s="18">
        <f t="shared" si="39"/>
        <v>84</v>
      </c>
      <c r="Z135" s="43">
        <f t="shared" ref="Z135:Z136" si="44">X135+Y135</f>
        <v>84</v>
      </c>
      <c r="AA135" s="43"/>
    </row>
    <row r="136" spans="1:27" x14ac:dyDescent="0.25">
      <c r="A136" s="7" t="s">
        <v>266</v>
      </c>
      <c r="B136" s="25" t="s">
        <v>798</v>
      </c>
      <c r="C136" s="25" t="s">
        <v>267</v>
      </c>
      <c r="D136" s="19"/>
      <c r="E136" s="19"/>
      <c r="F136" s="19"/>
      <c r="G136" s="19"/>
      <c r="H136" s="19"/>
      <c r="I136" s="19"/>
      <c r="J136" s="19"/>
      <c r="K136" s="19"/>
      <c r="L136" s="19"/>
      <c r="M136" s="19"/>
      <c r="N136" s="18">
        <f t="shared" si="34"/>
        <v>0</v>
      </c>
      <c r="O136" s="122">
        <v>300</v>
      </c>
      <c r="P136" s="18">
        <f t="shared" si="35"/>
        <v>300</v>
      </c>
      <c r="Q136" s="64"/>
      <c r="R136" s="18">
        <f t="shared" si="36"/>
        <v>300</v>
      </c>
      <c r="S136" s="64"/>
      <c r="T136" s="18">
        <f t="shared" si="37"/>
        <v>300</v>
      </c>
      <c r="U136" s="64"/>
      <c r="V136" s="18">
        <f t="shared" si="38"/>
        <v>300</v>
      </c>
      <c r="W136" s="64"/>
      <c r="X136" s="18">
        <f t="shared" si="39"/>
        <v>300</v>
      </c>
      <c r="Z136" s="43">
        <f t="shared" si="44"/>
        <v>300</v>
      </c>
      <c r="AA136" s="43"/>
    </row>
    <row r="137" spans="1:27" ht="24.75" x14ac:dyDescent="0.25">
      <c r="A137" s="28" t="s">
        <v>205</v>
      </c>
      <c r="B137" s="29" t="s">
        <v>735</v>
      </c>
      <c r="C137" s="24"/>
      <c r="D137" s="18"/>
      <c r="E137" s="18"/>
      <c r="F137" s="18"/>
      <c r="G137" s="18"/>
      <c r="H137" s="18"/>
      <c r="I137" s="18"/>
      <c r="J137" s="18"/>
      <c r="K137" s="18">
        <f>K138</f>
        <v>30000</v>
      </c>
      <c r="L137" s="18">
        <f t="shared" si="33"/>
        <v>30000</v>
      </c>
      <c r="M137" s="18">
        <f>M138</f>
        <v>0</v>
      </c>
      <c r="N137" s="18">
        <f t="shared" si="34"/>
        <v>30000</v>
      </c>
      <c r="O137" s="18">
        <f>O138</f>
        <v>0</v>
      </c>
      <c r="P137" s="18">
        <f t="shared" si="35"/>
        <v>30000</v>
      </c>
      <c r="Q137" s="18">
        <f>Q138</f>
        <v>0</v>
      </c>
      <c r="R137" s="18">
        <f t="shared" si="36"/>
        <v>30000</v>
      </c>
      <c r="S137" s="18">
        <f>S138</f>
        <v>0</v>
      </c>
      <c r="T137" s="18">
        <f t="shared" si="37"/>
        <v>30000</v>
      </c>
      <c r="U137" s="18">
        <f>U138</f>
        <v>0</v>
      </c>
      <c r="V137" s="18">
        <f t="shared" si="38"/>
        <v>30000</v>
      </c>
      <c r="W137" s="18">
        <f>W138</f>
        <v>0</v>
      </c>
      <c r="X137" s="18">
        <f t="shared" si="39"/>
        <v>30000</v>
      </c>
    </row>
    <row r="138" spans="1:27" ht="36.75" x14ac:dyDescent="0.25">
      <c r="A138" s="8" t="s">
        <v>581</v>
      </c>
      <c r="B138" s="31" t="s">
        <v>735</v>
      </c>
      <c r="C138" s="31" t="s">
        <v>582</v>
      </c>
      <c r="D138" s="103"/>
      <c r="E138" s="103"/>
      <c r="F138" s="103"/>
      <c r="G138" s="103"/>
      <c r="H138" s="103"/>
      <c r="I138" s="103"/>
      <c r="J138" s="103"/>
      <c r="K138" s="55">
        <v>30000</v>
      </c>
      <c r="L138" s="18">
        <f t="shared" si="33"/>
        <v>30000</v>
      </c>
      <c r="M138" s="77"/>
      <c r="N138" s="18">
        <f t="shared" si="34"/>
        <v>30000</v>
      </c>
      <c r="O138" s="77"/>
      <c r="P138" s="18">
        <f t="shared" si="35"/>
        <v>30000</v>
      </c>
      <c r="Q138" s="77"/>
      <c r="R138" s="18">
        <f t="shared" si="36"/>
        <v>30000</v>
      </c>
      <c r="S138" s="77"/>
      <c r="T138" s="18">
        <f t="shared" si="37"/>
        <v>30000</v>
      </c>
      <c r="U138" s="77"/>
      <c r="V138" s="18">
        <f t="shared" si="38"/>
        <v>30000</v>
      </c>
      <c r="W138" s="77"/>
      <c r="X138" s="18">
        <f t="shared" si="39"/>
        <v>30000</v>
      </c>
      <c r="Z138" s="43">
        <f>X138+Y138</f>
        <v>30000</v>
      </c>
      <c r="AA138" s="43"/>
    </row>
    <row r="139" spans="1:27" ht="46.5" hidden="1" customHeight="1" x14ac:dyDescent="0.25">
      <c r="A139" s="13" t="s">
        <v>568</v>
      </c>
      <c r="B139" s="24" t="s">
        <v>569</v>
      </c>
      <c r="C139" s="24" t="s">
        <v>2</v>
      </c>
      <c r="D139" s="18"/>
      <c r="E139" s="20">
        <f>E140</f>
        <v>9592.6</v>
      </c>
      <c r="F139" s="18">
        <f t="shared" si="30"/>
        <v>9592.6</v>
      </c>
      <c r="G139" s="20">
        <f>G140</f>
        <v>-9592.6</v>
      </c>
      <c r="H139" s="18">
        <f t="shared" si="31"/>
        <v>0</v>
      </c>
      <c r="I139" s="20">
        <f>I140</f>
        <v>0</v>
      </c>
      <c r="J139" s="18">
        <f t="shared" si="32"/>
        <v>0</v>
      </c>
      <c r="K139" s="20">
        <f>K140</f>
        <v>0</v>
      </c>
      <c r="L139" s="18">
        <f t="shared" si="33"/>
        <v>0</v>
      </c>
      <c r="M139" s="20">
        <f>M140</f>
        <v>0</v>
      </c>
      <c r="N139" s="18">
        <f t="shared" si="34"/>
        <v>0</v>
      </c>
      <c r="O139" s="20">
        <f>O140</f>
        <v>0</v>
      </c>
      <c r="P139" s="18">
        <f t="shared" si="35"/>
        <v>0</v>
      </c>
      <c r="Q139" s="20">
        <f>Q140</f>
        <v>0</v>
      </c>
      <c r="R139" s="18">
        <f t="shared" si="36"/>
        <v>0</v>
      </c>
      <c r="S139" s="20">
        <f>S140</f>
        <v>0</v>
      </c>
      <c r="T139" s="18">
        <f t="shared" si="37"/>
        <v>0</v>
      </c>
      <c r="U139" s="20">
        <f>U140</f>
        <v>0</v>
      </c>
      <c r="V139" s="18">
        <f t="shared" si="38"/>
        <v>0</v>
      </c>
      <c r="W139" s="20">
        <f>W140</f>
        <v>0</v>
      </c>
      <c r="X139" s="18">
        <f t="shared" si="39"/>
        <v>0</v>
      </c>
    </row>
    <row r="140" spans="1:27" ht="24.75" hidden="1" x14ac:dyDescent="0.25">
      <c r="A140" s="51" t="s">
        <v>502</v>
      </c>
      <c r="B140" s="25" t="s">
        <v>569</v>
      </c>
      <c r="C140" s="25" t="s">
        <v>209</v>
      </c>
      <c r="D140" s="18"/>
      <c r="E140" s="45">
        <v>9592.6</v>
      </c>
      <c r="F140" s="18">
        <f t="shared" si="30"/>
        <v>9592.6</v>
      </c>
      <c r="G140" s="45">
        <v>-9592.6</v>
      </c>
      <c r="H140" s="18">
        <f t="shared" si="31"/>
        <v>0</v>
      </c>
      <c r="I140" s="64"/>
      <c r="J140" s="18">
        <f t="shared" si="32"/>
        <v>0</v>
      </c>
      <c r="K140" s="64"/>
      <c r="L140" s="18">
        <f t="shared" si="33"/>
        <v>0</v>
      </c>
      <c r="M140" s="64"/>
      <c r="N140" s="18">
        <f t="shared" si="34"/>
        <v>0</v>
      </c>
      <c r="O140" s="64"/>
      <c r="P140" s="18">
        <f t="shared" si="35"/>
        <v>0</v>
      </c>
      <c r="Q140" s="64"/>
      <c r="R140" s="18">
        <f t="shared" si="36"/>
        <v>0</v>
      </c>
      <c r="S140" s="64"/>
      <c r="T140" s="18">
        <f t="shared" si="37"/>
        <v>0</v>
      </c>
      <c r="U140" s="64"/>
      <c r="V140" s="18">
        <f t="shared" si="38"/>
        <v>0</v>
      </c>
      <c r="W140" s="64"/>
      <c r="X140" s="18">
        <f t="shared" si="39"/>
        <v>0</v>
      </c>
      <c r="Z140" s="43">
        <f>X140+Y140</f>
        <v>0</v>
      </c>
      <c r="AA140" s="43"/>
    </row>
    <row r="141" spans="1:27" ht="24.75" x14ac:dyDescent="0.25">
      <c r="A141" s="33" t="s">
        <v>660</v>
      </c>
      <c r="B141" s="26" t="s">
        <v>661</v>
      </c>
      <c r="C141" s="26" t="s">
        <v>2</v>
      </c>
      <c r="D141" s="18"/>
      <c r="E141" s="45"/>
      <c r="F141" s="18"/>
      <c r="G141" s="45"/>
      <c r="H141" s="18"/>
      <c r="I141" s="20">
        <f>I142+I143</f>
        <v>46679.3</v>
      </c>
      <c r="J141" s="18">
        <f t="shared" si="32"/>
        <v>46679.3</v>
      </c>
      <c r="K141" s="20">
        <f>K142+K143</f>
        <v>0</v>
      </c>
      <c r="L141" s="18">
        <f t="shared" si="33"/>
        <v>46679.3</v>
      </c>
      <c r="M141" s="20">
        <f>M142+M143</f>
        <v>0</v>
      </c>
      <c r="N141" s="18">
        <f t="shared" si="34"/>
        <v>46679.3</v>
      </c>
      <c r="O141" s="20">
        <f>O142+O143</f>
        <v>19367.600000000002</v>
      </c>
      <c r="P141" s="18">
        <f t="shared" si="35"/>
        <v>66046.900000000009</v>
      </c>
      <c r="Q141" s="20">
        <f>Q142+Q143</f>
        <v>0</v>
      </c>
      <c r="R141" s="18">
        <f t="shared" si="36"/>
        <v>66046.900000000009</v>
      </c>
      <c r="S141" s="20">
        <f>S142+S143</f>
        <v>0</v>
      </c>
      <c r="T141" s="18">
        <f t="shared" si="37"/>
        <v>66046.900000000009</v>
      </c>
      <c r="U141" s="20">
        <f>U142+U143</f>
        <v>0</v>
      </c>
      <c r="V141" s="18">
        <f t="shared" si="38"/>
        <v>66046.900000000009</v>
      </c>
      <c r="W141" s="20">
        <f>W142+W143</f>
        <v>0</v>
      </c>
      <c r="X141" s="18">
        <f t="shared" si="39"/>
        <v>66046.900000000009</v>
      </c>
    </row>
    <row r="142" spans="1:27" x14ac:dyDescent="0.25">
      <c r="A142" s="7" t="s">
        <v>511</v>
      </c>
      <c r="B142" s="27" t="s">
        <v>661</v>
      </c>
      <c r="C142" s="27" t="s">
        <v>66</v>
      </c>
      <c r="D142" s="18"/>
      <c r="E142" s="45"/>
      <c r="F142" s="18"/>
      <c r="G142" s="45"/>
      <c r="H142" s="18"/>
      <c r="I142" s="45">
        <v>43683.5</v>
      </c>
      <c r="J142" s="18">
        <f t="shared" si="32"/>
        <v>43683.5</v>
      </c>
      <c r="K142" s="64"/>
      <c r="L142" s="18">
        <f t="shared" si="33"/>
        <v>43683.5</v>
      </c>
      <c r="M142" s="64"/>
      <c r="N142" s="18">
        <f t="shared" si="34"/>
        <v>43683.5</v>
      </c>
      <c r="O142" s="45">
        <v>18057.2</v>
      </c>
      <c r="P142" s="18">
        <f t="shared" si="35"/>
        <v>61740.7</v>
      </c>
      <c r="Q142" s="64"/>
      <c r="R142" s="18">
        <f t="shared" si="36"/>
        <v>61740.7</v>
      </c>
      <c r="S142" s="64"/>
      <c r="T142" s="18">
        <f t="shared" si="37"/>
        <v>61740.7</v>
      </c>
      <c r="U142" s="64"/>
      <c r="V142" s="18">
        <f t="shared" si="38"/>
        <v>61740.7</v>
      </c>
      <c r="W142" s="64"/>
      <c r="X142" s="18">
        <f t="shared" si="39"/>
        <v>61740.7</v>
      </c>
      <c r="Z142" s="43">
        <f t="shared" ref="Z142:Z143" si="45">X142+Y142</f>
        <v>61740.7</v>
      </c>
      <c r="AA142" s="43"/>
    </row>
    <row r="143" spans="1:27" x14ac:dyDescent="0.25">
      <c r="A143" s="7" t="s">
        <v>266</v>
      </c>
      <c r="B143" s="27" t="s">
        <v>661</v>
      </c>
      <c r="C143" s="27" t="s">
        <v>267</v>
      </c>
      <c r="D143" s="18"/>
      <c r="E143" s="45"/>
      <c r="F143" s="18"/>
      <c r="G143" s="45"/>
      <c r="H143" s="18"/>
      <c r="I143" s="45">
        <v>2995.8</v>
      </c>
      <c r="J143" s="18">
        <f t="shared" si="32"/>
        <v>2995.8</v>
      </c>
      <c r="K143" s="64"/>
      <c r="L143" s="18">
        <f t="shared" si="33"/>
        <v>2995.8</v>
      </c>
      <c r="M143" s="64"/>
      <c r="N143" s="18">
        <f t="shared" si="34"/>
        <v>2995.8</v>
      </c>
      <c r="O143" s="45">
        <v>1310.4000000000001</v>
      </c>
      <c r="P143" s="18">
        <f t="shared" si="35"/>
        <v>4306.2000000000007</v>
      </c>
      <c r="Q143" s="64"/>
      <c r="R143" s="18">
        <f t="shared" si="36"/>
        <v>4306.2000000000007</v>
      </c>
      <c r="S143" s="64"/>
      <c r="T143" s="18">
        <f t="shared" si="37"/>
        <v>4306.2000000000007</v>
      </c>
      <c r="U143" s="64"/>
      <c r="V143" s="18">
        <f t="shared" si="38"/>
        <v>4306.2000000000007</v>
      </c>
      <c r="W143" s="64"/>
      <c r="X143" s="18">
        <f t="shared" si="39"/>
        <v>4306.2000000000007</v>
      </c>
      <c r="Z143" s="43">
        <f t="shared" si="45"/>
        <v>4306.2000000000007</v>
      </c>
      <c r="AA143" s="43"/>
    </row>
    <row r="144" spans="1:27" x14ac:dyDescent="0.25">
      <c r="A144" s="13" t="s">
        <v>195</v>
      </c>
      <c r="B144" s="24" t="s">
        <v>282</v>
      </c>
      <c r="C144" s="24" t="s">
        <v>2</v>
      </c>
      <c r="D144" s="18">
        <f>D145+D147</f>
        <v>38400</v>
      </c>
      <c r="E144" s="18">
        <f>E145+E147+E148</f>
        <v>143051</v>
      </c>
      <c r="F144" s="18">
        <f t="shared" si="30"/>
        <v>181451</v>
      </c>
      <c r="G144" s="18">
        <f>G145+G147+G148</f>
        <v>-39000</v>
      </c>
      <c r="H144" s="18">
        <f t="shared" si="31"/>
        <v>142451</v>
      </c>
      <c r="I144" s="47">
        <f>I145+I147+I148+I146</f>
        <v>-40.600000000000364</v>
      </c>
      <c r="J144" s="18">
        <f t="shared" si="32"/>
        <v>142410.4</v>
      </c>
      <c r="K144" s="47">
        <f>K145+K147+K148+K146</f>
        <v>-92625.2</v>
      </c>
      <c r="L144" s="18">
        <f t="shared" si="33"/>
        <v>49785.2</v>
      </c>
      <c r="M144" s="47">
        <f>M145+M147+M148+M146</f>
        <v>-32158</v>
      </c>
      <c r="N144" s="18">
        <f t="shared" si="34"/>
        <v>17627.199999999997</v>
      </c>
      <c r="O144" s="47">
        <f>O145+O147+O148+O146</f>
        <v>-2721.3</v>
      </c>
      <c r="P144" s="18">
        <f t="shared" si="35"/>
        <v>14905.899999999998</v>
      </c>
      <c r="Q144" s="47">
        <f>Q145+Q147+Q148+Q146</f>
        <v>-1803.9</v>
      </c>
      <c r="R144" s="18">
        <f t="shared" si="36"/>
        <v>13101.999999999998</v>
      </c>
      <c r="S144" s="47">
        <f>S145+S147+S148+S146</f>
        <v>-1466.4</v>
      </c>
      <c r="T144" s="18">
        <f t="shared" si="37"/>
        <v>11635.599999999999</v>
      </c>
      <c r="U144" s="47">
        <f>U145+U147+U148+U146</f>
        <v>-2.9000000000000909</v>
      </c>
      <c r="V144" s="18">
        <f t="shared" si="38"/>
        <v>11632.699999999999</v>
      </c>
      <c r="W144" s="47">
        <f>W145+W147+W148+W146</f>
        <v>-1000</v>
      </c>
      <c r="X144" s="18">
        <f t="shared" si="39"/>
        <v>10632.699999999999</v>
      </c>
    </row>
    <row r="145" spans="1:27" x14ac:dyDescent="0.25">
      <c r="A145" s="7" t="s">
        <v>54</v>
      </c>
      <c r="B145" s="25" t="s">
        <v>282</v>
      </c>
      <c r="C145" s="25" t="s">
        <v>34</v>
      </c>
      <c r="D145" s="19">
        <v>10000</v>
      </c>
      <c r="E145" s="19"/>
      <c r="F145" s="18">
        <f t="shared" si="30"/>
        <v>10000</v>
      </c>
      <c r="G145" s="19"/>
      <c r="H145" s="18">
        <f t="shared" si="31"/>
        <v>10000</v>
      </c>
      <c r="I145" s="62">
        <v>-420.3</v>
      </c>
      <c r="J145" s="18">
        <f t="shared" si="32"/>
        <v>9579.7000000000007</v>
      </c>
      <c r="K145" s="64"/>
      <c r="L145" s="18">
        <f t="shared" si="33"/>
        <v>9579.7000000000007</v>
      </c>
      <c r="M145" s="62">
        <v>-3928.5</v>
      </c>
      <c r="N145" s="18">
        <f t="shared" si="34"/>
        <v>5651.2000000000007</v>
      </c>
      <c r="O145" s="96">
        <v>-2721.3</v>
      </c>
      <c r="P145" s="18">
        <f t="shared" si="35"/>
        <v>2929.9000000000005</v>
      </c>
      <c r="Q145" s="44">
        <v>-1428.7</v>
      </c>
      <c r="R145" s="18">
        <f t="shared" si="36"/>
        <v>1501.2000000000005</v>
      </c>
      <c r="S145" s="64"/>
      <c r="T145" s="18">
        <f t="shared" si="37"/>
        <v>1501.2000000000005</v>
      </c>
      <c r="U145" s="96">
        <v>1308.0999999999999</v>
      </c>
      <c r="V145" s="18">
        <f t="shared" si="38"/>
        <v>2809.3</v>
      </c>
      <c r="W145" s="44">
        <v>-1241</v>
      </c>
      <c r="X145" s="18">
        <f t="shared" si="39"/>
        <v>1568.3000000000002</v>
      </c>
      <c r="Y145" s="43">
        <v>-1241</v>
      </c>
      <c r="Z145" s="43">
        <f t="shared" ref="Z145:Z148" si="46">X145+Y145</f>
        <v>327.30000000000018</v>
      </c>
      <c r="AA145" s="43"/>
    </row>
    <row r="146" spans="1:27" x14ac:dyDescent="0.25">
      <c r="A146" s="58" t="s">
        <v>503</v>
      </c>
      <c r="B146" s="27" t="s">
        <v>282</v>
      </c>
      <c r="C146" s="27" t="s">
        <v>35</v>
      </c>
      <c r="D146" s="19"/>
      <c r="E146" s="19"/>
      <c r="F146" s="18"/>
      <c r="G146" s="19"/>
      <c r="H146" s="18"/>
      <c r="I146" s="62">
        <v>3200</v>
      </c>
      <c r="J146" s="18">
        <f t="shared" si="32"/>
        <v>3200</v>
      </c>
      <c r="K146" s="106">
        <v>1900</v>
      </c>
      <c r="L146" s="18">
        <f t="shared" si="33"/>
        <v>5100</v>
      </c>
      <c r="M146" s="62">
        <v>-2925.2</v>
      </c>
      <c r="N146" s="18">
        <f t="shared" si="34"/>
        <v>2174.8000000000002</v>
      </c>
      <c r="O146" s="64"/>
      <c r="P146" s="18">
        <f t="shared" si="35"/>
        <v>2174.8000000000002</v>
      </c>
      <c r="Q146" s="44">
        <v>-375.2</v>
      </c>
      <c r="R146" s="18">
        <f t="shared" si="36"/>
        <v>1799.6000000000001</v>
      </c>
      <c r="S146" s="64"/>
      <c r="T146" s="18">
        <f t="shared" si="37"/>
        <v>1799.6000000000001</v>
      </c>
      <c r="U146" s="64"/>
      <c r="V146" s="18">
        <f t="shared" si="38"/>
        <v>1799.6000000000001</v>
      </c>
      <c r="W146" s="64"/>
      <c r="X146" s="18">
        <f t="shared" si="39"/>
        <v>1799.6000000000001</v>
      </c>
      <c r="Z146" s="43">
        <f t="shared" si="46"/>
        <v>1799.6000000000001</v>
      </c>
      <c r="AA146" s="43"/>
    </row>
    <row r="147" spans="1:27" ht="24.75" x14ac:dyDescent="0.25">
      <c r="A147" s="9" t="s">
        <v>509</v>
      </c>
      <c r="B147" s="27" t="s">
        <v>282</v>
      </c>
      <c r="C147" s="27" t="s">
        <v>201</v>
      </c>
      <c r="D147" s="21">
        <v>28400</v>
      </c>
      <c r="E147" s="44">
        <v>112500</v>
      </c>
      <c r="F147" s="18">
        <f t="shared" si="30"/>
        <v>140900</v>
      </c>
      <c r="G147" s="44">
        <v>-39000</v>
      </c>
      <c r="H147" s="18">
        <f t="shared" si="31"/>
        <v>101900</v>
      </c>
      <c r="I147" s="62">
        <f>-3200+379.7</f>
        <v>-2820.3</v>
      </c>
      <c r="J147" s="18">
        <f t="shared" si="32"/>
        <v>99079.7</v>
      </c>
      <c r="K147" s="97">
        <f>-22202.6-13000-5952.8-363.5-700-223.4-300-1500-2000-45900-442-40.9-1900</f>
        <v>-94525.2</v>
      </c>
      <c r="L147" s="18">
        <f t="shared" si="33"/>
        <v>4554.5</v>
      </c>
      <c r="M147" s="62">
        <v>5246.7</v>
      </c>
      <c r="N147" s="18">
        <f t="shared" si="34"/>
        <v>9801.2000000000007</v>
      </c>
      <c r="O147" s="64"/>
      <c r="P147" s="18">
        <f t="shared" si="35"/>
        <v>9801.2000000000007</v>
      </c>
      <c r="Q147" s="64"/>
      <c r="R147" s="18">
        <f t="shared" si="36"/>
        <v>9801.2000000000007</v>
      </c>
      <c r="S147" s="44">
        <f>-1.4-1465</f>
        <v>-1466.4</v>
      </c>
      <c r="T147" s="18">
        <f t="shared" si="37"/>
        <v>8334.8000000000011</v>
      </c>
      <c r="U147" s="96">
        <v>-1311</v>
      </c>
      <c r="V147" s="18">
        <f t="shared" si="38"/>
        <v>7023.8000000000011</v>
      </c>
      <c r="W147" s="44">
        <v>241</v>
      </c>
      <c r="X147" s="18">
        <f t="shared" si="39"/>
        <v>7264.8000000000011</v>
      </c>
      <c r="Y147" s="43">
        <v>241</v>
      </c>
      <c r="Z147" s="43">
        <f t="shared" si="46"/>
        <v>7505.8000000000011</v>
      </c>
      <c r="AA147" s="43"/>
    </row>
    <row r="148" spans="1:27" ht="36.75" hidden="1" x14ac:dyDescent="0.25">
      <c r="A148" s="8" t="s">
        <v>581</v>
      </c>
      <c r="B148" s="27" t="s">
        <v>282</v>
      </c>
      <c r="C148" s="27" t="s">
        <v>582</v>
      </c>
      <c r="D148" s="21"/>
      <c r="E148" s="62">
        <v>30551</v>
      </c>
      <c r="F148" s="18">
        <f t="shared" si="30"/>
        <v>30551</v>
      </c>
      <c r="G148" s="64"/>
      <c r="H148" s="18">
        <f t="shared" si="31"/>
        <v>30551</v>
      </c>
      <c r="I148" s="64"/>
      <c r="J148" s="18">
        <f t="shared" si="32"/>
        <v>30551</v>
      </c>
      <c r="K148" s="64"/>
      <c r="L148" s="18">
        <f t="shared" si="33"/>
        <v>30551</v>
      </c>
      <c r="M148" s="44">
        <f>-2280.4-28270.6</f>
        <v>-30551</v>
      </c>
      <c r="N148" s="18">
        <f t="shared" si="34"/>
        <v>0</v>
      </c>
      <c r="O148" s="64"/>
      <c r="P148" s="18">
        <f t="shared" si="35"/>
        <v>0</v>
      </c>
      <c r="Q148" s="64"/>
      <c r="R148" s="18">
        <f t="shared" si="36"/>
        <v>0</v>
      </c>
      <c r="S148" s="64"/>
      <c r="T148" s="18">
        <f t="shared" si="37"/>
        <v>0</v>
      </c>
      <c r="U148" s="64"/>
      <c r="V148" s="18">
        <f t="shared" si="38"/>
        <v>0</v>
      </c>
      <c r="W148" s="64"/>
      <c r="X148" s="18">
        <f t="shared" si="39"/>
        <v>0</v>
      </c>
      <c r="Z148" s="43">
        <f t="shared" si="46"/>
        <v>0</v>
      </c>
      <c r="AA148" s="43"/>
    </row>
    <row r="149" spans="1:27" ht="24.75" x14ac:dyDescent="0.25">
      <c r="A149" s="13" t="s">
        <v>194</v>
      </c>
      <c r="B149" s="24" t="s">
        <v>270</v>
      </c>
      <c r="C149" s="24" t="s">
        <v>2</v>
      </c>
      <c r="D149" s="18">
        <f>D152</f>
        <v>20700</v>
      </c>
      <c r="E149" s="18">
        <f>E152</f>
        <v>0</v>
      </c>
      <c r="F149" s="18">
        <f t="shared" si="30"/>
        <v>20700</v>
      </c>
      <c r="G149" s="18">
        <f>G152</f>
        <v>0</v>
      </c>
      <c r="H149" s="18">
        <f t="shared" si="31"/>
        <v>20700</v>
      </c>
      <c r="I149" s="18">
        <f>I152</f>
        <v>0</v>
      </c>
      <c r="J149" s="18">
        <f t="shared" si="32"/>
        <v>20700</v>
      </c>
      <c r="K149" s="18">
        <f>K152+K151</f>
        <v>13.399999999999636</v>
      </c>
      <c r="L149" s="18">
        <f t="shared" si="33"/>
        <v>20713.400000000001</v>
      </c>
      <c r="M149" s="18">
        <f>M152+M151+M153</f>
        <v>-4500</v>
      </c>
      <c r="N149" s="18">
        <f t="shared" si="34"/>
        <v>16213.400000000001</v>
      </c>
      <c r="O149" s="18">
        <f>O152+O151+O153</f>
        <v>-1121.1999999999998</v>
      </c>
      <c r="P149" s="18">
        <f t="shared" si="35"/>
        <v>15092.2</v>
      </c>
      <c r="Q149" s="18">
        <f>Q152+Q151+Q153</f>
        <v>0</v>
      </c>
      <c r="R149" s="18">
        <f t="shared" si="36"/>
        <v>15092.2</v>
      </c>
      <c r="S149" s="18">
        <f>S152+S151+S153+S150</f>
        <v>1201.3</v>
      </c>
      <c r="T149" s="18">
        <f t="shared" si="37"/>
        <v>16293.5</v>
      </c>
      <c r="U149" s="18">
        <f>U152+U151+U153+U150</f>
        <v>-4159</v>
      </c>
      <c r="V149" s="18">
        <f t="shared" si="38"/>
        <v>12134.5</v>
      </c>
      <c r="W149" s="18">
        <f>W152+W151+W153+W150</f>
        <v>0</v>
      </c>
      <c r="X149" s="18">
        <f t="shared" si="39"/>
        <v>12134.5</v>
      </c>
    </row>
    <row r="150" spans="1:27" hidden="1" x14ac:dyDescent="0.25">
      <c r="A150" s="7" t="s">
        <v>54</v>
      </c>
      <c r="B150" s="25" t="s">
        <v>270</v>
      </c>
      <c r="C150" s="25" t="s">
        <v>34</v>
      </c>
      <c r="D150" s="18"/>
      <c r="E150" s="18"/>
      <c r="F150" s="18"/>
      <c r="G150" s="18"/>
      <c r="H150" s="18"/>
      <c r="I150" s="18"/>
      <c r="J150" s="18"/>
      <c r="K150" s="18"/>
      <c r="L150" s="18"/>
      <c r="M150" s="18"/>
      <c r="N150" s="18"/>
      <c r="O150" s="18"/>
      <c r="P150" s="18"/>
      <c r="Q150" s="18"/>
      <c r="R150" s="18"/>
      <c r="S150" s="62">
        <v>1201.3</v>
      </c>
      <c r="T150" s="18">
        <f t="shared" si="37"/>
        <v>1201.3</v>
      </c>
      <c r="U150" s="96">
        <v>-1201.3</v>
      </c>
      <c r="V150" s="18">
        <f t="shared" si="38"/>
        <v>0</v>
      </c>
      <c r="W150" s="64"/>
      <c r="X150" s="18">
        <f t="shared" si="39"/>
        <v>0</v>
      </c>
      <c r="Z150" s="43">
        <f t="shared" ref="Z150:Z153" si="47">X150+Y150</f>
        <v>0</v>
      </c>
      <c r="AA150" s="43"/>
    </row>
    <row r="151" spans="1:27" ht="36.75" x14ac:dyDescent="0.25">
      <c r="A151" s="51" t="s">
        <v>581</v>
      </c>
      <c r="B151" s="25" t="s">
        <v>270</v>
      </c>
      <c r="C151" s="25" t="s">
        <v>582</v>
      </c>
      <c r="D151" s="18"/>
      <c r="E151" s="18"/>
      <c r="F151" s="18"/>
      <c r="G151" s="18"/>
      <c r="H151" s="18"/>
      <c r="I151" s="18"/>
      <c r="J151" s="18"/>
      <c r="K151" s="106">
        <v>4441.2</v>
      </c>
      <c r="L151" s="18">
        <f t="shared" si="33"/>
        <v>4441.2</v>
      </c>
      <c r="M151" s="64"/>
      <c r="N151" s="18">
        <f t="shared" si="34"/>
        <v>4441.2</v>
      </c>
      <c r="O151" s="64"/>
      <c r="P151" s="18">
        <f t="shared" si="35"/>
        <v>4441.2</v>
      </c>
      <c r="Q151" s="64"/>
      <c r="R151" s="18">
        <f t="shared" si="36"/>
        <v>4441.2</v>
      </c>
      <c r="S151" s="64"/>
      <c r="T151" s="18">
        <f t="shared" si="37"/>
        <v>4441.2</v>
      </c>
      <c r="U151" s="85">
        <v>-448.8</v>
      </c>
      <c r="V151" s="18">
        <f t="shared" si="38"/>
        <v>3992.3999999999996</v>
      </c>
      <c r="W151" s="121"/>
      <c r="X151" s="18">
        <f t="shared" si="39"/>
        <v>3992.3999999999996</v>
      </c>
      <c r="Z151" s="43">
        <f t="shared" si="47"/>
        <v>3992.3999999999996</v>
      </c>
      <c r="AA151" s="43"/>
    </row>
    <row r="152" spans="1:27" x14ac:dyDescent="0.25">
      <c r="A152" s="9" t="s">
        <v>511</v>
      </c>
      <c r="B152" s="25" t="s">
        <v>270</v>
      </c>
      <c r="C152" s="25" t="s">
        <v>66</v>
      </c>
      <c r="D152" s="19">
        <f>20700</f>
        <v>20700</v>
      </c>
      <c r="E152" s="19"/>
      <c r="F152" s="18">
        <f t="shared" si="30"/>
        <v>20700</v>
      </c>
      <c r="G152" s="19"/>
      <c r="H152" s="18">
        <f t="shared" si="31"/>
        <v>20700</v>
      </c>
      <c r="I152" s="19"/>
      <c r="J152" s="18">
        <f t="shared" si="32"/>
        <v>20700</v>
      </c>
      <c r="K152" s="97">
        <f>13.4-4441.2</f>
        <v>-4427.8</v>
      </c>
      <c r="L152" s="18">
        <f t="shared" si="33"/>
        <v>16272.2</v>
      </c>
      <c r="M152" s="44">
        <f>-4500-1816.3</f>
        <v>-6316.3</v>
      </c>
      <c r="N152" s="18">
        <f t="shared" si="34"/>
        <v>9955.9000000000015</v>
      </c>
      <c r="O152" s="44">
        <f>300+137.6-1058.8-500</f>
        <v>-1121.1999999999998</v>
      </c>
      <c r="P152" s="18">
        <f t="shared" si="35"/>
        <v>8834.7000000000007</v>
      </c>
      <c r="Q152" s="44">
        <v>-132.1</v>
      </c>
      <c r="R152" s="18">
        <f t="shared" si="36"/>
        <v>8702.6</v>
      </c>
      <c r="S152" s="64"/>
      <c r="T152" s="18">
        <f t="shared" si="37"/>
        <v>8702.6</v>
      </c>
      <c r="U152" s="44">
        <f>-2000-214.4</f>
        <v>-2214.4</v>
      </c>
      <c r="V152" s="18">
        <f t="shared" si="38"/>
        <v>6488.2000000000007</v>
      </c>
      <c r="W152" s="112">
        <f>2000-2000</f>
        <v>0</v>
      </c>
      <c r="X152" s="18">
        <f t="shared" si="39"/>
        <v>6488.2000000000007</v>
      </c>
      <c r="Y152" s="43">
        <v>-2000</v>
      </c>
      <c r="Z152" s="43">
        <f t="shared" si="47"/>
        <v>4488.2000000000007</v>
      </c>
      <c r="AA152" s="43"/>
    </row>
    <row r="153" spans="1:27" x14ac:dyDescent="0.25">
      <c r="A153" s="51" t="s">
        <v>266</v>
      </c>
      <c r="B153" s="25" t="s">
        <v>270</v>
      </c>
      <c r="C153" s="25" t="s">
        <v>267</v>
      </c>
      <c r="D153" s="19"/>
      <c r="E153" s="19"/>
      <c r="F153" s="18"/>
      <c r="G153" s="19"/>
      <c r="H153" s="18"/>
      <c r="I153" s="19"/>
      <c r="J153" s="18"/>
      <c r="K153" s="97"/>
      <c r="L153" s="18"/>
      <c r="M153" s="62">
        <v>1816.3</v>
      </c>
      <c r="N153" s="18">
        <f t="shared" si="34"/>
        <v>1816.3</v>
      </c>
      <c r="O153" s="64"/>
      <c r="P153" s="18">
        <f t="shared" si="35"/>
        <v>1816.3</v>
      </c>
      <c r="Q153" s="44">
        <v>132.1</v>
      </c>
      <c r="R153" s="18">
        <f t="shared" si="36"/>
        <v>1948.3999999999999</v>
      </c>
      <c r="S153" s="64"/>
      <c r="T153" s="18">
        <f t="shared" si="37"/>
        <v>1948.3999999999999</v>
      </c>
      <c r="U153" s="96">
        <v>-294.5</v>
      </c>
      <c r="V153" s="18">
        <f t="shared" si="38"/>
        <v>1653.8999999999999</v>
      </c>
      <c r="W153" s="64"/>
      <c r="X153" s="18">
        <f t="shared" si="39"/>
        <v>1653.8999999999999</v>
      </c>
      <c r="Z153" s="43">
        <f t="shared" si="47"/>
        <v>1653.8999999999999</v>
      </c>
      <c r="AA153" s="43"/>
    </row>
    <row r="154" spans="1:27" x14ac:dyDescent="0.25">
      <c r="A154" s="13" t="s">
        <v>203</v>
      </c>
      <c r="B154" s="24" t="s">
        <v>283</v>
      </c>
      <c r="C154" s="24" t="s">
        <v>2</v>
      </c>
      <c r="D154" s="18">
        <f>D155</f>
        <v>8000</v>
      </c>
      <c r="E154" s="18">
        <f>E155</f>
        <v>0</v>
      </c>
      <c r="F154" s="18">
        <f t="shared" si="30"/>
        <v>8000</v>
      </c>
      <c r="G154" s="18">
        <f>G155</f>
        <v>0</v>
      </c>
      <c r="H154" s="18">
        <f t="shared" si="31"/>
        <v>8000</v>
      </c>
      <c r="I154" s="18">
        <f>I155</f>
        <v>0</v>
      </c>
      <c r="J154" s="18">
        <f t="shared" si="32"/>
        <v>8000</v>
      </c>
      <c r="K154" s="18">
        <f>K155</f>
        <v>0</v>
      </c>
      <c r="L154" s="18">
        <f t="shared" si="33"/>
        <v>8000</v>
      </c>
      <c r="M154" s="18">
        <f>M155</f>
        <v>0</v>
      </c>
      <c r="N154" s="18">
        <f t="shared" si="34"/>
        <v>8000</v>
      </c>
      <c r="O154" s="18">
        <f>O155</f>
        <v>-6980</v>
      </c>
      <c r="P154" s="18">
        <f t="shared" si="35"/>
        <v>1020</v>
      </c>
      <c r="Q154" s="18">
        <f>Q155</f>
        <v>0</v>
      </c>
      <c r="R154" s="18">
        <f t="shared" si="36"/>
        <v>1020</v>
      </c>
      <c r="S154" s="18">
        <f>S155</f>
        <v>0</v>
      </c>
      <c r="T154" s="18">
        <f t="shared" si="37"/>
        <v>1020</v>
      </c>
      <c r="U154" s="18">
        <f>U155</f>
        <v>0</v>
      </c>
      <c r="V154" s="18">
        <f t="shared" si="38"/>
        <v>1020</v>
      </c>
      <c r="W154" s="18">
        <f>W155</f>
        <v>0</v>
      </c>
      <c r="X154" s="18">
        <f t="shared" si="39"/>
        <v>1020</v>
      </c>
    </row>
    <row r="155" spans="1:27" x14ac:dyDescent="0.25">
      <c r="A155" s="9" t="s">
        <v>511</v>
      </c>
      <c r="B155" s="25" t="s">
        <v>283</v>
      </c>
      <c r="C155" s="25" t="s">
        <v>66</v>
      </c>
      <c r="D155" s="19">
        <v>8000</v>
      </c>
      <c r="E155" s="19"/>
      <c r="F155" s="18">
        <f t="shared" si="30"/>
        <v>8000</v>
      </c>
      <c r="G155" s="19"/>
      <c r="H155" s="18">
        <f t="shared" si="31"/>
        <v>8000</v>
      </c>
      <c r="I155" s="19"/>
      <c r="J155" s="18">
        <f t="shared" si="32"/>
        <v>8000</v>
      </c>
      <c r="K155" s="19"/>
      <c r="L155" s="18">
        <f t="shared" si="33"/>
        <v>8000</v>
      </c>
      <c r="M155" s="19"/>
      <c r="N155" s="18">
        <f t="shared" si="34"/>
        <v>8000</v>
      </c>
      <c r="O155" s="96">
        <v>-6980</v>
      </c>
      <c r="P155" s="18">
        <f t="shared" si="35"/>
        <v>1020</v>
      </c>
      <c r="Q155" s="64"/>
      <c r="R155" s="18">
        <f t="shared" si="36"/>
        <v>1020</v>
      </c>
      <c r="S155" s="64"/>
      <c r="T155" s="18">
        <f t="shared" si="37"/>
        <v>1020</v>
      </c>
      <c r="U155" s="64"/>
      <c r="V155" s="18">
        <f t="shared" si="38"/>
        <v>1020</v>
      </c>
      <c r="W155" s="64"/>
      <c r="X155" s="18">
        <f t="shared" si="39"/>
        <v>1020</v>
      </c>
      <c r="Z155" s="43">
        <f>X155+Y155</f>
        <v>1020</v>
      </c>
      <c r="AA155" s="43"/>
    </row>
    <row r="156" spans="1:27" x14ac:dyDescent="0.25">
      <c r="A156" s="13" t="s">
        <v>561</v>
      </c>
      <c r="B156" s="59" t="s">
        <v>576</v>
      </c>
      <c r="C156" s="60"/>
      <c r="D156" s="19"/>
      <c r="E156" s="20">
        <f>E157+E158</f>
        <v>3932.5</v>
      </c>
      <c r="F156" s="18">
        <f t="shared" si="30"/>
        <v>3932.5</v>
      </c>
      <c r="G156" s="20">
        <f>G157+G158</f>
        <v>0</v>
      </c>
      <c r="H156" s="18">
        <f t="shared" si="31"/>
        <v>3932.5</v>
      </c>
      <c r="I156" s="20">
        <f>I157+I158</f>
        <v>0</v>
      </c>
      <c r="J156" s="18">
        <f t="shared" si="32"/>
        <v>3932.5</v>
      </c>
      <c r="K156" s="20">
        <f>K157+K158</f>
        <v>0</v>
      </c>
      <c r="L156" s="18">
        <f t="shared" si="33"/>
        <v>3932.5</v>
      </c>
      <c r="M156" s="20">
        <f>M157+M158</f>
        <v>1607</v>
      </c>
      <c r="N156" s="18">
        <f t="shared" si="34"/>
        <v>5539.5</v>
      </c>
      <c r="O156" s="20">
        <f>O157+O158</f>
        <v>-3488.1</v>
      </c>
      <c r="P156" s="18">
        <f t="shared" si="35"/>
        <v>2051.4</v>
      </c>
      <c r="Q156" s="20">
        <f>Q157+Q158</f>
        <v>6650</v>
      </c>
      <c r="R156" s="18">
        <f t="shared" si="36"/>
        <v>8701.4</v>
      </c>
      <c r="S156" s="20">
        <f>S157+S158</f>
        <v>0</v>
      </c>
      <c r="T156" s="18">
        <f t="shared" si="37"/>
        <v>8701.4</v>
      </c>
      <c r="U156" s="20">
        <f>U157+U158</f>
        <v>0</v>
      </c>
      <c r="V156" s="18">
        <f t="shared" si="38"/>
        <v>8701.4</v>
      </c>
      <c r="W156" s="20">
        <f>W157+W158</f>
        <v>4667.2</v>
      </c>
      <c r="X156" s="18">
        <f t="shared" si="39"/>
        <v>13368.599999999999</v>
      </c>
    </row>
    <row r="157" spans="1:27" x14ac:dyDescent="0.25">
      <c r="A157" s="58" t="s">
        <v>511</v>
      </c>
      <c r="B157" s="61" t="s">
        <v>576</v>
      </c>
      <c r="C157" s="60" t="s">
        <v>66</v>
      </c>
      <c r="D157" s="19"/>
      <c r="E157" s="62">
        <v>3870</v>
      </c>
      <c r="F157" s="18">
        <f t="shared" si="30"/>
        <v>3870</v>
      </c>
      <c r="G157" s="64"/>
      <c r="H157" s="18">
        <f t="shared" si="31"/>
        <v>3870</v>
      </c>
      <c r="I157" s="64"/>
      <c r="J157" s="18">
        <f t="shared" si="32"/>
        <v>3870</v>
      </c>
      <c r="K157" s="64"/>
      <c r="L157" s="18">
        <f t="shared" si="33"/>
        <v>3870</v>
      </c>
      <c r="M157" s="62">
        <f>1189.3+417.7</f>
        <v>1607</v>
      </c>
      <c r="N157" s="18">
        <f t="shared" si="34"/>
        <v>5477</v>
      </c>
      <c r="O157" s="96">
        <v>-3425.6</v>
      </c>
      <c r="P157" s="18">
        <f t="shared" si="35"/>
        <v>2051.4</v>
      </c>
      <c r="Q157" s="44">
        <f>2500+4150</f>
        <v>6650</v>
      </c>
      <c r="R157" s="18">
        <f t="shared" si="36"/>
        <v>8701.4</v>
      </c>
      <c r="S157" s="64"/>
      <c r="T157" s="18">
        <f t="shared" si="37"/>
        <v>8701.4</v>
      </c>
      <c r="U157" s="64"/>
      <c r="V157" s="18">
        <f t="shared" si="38"/>
        <v>8701.4</v>
      </c>
      <c r="W157" s="44">
        <v>4667.2</v>
      </c>
      <c r="X157" s="18">
        <f t="shared" si="39"/>
        <v>13368.599999999999</v>
      </c>
      <c r="Y157" s="43">
        <v>4667.2</v>
      </c>
      <c r="Z157" s="43">
        <f t="shared" ref="Z157:Z158" si="48">X157+Y157</f>
        <v>18035.8</v>
      </c>
      <c r="AA157" s="43"/>
    </row>
    <row r="158" spans="1:27" hidden="1" x14ac:dyDescent="0.25">
      <c r="A158" s="51" t="s">
        <v>266</v>
      </c>
      <c r="B158" s="27" t="s">
        <v>576</v>
      </c>
      <c r="C158" s="27" t="s">
        <v>267</v>
      </c>
      <c r="D158" s="19"/>
      <c r="E158" s="62">
        <v>62.5</v>
      </c>
      <c r="F158" s="18">
        <f t="shared" si="30"/>
        <v>62.5</v>
      </c>
      <c r="G158" s="64"/>
      <c r="H158" s="18">
        <f t="shared" si="31"/>
        <v>62.5</v>
      </c>
      <c r="I158" s="64"/>
      <c r="J158" s="18">
        <f t="shared" si="32"/>
        <v>62.5</v>
      </c>
      <c r="K158" s="64"/>
      <c r="L158" s="18">
        <f t="shared" si="33"/>
        <v>62.5</v>
      </c>
      <c r="M158" s="64"/>
      <c r="N158" s="18">
        <f t="shared" si="34"/>
        <v>62.5</v>
      </c>
      <c r="O158" s="96">
        <v>-62.5</v>
      </c>
      <c r="P158" s="18">
        <f t="shared" si="35"/>
        <v>0</v>
      </c>
      <c r="Q158" s="64"/>
      <c r="R158" s="18">
        <f t="shared" si="36"/>
        <v>0</v>
      </c>
      <c r="S158" s="64"/>
      <c r="T158" s="18">
        <f t="shared" si="37"/>
        <v>0</v>
      </c>
      <c r="U158" s="64"/>
      <c r="V158" s="18">
        <f t="shared" si="38"/>
        <v>0</v>
      </c>
      <c r="W158" s="64"/>
      <c r="X158" s="18">
        <f t="shared" si="39"/>
        <v>0</v>
      </c>
      <c r="Z158" s="43">
        <f t="shared" si="48"/>
        <v>0</v>
      </c>
      <c r="AA158" s="43"/>
    </row>
    <row r="159" spans="1:27" x14ac:dyDescent="0.25">
      <c r="A159" s="33" t="s">
        <v>706</v>
      </c>
      <c r="B159" s="26" t="s">
        <v>709</v>
      </c>
      <c r="C159" s="27"/>
      <c r="D159" s="19"/>
      <c r="E159" s="62"/>
      <c r="F159" s="18"/>
      <c r="G159" s="64"/>
      <c r="H159" s="18"/>
      <c r="I159" s="64"/>
      <c r="J159" s="18"/>
      <c r="K159" s="20">
        <f>K161</f>
        <v>2204</v>
      </c>
      <c r="L159" s="18">
        <f t="shared" si="33"/>
        <v>2204</v>
      </c>
      <c r="M159" s="20">
        <f>M161+M160</f>
        <v>0</v>
      </c>
      <c r="N159" s="18">
        <f t="shared" si="34"/>
        <v>2204</v>
      </c>
      <c r="O159" s="20">
        <f>O161+O160</f>
        <v>0</v>
      </c>
      <c r="P159" s="18">
        <f t="shared" si="35"/>
        <v>2204</v>
      </c>
      <c r="Q159" s="20">
        <f>Q161+Q160</f>
        <v>917</v>
      </c>
      <c r="R159" s="18">
        <f t="shared" si="36"/>
        <v>3121</v>
      </c>
      <c r="S159" s="20">
        <f>S161+S160</f>
        <v>-793.5</v>
      </c>
      <c r="T159" s="18">
        <f t="shared" si="37"/>
        <v>2327.5</v>
      </c>
      <c r="U159" s="20">
        <f>U161+U160</f>
        <v>0</v>
      </c>
      <c r="V159" s="18">
        <f t="shared" si="38"/>
        <v>2327.5</v>
      </c>
      <c r="W159" s="20">
        <f>W161+W160</f>
        <v>0</v>
      </c>
      <c r="X159" s="18">
        <f t="shared" si="39"/>
        <v>2327.5</v>
      </c>
    </row>
    <row r="160" spans="1:27" x14ac:dyDescent="0.25">
      <c r="A160" s="7" t="s">
        <v>54</v>
      </c>
      <c r="B160" s="27" t="s">
        <v>709</v>
      </c>
      <c r="C160" s="27" t="s">
        <v>34</v>
      </c>
      <c r="D160" s="19"/>
      <c r="E160" s="62"/>
      <c r="F160" s="18"/>
      <c r="G160" s="64"/>
      <c r="H160" s="18"/>
      <c r="I160" s="64"/>
      <c r="J160" s="18"/>
      <c r="K160" s="20"/>
      <c r="L160" s="18"/>
      <c r="M160" s="62">
        <v>599.6</v>
      </c>
      <c r="N160" s="18">
        <f t="shared" si="34"/>
        <v>599.6</v>
      </c>
      <c r="O160" s="64"/>
      <c r="P160" s="18">
        <f t="shared" si="35"/>
        <v>599.6</v>
      </c>
      <c r="Q160" s="64"/>
      <c r="R160" s="18">
        <f t="shared" si="36"/>
        <v>599.6</v>
      </c>
      <c r="S160" s="62">
        <v>-500.9</v>
      </c>
      <c r="T160" s="18">
        <f t="shared" si="37"/>
        <v>98.700000000000045</v>
      </c>
      <c r="U160" s="64"/>
      <c r="V160" s="18">
        <f t="shared" si="38"/>
        <v>98.700000000000045</v>
      </c>
      <c r="W160" s="64"/>
      <c r="X160" s="18">
        <f t="shared" si="39"/>
        <v>98.700000000000045</v>
      </c>
      <c r="Z160" s="43">
        <f t="shared" ref="Z160:Z161" si="49">X160+Y160</f>
        <v>98.700000000000045</v>
      </c>
      <c r="AA160" s="43"/>
    </row>
    <row r="161" spans="1:27" x14ac:dyDescent="0.25">
      <c r="A161" s="8" t="s">
        <v>511</v>
      </c>
      <c r="B161" s="27" t="s">
        <v>709</v>
      </c>
      <c r="C161" s="27" t="s">
        <v>66</v>
      </c>
      <c r="D161" s="19"/>
      <c r="E161" s="62"/>
      <c r="F161" s="18"/>
      <c r="G161" s="64"/>
      <c r="H161" s="18"/>
      <c r="I161" s="64"/>
      <c r="J161" s="18"/>
      <c r="K161" s="97">
        <f>211+465+289.7+383.7+854.6</f>
        <v>2204</v>
      </c>
      <c r="L161" s="18">
        <f t="shared" si="33"/>
        <v>2204</v>
      </c>
      <c r="M161" s="62">
        <f>237-836.6</f>
        <v>-599.6</v>
      </c>
      <c r="N161" s="18">
        <f t="shared" si="34"/>
        <v>1604.4</v>
      </c>
      <c r="O161" s="64"/>
      <c r="P161" s="18">
        <f t="shared" si="35"/>
        <v>1604.4</v>
      </c>
      <c r="Q161" s="44">
        <v>917</v>
      </c>
      <c r="R161" s="18">
        <f t="shared" si="36"/>
        <v>2521.4</v>
      </c>
      <c r="S161" s="62">
        <v>-292.60000000000002</v>
      </c>
      <c r="T161" s="18">
        <f t="shared" si="37"/>
        <v>2228.8000000000002</v>
      </c>
      <c r="U161" s="64"/>
      <c r="V161" s="18">
        <f t="shared" si="38"/>
        <v>2228.8000000000002</v>
      </c>
      <c r="W161" s="64"/>
      <c r="X161" s="18">
        <f t="shared" si="39"/>
        <v>2228.8000000000002</v>
      </c>
      <c r="Z161" s="43">
        <f t="shared" si="49"/>
        <v>2228.8000000000002</v>
      </c>
      <c r="AA161" s="43"/>
    </row>
    <row r="162" spans="1:27" ht="24.75" x14ac:dyDescent="0.25">
      <c r="A162" s="13" t="s">
        <v>524</v>
      </c>
      <c r="B162" s="24" t="s">
        <v>519</v>
      </c>
      <c r="C162" s="24" t="s">
        <v>2</v>
      </c>
      <c r="D162" s="18">
        <f>D163+D164</f>
        <v>1200</v>
      </c>
      <c r="E162" s="18">
        <f>E163+E164</f>
        <v>0</v>
      </c>
      <c r="F162" s="18">
        <f t="shared" si="30"/>
        <v>1200</v>
      </c>
      <c r="G162" s="18">
        <f>G163+G164</f>
        <v>0</v>
      </c>
      <c r="H162" s="18">
        <f t="shared" si="31"/>
        <v>1200</v>
      </c>
      <c r="I162" s="18">
        <f>I163+I164</f>
        <v>0</v>
      </c>
      <c r="J162" s="18">
        <f t="shared" si="32"/>
        <v>1200</v>
      </c>
      <c r="K162" s="18">
        <f>K163+K164</f>
        <v>-300</v>
      </c>
      <c r="L162" s="18">
        <f t="shared" si="33"/>
        <v>900</v>
      </c>
      <c r="M162" s="18">
        <f>M163+M164</f>
        <v>0</v>
      </c>
      <c r="N162" s="18">
        <f t="shared" si="34"/>
        <v>900</v>
      </c>
      <c r="O162" s="18">
        <f>O163+O164</f>
        <v>0</v>
      </c>
      <c r="P162" s="18">
        <f t="shared" si="35"/>
        <v>900</v>
      </c>
      <c r="Q162" s="18">
        <f>Q163+Q164</f>
        <v>-300</v>
      </c>
      <c r="R162" s="18">
        <f t="shared" si="36"/>
        <v>600</v>
      </c>
      <c r="S162" s="18">
        <f>S163+S164</f>
        <v>0</v>
      </c>
      <c r="T162" s="18">
        <f t="shared" si="37"/>
        <v>600</v>
      </c>
      <c r="U162" s="18">
        <f>U163+U164</f>
        <v>0</v>
      </c>
      <c r="V162" s="18">
        <f t="shared" si="38"/>
        <v>600</v>
      </c>
      <c r="W162" s="18">
        <f>W163+W164</f>
        <v>0</v>
      </c>
      <c r="X162" s="18">
        <f t="shared" si="39"/>
        <v>600</v>
      </c>
    </row>
    <row r="163" spans="1:27" x14ac:dyDescent="0.25">
      <c r="A163" s="9" t="s">
        <v>511</v>
      </c>
      <c r="B163" s="25" t="s">
        <v>519</v>
      </c>
      <c r="C163" s="25" t="s">
        <v>66</v>
      </c>
      <c r="D163" s="19">
        <v>900</v>
      </c>
      <c r="E163" s="19"/>
      <c r="F163" s="18">
        <f t="shared" si="30"/>
        <v>900</v>
      </c>
      <c r="G163" s="19"/>
      <c r="H163" s="18">
        <f t="shared" si="31"/>
        <v>900</v>
      </c>
      <c r="I163" s="19"/>
      <c r="J163" s="18">
        <f t="shared" si="32"/>
        <v>900</v>
      </c>
      <c r="K163" s="44">
        <v>-300</v>
      </c>
      <c r="L163" s="18">
        <f t="shared" si="33"/>
        <v>600</v>
      </c>
      <c r="M163" s="64"/>
      <c r="N163" s="18">
        <f t="shared" si="34"/>
        <v>600</v>
      </c>
      <c r="O163" s="64"/>
      <c r="P163" s="18">
        <f t="shared" si="35"/>
        <v>600</v>
      </c>
      <c r="Q163" s="64"/>
      <c r="R163" s="18">
        <f t="shared" si="36"/>
        <v>600</v>
      </c>
      <c r="S163" s="64"/>
      <c r="T163" s="18">
        <f t="shared" si="37"/>
        <v>600</v>
      </c>
      <c r="U163" s="64"/>
      <c r="V163" s="18">
        <f t="shared" si="38"/>
        <v>600</v>
      </c>
      <c r="W163" s="64"/>
      <c r="X163" s="18">
        <f t="shared" si="39"/>
        <v>600</v>
      </c>
      <c r="Z163" s="43">
        <f t="shared" ref="Z163:Z164" si="50">X163+Y163</f>
        <v>600</v>
      </c>
      <c r="AA163" s="43"/>
    </row>
    <row r="164" spans="1:27" hidden="1" x14ac:dyDescent="0.25">
      <c r="A164" s="9" t="s">
        <v>266</v>
      </c>
      <c r="B164" s="25" t="s">
        <v>519</v>
      </c>
      <c r="C164" s="25" t="s">
        <v>267</v>
      </c>
      <c r="D164" s="19">
        <v>300</v>
      </c>
      <c r="E164" s="19"/>
      <c r="F164" s="18">
        <f t="shared" si="30"/>
        <v>300</v>
      </c>
      <c r="G164" s="19"/>
      <c r="H164" s="18">
        <f t="shared" si="31"/>
        <v>300</v>
      </c>
      <c r="I164" s="19"/>
      <c r="J164" s="18">
        <f t="shared" si="32"/>
        <v>300</v>
      </c>
      <c r="K164" s="19"/>
      <c r="L164" s="18">
        <f t="shared" si="33"/>
        <v>300</v>
      </c>
      <c r="M164" s="19"/>
      <c r="N164" s="18">
        <f t="shared" si="34"/>
        <v>300</v>
      </c>
      <c r="O164" s="44"/>
      <c r="P164" s="18">
        <f t="shared" si="35"/>
        <v>300</v>
      </c>
      <c r="Q164" s="44">
        <v>-300</v>
      </c>
      <c r="R164" s="18">
        <f t="shared" si="36"/>
        <v>0</v>
      </c>
      <c r="S164" s="64"/>
      <c r="T164" s="18">
        <f t="shared" si="37"/>
        <v>0</v>
      </c>
      <c r="U164" s="64"/>
      <c r="V164" s="18">
        <f t="shared" si="38"/>
        <v>0</v>
      </c>
      <c r="W164" s="64"/>
      <c r="X164" s="18">
        <f t="shared" si="39"/>
        <v>0</v>
      </c>
      <c r="Z164" s="43">
        <f t="shared" si="50"/>
        <v>0</v>
      </c>
      <c r="AA164" s="43"/>
    </row>
    <row r="165" spans="1:27" ht="36.75" x14ac:dyDescent="0.25">
      <c r="A165" s="13" t="s">
        <v>523</v>
      </c>
      <c r="B165" s="26" t="s">
        <v>542</v>
      </c>
      <c r="C165" s="26" t="s">
        <v>2</v>
      </c>
      <c r="D165" s="18">
        <f>D166+D167</f>
        <v>1817</v>
      </c>
      <c r="E165" s="18">
        <f>E166+E167</f>
        <v>0</v>
      </c>
      <c r="F165" s="18">
        <f t="shared" si="30"/>
        <v>1817</v>
      </c>
      <c r="G165" s="18">
        <f>G166+G167</f>
        <v>0</v>
      </c>
      <c r="H165" s="18">
        <f t="shared" si="31"/>
        <v>1817</v>
      </c>
      <c r="I165" s="18">
        <f>I166+I167</f>
        <v>0</v>
      </c>
      <c r="J165" s="18">
        <f t="shared" si="32"/>
        <v>1817</v>
      </c>
      <c r="K165" s="18">
        <f>K166+K167</f>
        <v>300</v>
      </c>
      <c r="L165" s="18">
        <f t="shared" si="33"/>
        <v>2117</v>
      </c>
      <c r="M165" s="18">
        <f>M166+M167</f>
        <v>0</v>
      </c>
      <c r="N165" s="18">
        <f t="shared" si="34"/>
        <v>2117</v>
      </c>
      <c r="O165" s="18">
        <f>O166+O167</f>
        <v>-168</v>
      </c>
      <c r="P165" s="18">
        <f t="shared" si="35"/>
        <v>1949</v>
      </c>
      <c r="Q165" s="18">
        <f>Q166+Q167</f>
        <v>0</v>
      </c>
      <c r="R165" s="18">
        <f t="shared" si="36"/>
        <v>1949</v>
      </c>
      <c r="S165" s="18">
        <f>S166+S167</f>
        <v>0</v>
      </c>
      <c r="T165" s="18">
        <f t="shared" si="37"/>
        <v>1949</v>
      </c>
      <c r="U165" s="18">
        <f>U166+U167</f>
        <v>0</v>
      </c>
      <c r="V165" s="18">
        <f t="shared" si="38"/>
        <v>1949</v>
      </c>
      <c r="W165" s="18">
        <f>W166+W167</f>
        <v>0</v>
      </c>
      <c r="X165" s="18">
        <f t="shared" si="39"/>
        <v>1949</v>
      </c>
    </row>
    <row r="166" spans="1:27" x14ac:dyDescent="0.25">
      <c r="A166" s="8" t="s">
        <v>511</v>
      </c>
      <c r="B166" s="27" t="s">
        <v>542</v>
      </c>
      <c r="C166" s="27" t="s">
        <v>66</v>
      </c>
      <c r="D166" s="19">
        <v>1617</v>
      </c>
      <c r="E166" s="19"/>
      <c r="F166" s="18">
        <f t="shared" si="30"/>
        <v>1617</v>
      </c>
      <c r="G166" s="19"/>
      <c r="H166" s="18">
        <f t="shared" si="31"/>
        <v>1617</v>
      </c>
      <c r="I166" s="19"/>
      <c r="J166" s="18">
        <f t="shared" si="32"/>
        <v>1617</v>
      </c>
      <c r="K166" s="44">
        <v>300</v>
      </c>
      <c r="L166" s="18">
        <f t="shared" si="33"/>
        <v>1917</v>
      </c>
      <c r="M166" s="64"/>
      <c r="N166" s="18">
        <f t="shared" si="34"/>
        <v>1917</v>
      </c>
      <c r="O166" s="44">
        <v>-168</v>
      </c>
      <c r="P166" s="18">
        <f t="shared" si="35"/>
        <v>1749</v>
      </c>
      <c r="Q166" s="64"/>
      <c r="R166" s="18">
        <f t="shared" si="36"/>
        <v>1749</v>
      </c>
      <c r="S166" s="64"/>
      <c r="T166" s="18">
        <f t="shared" si="37"/>
        <v>1749</v>
      </c>
      <c r="U166" s="64"/>
      <c r="V166" s="18">
        <f t="shared" si="38"/>
        <v>1749</v>
      </c>
      <c r="W166" s="64"/>
      <c r="X166" s="18">
        <f t="shared" si="39"/>
        <v>1749</v>
      </c>
      <c r="Z166" s="43">
        <f t="shared" ref="Z166:Z167" si="51">X166+Y166</f>
        <v>1749</v>
      </c>
      <c r="AA166" s="43"/>
    </row>
    <row r="167" spans="1:27" x14ac:dyDescent="0.25">
      <c r="A167" s="8" t="s">
        <v>266</v>
      </c>
      <c r="B167" s="27" t="s">
        <v>542</v>
      </c>
      <c r="C167" s="27" t="s">
        <v>267</v>
      </c>
      <c r="D167" s="19">
        <v>200</v>
      </c>
      <c r="E167" s="19"/>
      <c r="F167" s="18">
        <f t="shared" si="30"/>
        <v>200</v>
      </c>
      <c r="G167" s="19"/>
      <c r="H167" s="18">
        <f t="shared" si="31"/>
        <v>200</v>
      </c>
      <c r="I167" s="19"/>
      <c r="J167" s="18">
        <f t="shared" si="32"/>
        <v>200</v>
      </c>
      <c r="K167" s="19"/>
      <c r="L167" s="18">
        <f t="shared" si="33"/>
        <v>200</v>
      </c>
      <c r="M167" s="19"/>
      <c r="N167" s="18">
        <f t="shared" si="34"/>
        <v>200</v>
      </c>
      <c r="O167" s="19"/>
      <c r="P167" s="18">
        <f t="shared" si="35"/>
        <v>200</v>
      </c>
      <c r="Q167" s="19"/>
      <c r="R167" s="18">
        <f t="shared" si="36"/>
        <v>200</v>
      </c>
      <c r="S167" s="64"/>
      <c r="T167" s="18">
        <f t="shared" si="37"/>
        <v>200</v>
      </c>
      <c r="U167" s="64"/>
      <c r="V167" s="18">
        <f t="shared" si="38"/>
        <v>200</v>
      </c>
      <c r="W167" s="64"/>
      <c r="X167" s="18">
        <f t="shared" si="39"/>
        <v>200</v>
      </c>
      <c r="Z167" s="43">
        <f t="shared" si="51"/>
        <v>200</v>
      </c>
      <c r="AA167" s="43"/>
    </row>
    <row r="168" spans="1:27" ht="36.75" x14ac:dyDescent="0.25">
      <c r="A168" s="13" t="s">
        <v>271</v>
      </c>
      <c r="B168" s="24" t="s">
        <v>272</v>
      </c>
      <c r="C168" s="24" t="s">
        <v>2</v>
      </c>
      <c r="D168" s="18">
        <f>D169+D170</f>
        <v>18000</v>
      </c>
      <c r="E168" s="18">
        <f>E169+E170</f>
        <v>0</v>
      </c>
      <c r="F168" s="18">
        <f t="shared" si="30"/>
        <v>18000</v>
      </c>
      <c r="G168" s="18">
        <f>G169+G170</f>
        <v>0</v>
      </c>
      <c r="H168" s="18">
        <f t="shared" si="31"/>
        <v>18000</v>
      </c>
      <c r="I168" s="18">
        <f>I169+I170</f>
        <v>0</v>
      </c>
      <c r="J168" s="18">
        <f t="shared" si="32"/>
        <v>18000</v>
      </c>
      <c r="K168" s="18">
        <f>K169+K170</f>
        <v>-88</v>
      </c>
      <c r="L168" s="18">
        <f t="shared" si="33"/>
        <v>17912</v>
      </c>
      <c r="M168" s="18">
        <f>M169+M170</f>
        <v>0</v>
      </c>
      <c r="N168" s="18">
        <f t="shared" si="34"/>
        <v>17912</v>
      </c>
      <c r="O168" s="18">
        <f>O169+O170</f>
        <v>0</v>
      </c>
      <c r="P168" s="18">
        <f t="shared" si="35"/>
        <v>17912</v>
      </c>
      <c r="Q168" s="18">
        <f>Q169+Q170</f>
        <v>-37.5</v>
      </c>
      <c r="R168" s="18">
        <f t="shared" si="36"/>
        <v>17874.5</v>
      </c>
      <c r="S168" s="18">
        <f>S169+S170</f>
        <v>27.5</v>
      </c>
      <c r="T168" s="18">
        <f t="shared" si="37"/>
        <v>17902</v>
      </c>
      <c r="U168" s="18">
        <f>U169+U170</f>
        <v>614.29999999999995</v>
      </c>
      <c r="V168" s="18">
        <f t="shared" si="38"/>
        <v>18516.3</v>
      </c>
      <c r="W168" s="18">
        <f>W169+W170</f>
        <v>563.9</v>
      </c>
      <c r="X168" s="18">
        <f t="shared" si="39"/>
        <v>19080.2</v>
      </c>
    </row>
    <row r="169" spans="1:27" x14ac:dyDescent="0.25">
      <c r="A169" s="9" t="s">
        <v>511</v>
      </c>
      <c r="B169" s="25" t="s">
        <v>272</v>
      </c>
      <c r="C169" s="25" t="s">
        <v>66</v>
      </c>
      <c r="D169" s="19">
        <v>15700</v>
      </c>
      <c r="E169" s="19"/>
      <c r="F169" s="18">
        <f t="shared" si="30"/>
        <v>15700</v>
      </c>
      <c r="G169" s="19"/>
      <c r="H169" s="18">
        <f t="shared" si="31"/>
        <v>15700</v>
      </c>
      <c r="I169" s="19"/>
      <c r="J169" s="18">
        <f t="shared" si="32"/>
        <v>15700</v>
      </c>
      <c r="K169" s="106">
        <v>-88</v>
      </c>
      <c r="L169" s="18">
        <f t="shared" si="33"/>
        <v>15612</v>
      </c>
      <c r="M169" s="62">
        <f>-39.4-55.6+1325.4</f>
        <v>1230.4000000000001</v>
      </c>
      <c r="N169" s="18">
        <f t="shared" si="34"/>
        <v>16842.400000000001</v>
      </c>
      <c r="O169" s="64"/>
      <c r="P169" s="18">
        <f t="shared" si="35"/>
        <v>16842.400000000001</v>
      </c>
      <c r="Q169" s="44">
        <f>-27.5-42.8</f>
        <v>-70.3</v>
      </c>
      <c r="R169" s="18">
        <f t="shared" si="36"/>
        <v>16772.100000000002</v>
      </c>
      <c r="S169" s="62">
        <v>8.3000000000000007</v>
      </c>
      <c r="T169" s="18">
        <f t="shared" si="37"/>
        <v>16780.400000000001</v>
      </c>
      <c r="U169" s="96">
        <v>741.3</v>
      </c>
      <c r="V169" s="18">
        <f t="shared" si="38"/>
        <v>17521.7</v>
      </c>
      <c r="W169" s="44">
        <v>563.9</v>
      </c>
      <c r="X169" s="18">
        <f t="shared" si="39"/>
        <v>18085.600000000002</v>
      </c>
      <c r="Y169" s="43">
        <v>563.9</v>
      </c>
      <c r="Z169" s="43">
        <f t="shared" ref="Z169:Z170" si="52">X169+Y169</f>
        <v>18649.500000000004</v>
      </c>
      <c r="AA169" s="43"/>
    </row>
    <row r="170" spans="1:27" x14ac:dyDescent="0.25">
      <c r="A170" s="9" t="s">
        <v>266</v>
      </c>
      <c r="B170" s="25" t="s">
        <v>272</v>
      </c>
      <c r="C170" s="25" t="s">
        <v>267</v>
      </c>
      <c r="D170" s="19">
        <v>2300</v>
      </c>
      <c r="E170" s="19"/>
      <c r="F170" s="18">
        <f t="shared" si="30"/>
        <v>2300</v>
      </c>
      <c r="G170" s="19"/>
      <c r="H170" s="18">
        <f t="shared" si="31"/>
        <v>2300</v>
      </c>
      <c r="I170" s="19"/>
      <c r="J170" s="18">
        <f t="shared" si="32"/>
        <v>2300</v>
      </c>
      <c r="K170" s="19"/>
      <c r="L170" s="18">
        <f t="shared" si="33"/>
        <v>2300</v>
      </c>
      <c r="M170" s="62">
        <f>95-1325.4</f>
        <v>-1230.4000000000001</v>
      </c>
      <c r="N170" s="18">
        <f t="shared" si="34"/>
        <v>1069.5999999999999</v>
      </c>
      <c r="O170" s="64"/>
      <c r="P170" s="18">
        <f t="shared" si="35"/>
        <v>1069.5999999999999</v>
      </c>
      <c r="Q170" s="44">
        <v>32.799999999999997</v>
      </c>
      <c r="R170" s="18">
        <f t="shared" si="36"/>
        <v>1102.3999999999999</v>
      </c>
      <c r="S170" s="62">
        <v>19.2</v>
      </c>
      <c r="T170" s="18">
        <f t="shared" si="37"/>
        <v>1121.5999999999999</v>
      </c>
      <c r="U170" s="96">
        <v>-127</v>
      </c>
      <c r="V170" s="18">
        <f t="shared" si="38"/>
        <v>994.59999999999991</v>
      </c>
      <c r="W170" s="64"/>
      <c r="X170" s="18">
        <f t="shared" si="39"/>
        <v>994.59999999999991</v>
      </c>
      <c r="Z170" s="43">
        <f t="shared" si="52"/>
        <v>994.59999999999991</v>
      </c>
      <c r="AA170" s="43"/>
    </row>
    <row r="171" spans="1:27" x14ac:dyDescent="0.25">
      <c r="A171" s="13" t="s">
        <v>548</v>
      </c>
      <c r="B171" s="24" t="s">
        <v>547</v>
      </c>
      <c r="C171" s="24" t="s">
        <v>2</v>
      </c>
      <c r="D171" s="18">
        <f>D172+D173</f>
        <v>30533.7</v>
      </c>
      <c r="E171" s="18">
        <f>E172+E173</f>
        <v>0</v>
      </c>
      <c r="F171" s="18">
        <f t="shared" si="30"/>
        <v>30533.7</v>
      </c>
      <c r="G171" s="18">
        <f>G172+G173</f>
        <v>0</v>
      </c>
      <c r="H171" s="18">
        <f t="shared" si="31"/>
        <v>30533.7</v>
      </c>
      <c r="I171" s="18">
        <f>I172+I173</f>
        <v>0</v>
      </c>
      <c r="J171" s="18">
        <f t="shared" si="32"/>
        <v>30533.7</v>
      </c>
      <c r="K171" s="18">
        <f>K172+K173</f>
        <v>-18654.3</v>
      </c>
      <c r="L171" s="18">
        <f t="shared" si="33"/>
        <v>11879.400000000001</v>
      </c>
      <c r="M171" s="18">
        <f>M172+M173</f>
        <v>-5761.1</v>
      </c>
      <c r="N171" s="18">
        <f t="shared" si="34"/>
        <v>6118.3000000000011</v>
      </c>
      <c r="O171" s="18">
        <f>O172+O173</f>
        <v>0</v>
      </c>
      <c r="P171" s="18">
        <f t="shared" si="35"/>
        <v>6118.3000000000011</v>
      </c>
      <c r="Q171" s="18">
        <f>Q172+Q173</f>
        <v>-28.1</v>
      </c>
      <c r="R171" s="18">
        <f t="shared" si="36"/>
        <v>6090.2000000000007</v>
      </c>
      <c r="S171" s="18">
        <f>S172+S173</f>
        <v>5400</v>
      </c>
      <c r="T171" s="18">
        <f t="shared" si="37"/>
        <v>11490.2</v>
      </c>
      <c r="U171" s="18">
        <f>U172+U173</f>
        <v>0</v>
      </c>
      <c r="V171" s="18">
        <f t="shared" si="38"/>
        <v>11490.2</v>
      </c>
      <c r="W171" s="18">
        <f>W172+W173</f>
        <v>-411.9</v>
      </c>
      <c r="X171" s="18">
        <f t="shared" si="39"/>
        <v>11078.300000000001</v>
      </c>
    </row>
    <row r="172" spans="1:27" x14ac:dyDescent="0.25">
      <c r="A172" s="9" t="s">
        <v>511</v>
      </c>
      <c r="B172" s="25" t="s">
        <v>547</v>
      </c>
      <c r="C172" s="25" t="s">
        <v>66</v>
      </c>
      <c r="D172" s="19">
        <v>29007</v>
      </c>
      <c r="E172" s="19"/>
      <c r="F172" s="18">
        <f t="shared" si="30"/>
        <v>29007</v>
      </c>
      <c r="G172" s="19"/>
      <c r="H172" s="18">
        <f t="shared" si="31"/>
        <v>29007</v>
      </c>
      <c r="I172" s="62">
        <f>-317.5+317.5</f>
        <v>0</v>
      </c>
      <c r="J172" s="18">
        <f t="shared" si="32"/>
        <v>29007</v>
      </c>
      <c r="K172" s="97">
        <f>5789.2-23406.9</f>
        <v>-17617.7</v>
      </c>
      <c r="L172" s="18">
        <f t="shared" si="33"/>
        <v>11389.3</v>
      </c>
      <c r="M172" s="62">
        <v>-5761.1</v>
      </c>
      <c r="N172" s="18">
        <f t="shared" si="34"/>
        <v>5628.1999999999989</v>
      </c>
      <c r="O172" s="64"/>
      <c r="P172" s="18">
        <f t="shared" si="35"/>
        <v>5628.1999999999989</v>
      </c>
      <c r="Q172" s="44">
        <v>-28.1</v>
      </c>
      <c r="R172" s="18">
        <f t="shared" si="36"/>
        <v>5600.0999999999985</v>
      </c>
      <c r="S172" s="44">
        <v>5070</v>
      </c>
      <c r="T172" s="18">
        <f t="shared" si="37"/>
        <v>10670.099999999999</v>
      </c>
      <c r="U172" s="64"/>
      <c r="V172" s="18">
        <f t="shared" si="38"/>
        <v>10670.099999999999</v>
      </c>
      <c r="W172" s="44">
        <v>-311.89999999999998</v>
      </c>
      <c r="X172" s="18">
        <f t="shared" si="39"/>
        <v>10358.199999999999</v>
      </c>
      <c r="Y172" s="43">
        <v>-311.89999999999998</v>
      </c>
      <c r="Z172" s="43">
        <f t="shared" ref="Z172:Z173" si="53">X172+Y172</f>
        <v>10046.299999999999</v>
      </c>
      <c r="AA172" s="43"/>
    </row>
    <row r="173" spans="1:27" x14ac:dyDescent="0.25">
      <c r="A173" s="9" t="s">
        <v>266</v>
      </c>
      <c r="B173" s="25" t="s">
        <v>547</v>
      </c>
      <c r="C173" s="25" t="s">
        <v>267</v>
      </c>
      <c r="D173" s="19">
        <v>1526.7</v>
      </c>
      <c r="E173" s="19"/>
      <c r="F173" s="18">
        <f t="shared" si="30"/>
        <v>1526.7</v>
      </c>
      <c r="G173" s="19"/>
      <c r="H173" s="18">
        <f t="shared" si="31"/>
        <v>1526.7</v>
      </c>
      <c r="I173" s="19"/>
      <c r="J173" s="18">
        <f t="shared" si="32"/>
        <v>1526.7</v>
      </c>
      <c r="K173" s="106">
        <v>-1036.5999999999999</v>
      </c>
      <c r="L173" s="18">
        <f t="shared" si="33"/>
        <v>490.10000000000014</v>
      </c>
      <c r="M173" s="64"/>
      <c r="N173" s="18">
        <f t="shared" si="34"/>
        <v>490.10000000000014</v>
      </c>
      <c r="O173" s="64"/>
      <c r="P173" s="18">
        <f t="shared" si="35"/>
        <v>490.10000000000014</v>
      </c>
      <c r="Q173" s="64"/>
      <c r="R173" s="18">
        <f t="shared" si="36"/>
        <v>490.10000000000014</v>
      </c>
      <c r="S173" s="44">
        <v>330</v>
      </c>
      <c r="T173" s="18">
        <f t="shared" si="37"/>
        <v>820.10000000000014</v>
      </c>
      <c r="U173" s="64"/>
      <c r="V173" s="18">
        <f t="shared" si="38"/>
        <v>820.10000000000014</v>
      </c>
      <c r="W173" s="44">
        <v>-100</v>
      </c>
      <c r="X173" s="18">
        <f t="shared" si="39"/>
        <v>720.10000000000014</v>
      </c>
      <c r="Y173" s="43">
        <v>-100</v>
      </c>
      <c r="Z173" s="43">
        <f t="shared" si="53"/>
        <v>620.10000000000014</v>
      </c>
      <c r="AA173" s="43"/>
    </row>
    <row r="174" spans="1:27" ht="24.75" x14ac:dyDescent="0.25">
      <c r="A174" s="101" t="s">
        <v>132</v>
      </c>
      <c r="B174" s="24" t="s">
        <v>1301</v>
      </c>
      <c r="C174" s="25"/>
      <c r="D174" s="19"/>
      <c r="E174" s="19"/>
      <c r="F174" s="18"/>
      <c r="G174" s="19"/>
      <c r="H174" s="18"/>
      <c r="I174" s="19"/>
      <c r="J174" s="18"/>
      <c r="K174" s="106"/>
      <c r="L174" s="18"/>
      <c r="M174" s="64"/>
      <c r="N174" s="18"/>
      <c r="O174" s="64"/>
      <c r="P174" s="18"/>
      <c r="Q174" s="64"/>
      <c r="R174" s="18"/>
      <c r="S174" s="44"/>
      <c r="T174" s="18"/>
      <c r="U174" s="47">
        <f>U175</f>
        <v>1201.3</v>
      </c>
      <c r="V174" s="18">
        <f t="shared" si="38"/>
        <v>1201.3</v>
      </c>
      <c r="W174" s="47">
        <f>W175</f>
        <v>-617</v>
      </c>
      <c r="X174" s="18">
        <f t="shared" si="39"/>
        <v>584.29999999999995</v>
      </c>
    </row>
    <row r="175" spans="1:27" ht="18.75" customHeight="1" x14ac:dyDescent="0.25">
      <c r="A175" s="9" t="s">
        <v>54</v>
      </c>
      <c r="B175" s="25" t="s">
        <v>1301</v>
      </c>
      <c r="C175" s="25" t="s">
        <v>34</v>
      </c>
      <c r="D175" s="19"/>
      <c r="E175" s="19"/>
      <c r="F175" s="18"/>
      <c r="G175" s="19"/>
      <c r="H175" s="18"/>
      <c r="I175" s="19"/>
      <c r="J175" s="18"/>
      <c r="K175" s="106"/>
      <c r="L175" s="18"/>
      <c r="M175" s="64"/>
      <c r="N175" s="18"/>
      <c r="O175" s="64"/>
      <c r="P175" s="18"/>
      <c r="Q175" s="64"/>
      <c r="R175" s="18"/>
      <c r="S175" s="44"/>
      <c r="T175" s="18"/>
      <c r="U175" s="96">
        <v>1201.3</v>
      </c>
      <c r="V175" s="18">
        <f t="shared" si="38"/>
        <v>1201.3</v>
      </c>
      <c r="W175" s="44">
        <v>-617</v>
      </c>
      <c r="X175" s="18">
        <f t="shared" si="39"/>
        <v>584.29999999999995</v>
      </c>
      <c r="Y175" s="43">
        <v>-617</v>
      </c>
      <c r="Z175" s="43">
        <f>X175+Y175</f>
        <v>-32.700000000000045</v>
      </c>
      <c r="AA175" s="43"/>
    </row>
    <row r="176" spans="1:27" ht="24.75" x14ac:dyDescent="0.25">
      <c r="A176" s="13" t="s">
        <v>284</v>
      </c>
      <c r="B176" s="24" t="s">
        <v>285</v>
      </c>
      <c r="C176" s="24" t="s">
        <v>2</v>
      </c>
      <c r="D176" s="18">
        <f>D177</f>
        <v>269300.09999999998</v>
      </c>
      <c r="E176" s="18">
        <f>E177+E180</f>
        <v>409742.30000000005</v>
      </c>
      <c r="F176" s="18">
        <f t="shared" si="30"/>
        <v>679042.4</v>
      </c>
      <c r="G176" s="18">
        <f>G177+G180</f>
        <v>-4088.1</v>
      </c>
      <c r="H176" s="18">
        <f t="shared" si="31"/>
        <v>674954.3</v>
      </c>
      <c r="I176" s="18">
        <f>I177+I180</f>
        <v>40.6</v>
      </c>
      <c r="J176" s="18">
        <f t="shared" si="32"/>
        <v>674994.9</v>
      </c>
      <c r="K176" s="18">
        <f>K177+K180</f>
        <v>0</v>
      </c>
      <c r="L176" s="18">
        <f t="shared" si="33"/>
        <v>674994.9</v>
      </c>
      <c r="M176" s="18">
        <f>M177+M180</f>
        <v>0</v>
      </c>
      <c r="N176" s="18">
        <f t="shared" si="34"/>
        <v>674994.9</v>
      </c>
      <c r="O176" s="18">
        <f>O177+O180</f>
        <v>0</v>
      </c>
      <c r="P176" s="18">
        <f t="shared" si="35"/>
        <v>674994.9</v>
      </c>
      <c r="Q176" s="18">
        <f>Q177+Q180</f>
        <v>0</v>
      </c>
      <c r="R176" s="18">
        <f t="shared" si="36"/>
        <v>674994.9</v>
      </c>
      <c r="S176" s="18">
        <f>S177+S180</f>
        <v>0</v>
      </c>
      <c r="T176" s="18">
        <f t="shared" si="37"/>
        <v>674994.9</v>
      </c>
      <c r="U176" s="18">
        <f>U177+U180</f>
        <v>0</v>
      </c>
      <c r="V176" s="18">
        <f t="shared" si="38"/>
        <v>674994.9</v>
      </c>
      <c r="W176" s="18">
        <f>W177+W180</f>
        <v>0</v>
      </c>
      <c r="X176" s="18">
        <f t="shared" si="39"/>
        <v>674994.9</v>
      </c>
    </row>
    <row r="177" spans="1:27" ht="36.75" x14ac:dyDescent="0.25">
      <c r="A177" s="33" t="s">
        <v>570</v>
      </c>
      <c r="B177" s="24" t="s">
        <v>571</v>
      </c>
      <c r="C177" s="24" t="s">
        <v>2</v>
      </c>
      <c r="D177" s="18">
        <f>D178</f>
        <v>269300.09999999998</v>
      </c>
      <c r="E177" s="18">
        <f>E178</f>
        <v>-0.1</v>
      </c>
      <c r="F177" s="18">
        <f t="shared" si="30"/>
        <v>269300</v>
      </c>
      <c r="G177" s="18">
        <f>G178</f>
        <v>0.1</v>
      </c>
      <c r="H177" s="18">
        <f t="shared" si="31"/>
        <v>269300.09999999998</v>
      </c>
      <c r="I177" s="47">
        <f>I178</f>
        <v>0</v>
      </c>
      <c r="J177" s="18">
        <f t="shared" si="32"/>
        <v>269300.09999999998</v>
      </c>
      <c r="K177" s="47">
        <f>K178</f>
        <v>0</v>
      </c>
      <c r="L177" s="18">
        <f t="shared" si="33"/>
        <v>269300.09999999998</v>
      </c>
      <c r="M177" s="47">
        <f>M178+M179</f>
        <v>0</v>
      </c>
      <c r="N177" s="18">
        <f t="shared" si="34"/>
        <v>269300.09999999998</v>
      </c>
      <c r="O177" s="47">
        <f>O178+O179</f>
        <v>0</v>
      </c>
      <c r="P177" s="18">
        <f t="shared" si="35"/>
        <v>269300.09999999998</v>
      </c>
      <c r="Q177" s="47">
        <f>Q178+Q179</f>
        <v>0</v>
      </c>
      <c r="R177" s="18">
        <f t="shared" si="36"/>
        <v>269300.09999999998</v>
      </c>
      <c r="S177" s="47">
        <f>S178+S179</f>
        <v>0</v>
      </c>
      <c r="T177" s="18">
        <f t="shared" si="37"/>
        <v>269300.09999999998</v>
      </c>
      <c r="U177" s="47">
        <f>U178+U179</f>
        <v>0</v>
      </c>
      <c r="V177" s="18">
        <f t="shared" si="38"/>
        <v>269300.09999999998</v>
      </c>
      <c r="W177" s="47">
        <f>W178+W179</f>
        <v>0</v>
      </c>
      <c r="X177" s="18">
        <f t="shared" si="39"/>
        <v>269300.09999999998</v>
      </c>
    </row>
    <row r="178" spans="1:27" ht="24.75" x14ac:dyDescent="0.25">
      <c r="A178" s="7" t="s">
        <v>509</v>
      </c>
      <c r="B178" s="25" t="s">
        <v>571</v>
      </c>
      <c r="C178" s="25" t="s">
        <v>201</v>
      </c>
      <c r="D178" s="19">
        <v>269300.09999999998</v>
      </c>
      <c r="E178" s="45">
        <v>-0.1</v>
      </c>
      <c r="F178" s="18">
        <f t="shared" si="30"/>
        <v>269300</v>
      </c>
      <c r="G178" s="45">
        <v>0.1</v>
      </c>
      <c r="H178" s="18">
        <f t="shared" si="31"/>
        <v>269300.09999999998</v>
      </c>
      <c r="I178" s="64"/>
      <c r="J178" s="18">
        <f t="shared" si="32"/>
        <v>269300.09999999998</v>
      </c>
      <c r="K178" s="64"/>
      <c r="L178" s="18">
        <f t="shared" si="33"/>
        <v>269300.09999999998</v>
      </c>
      <c r="M178" s="116">
        <v>-30790.9</v>
      </c>
      <c r="N178" s="18">
        <f t="shared" si="34"/>
        <v>238509.19999999998</v>
      </c>
      <c r="O178" s="64"/>
      <c r="P178" s="18">
        <f t="shared" si="35"/>
        <v>238509.19999999998</v>
      </c>
      <c r="Q178" s="64"/>
      <c r="R178" s="18">
        <f t="shared" si="36"/>
        <v>238509.19999999998</v>
      </c>
      <c r="S178" s="64"/>
      <c r="T178" s="18">
        <f t="shared" si="37"/>
        <v>238509.19999999998</v>
      </c>
      <c r="U178" s="64"/>
      <c r="V178" s="18">
        <f t="shared" si="38"/>
        <v>238509.19999999998</v>
      </c>
      <c r="W178" s="64"/>
      <c r="X178" s="18">
        <f t="shared" si="39"/>
        <v>238509.19999999998</v>
      </c>
      <c r="Z178" s="43">
        <f t="shared" ref="Z178:Z179" si="54">X178+Y178</f>
        <v>238509.19999999998</v>
      </c>
      <c r="AA178" s="43"/>
    </row>
    <row r="179" spans="1:27" ht="36.75" x14ac:dyDescent="0.25">
      <c r="A179" s="51" t="s">
        <v>581</v>
      </c>
      <c r="B179" s="25" t="s">
        <v>571</v>
      </c>
      <c r="C179" s="25" t="s">
        <v>582</v>
      </c>
      <c r="D179" s="19"/>
      <c r="E179" s="45"/>
      <c r="F179" s="18"/>
      <c r="G179" s="45"/>
      <c r="H179" s="18"/>
      <c r="I179" s="64"/>
      <c r="J179" s="18"/>
      <c r="K179" s="64"/>
      <c r="L179" s="18"/>
      <c r="M179" s="116">
        <v>30790.9</v>
      </c>
      <c r="N179" s="18">
        <f t="shared" si="34"/>
        <v>30790.9</v>
      </c>
      <c r="O179" s="64"/>
      <c r="P179" s="18">
        <f t="shared" si="35"/>
        <v>30790.9</v>
      </c>
      <c r="Q179" s="64"/>
      <c r="R179" s="18">
        <f t="shared" si="36"/>
        <v>30790.9</v>
      </c>
      <c r="S179" s="64"/>
      <c r="T179" s="18">
        <f t="shared" si="37"/>
        <v>30790.9</v>
      </c>
      <c r="U179" s="64"/>
      <c r="V179" s="18">
        <f t="shared" si="38"/>
        <v>30790.9</v>
      </c>
      <c r="W179" s="64"/>
      <c r="X179" s="18">
        <f t="shared" si="39"/>
        <v>30790.9</v>
      </c>
      <c r="Z179" s="43">
        <f t="shared" si="54"/>
        <v>30790.9</v>
      </c>
      <c r="AA179" s="43"/>
    </row>
    <row r="180" spans="1:27" ht="24.75" x14ac:dyDescent="0.25">
      <c r="A180" s="13" t="s">
        <v>572</v>
      </c>
      <c r="B180" s="52" t="s">
        <v>286</v>
      </c>
      <c r="C180" s="53"/>
      <c r="D180" s="19"/>
      <c r="E180" s="54">
        <f>E181</f>
        <v>409742.4</v>
      </c>
      <c r="F180" s="18">
        <f t="shared" si="30"/>
        <v>409742.4</v>
      </c>
      <c r="G180" s="54">
        <f>G181</f>
        <v>-4088.2</v>
      </c>
      <c r="H180" s="18">
        <f t="shared" si="31"/>
        <v>405654.2</v>
      </c>
      <c r="I180" s="78">
        <f>I181+I182</f>
        <v>40.6</v>
      </c>
      <c r="J180" s="18">
        <f t="shared" si="32"/>
        <v>405694.8</v>
      </c>
      <c r="K180" s="78">
        <f>K181+K182</f>
        <v>0</v>
      </c>
      <c r="L180" s="18">
        <f t="shared" si="33"/>
        <v>405694.8</v>
      </c>
      <c r="M180" s="78">
        <f>M181+M182</f>
        <v>0</v>
      </c>
      <c r="N180" s="18">
        <f t="shared" si="34"/>
        <v>405694.8</v>
      </c>
      <c r="O180" s="78">
        <f>O181+O182</f>
        <v>0</v>
      </c>
      <c r="P180" s="18">
        <f t="shared" si="35"/>
        <v>405694.8</v>
      </c>
      <c r="Q180" s="78">
        <f>Q181+Q182</f>
        <v>0</v>
      </c>
      <c r="R180" s="18">
        <f t="shared" si="36"/>
        <v>405694.8</v>
      </c>
      <c r="S180" s="78">
        <f>S181+S182</f>
        <v>0</v>
      </c>
      <c r="T180" s="18">
        <f t="shared" si="37"/>
        <v>405694.8</v>
      </c>
      <c r="U180" s="78">
        <f>U181+U182</f>
        <v>0</v>
      </c>
      <c r="V180" s="18">
        <f t="shared" si="38"/>
        <v>405694.8</v>
      </c>
      <c r="W180" s="78">
        <f>W181+W182</f>
        <v>0</v>
      </c>
      <c r="X180" s="18">
        <f t="shared" si="39"/>
        <v>405694.8</v>
      </c>
    </row>
    <row r="181" spans="1:27" ht="24.75" x14ac:dyDescent="0.25">
      <c r="A181" s="8" t="s">
        <v>509</v>
      </c>
      <c r="B181" s="53" t="s">
        <v>286</v>
      </c>
      <c r="C181" s="27" t="s">
        <v>201</v>
      </c>
      <c r="D181" s="19"/>
      <c r="E181" s="55">
        <v>409742.4</v>
      </c>
      <c r="F181" s="18">
        <f t="shared" si="30"/>
        <v>409742.4</v>
      </c>
      <c r="G181" s="55">
        <v>-4088.2</v>
      </c>
      <c r="H181" s="18">
        <f t="shared" si="31"/>
        <v>405654.2</v>
      </c>
      <c r="I181" s="77"/>
      <c r="J181" s="18">
        <f t="shared" si="32"/>
        <v>405654.2</v>
      </c>
      <c r="K181" s="77"/>
      <c r="L181" s="18">
        <f t="shared" si="33"/>
        <v>405654.2</v>
      </c>
      <c r="M181" s="77"/>
      <c r="N181" s="18">
        <f t="shared" si="34"/>
        <v>405654.2</v>
      </c>
      <c r="O181" s="77"/>
      <c r="P181" s="18">
        <f t="shared" si="35"/>
        <v>405654.2</v>
      </c>
      <c r="Q181" s="77"/>
      <c r="R181" s="18">
        <f t="shared" si="36"/>
        <v>405654.2</v>
      </c>
      <c r="S181" s="77"/>
      <c r="T181" s="18">
        <f t="shared" si="37"/>
        <v>405654.2</v>
      </c>
      <c r="U181" s="77"/>
      <c r="V181" s="18">
        <f t="shared" si="38"/>
        <v>405654.2</v>
      </c>
      <c r="W181" s="77"/>
      <c r="X181" s="18">
        <f t="shared" si="39"/>
        <v>405654.2</v>
      </c>
      <c r="Z181" s="43">
        <f t="shared" ref="Z181:Z182" si="55">X181+Y181</f>
        <v>405654.2</v>
      </c>
      <c r="AA181" s="43"/>
    </row>
    <row r="182" spans="1:27" ht="24.75" x14ac:dyDescent="0.25">
      <c r="A182" s="8" t="s">
        <v>509</v>
      </c>
      <c r="B182" s="53" t="s">
        <v>286</v>
      </c>
      <c r="C182" s="27" t="s">
        <v>201</v>
      </c>
      <c r="D182" s="19"/>
      <c r="E182" s="55"/>
      <c r="F182" s="18"/>
      <c r="G182" s="55"/>
      <c r="H182" s="18"/>
      <c r="I182" s="90">
        <v>40.6</v>
      </c>
      <c r="J182" s="82">
        <f t="shared" si="32"/>
        <v>40.6</v>
      </c>
      <c r="K182" s="90"/>
      <c r="L182" s="82">
        <f t="shared" si="33"/>
        <v>40.6</v>
      </c>
      <c r="M182" s="90"/>
      <c r="N182" s="82">
        <f t="shared" si="34"/>
        <v>40.6</v>
      </c>
      <c r="O182" s="90"/>
      <c r="P182" s="82">
        <f t="shared" si="35"/>
        <v>40.6</v>
      </c>
      <c r="Q182" s="90"/>
      <c r="R182" s="82">
        <f t="shared" si="36"/>
        <v>40.6</v>
      </c>
      <c r="S182" s="77"/>
      <c r="T182" s="82">
        <f t="shared" si="37"/>
        <v>40.6</v>
      </c>
      <c r="U182" s="77"/>
      <c r="V182" s="82">
        <f t="shared" si="38"/>
        <v>40.6</v>
      </c>
      <c r="W182" s="77"/>
      <c r="X182" s="82">
        <f t="shared" si="39"/>
        <v>40.6</v>
      </c>
      <c r="Y182" s="43">
        <f>13-13</f>
        <v>0</v>
      </c>
      <c r="Z182" s="43">
        <f t="shared" si="55"/>
        <v>40.6</v>
      </c>
      <c r="AA182" s="43"/>
    </row>
    <row r="183" spans="1:27" ht="36.75" x14ac:dyDescent="0.25">
      <c r="A183" s="13" t="s">
        <v>287</v>
      </c>
      <c r="B183" s="24" t="s">
        <v>288</v>
      </c>
      <c r="C183" s="24" t="s">
        <v>2</v>
      </c>
      <c r="D183" s="18">
        <f>D184</f>
        <v>2769.1</v>
      </c>
      <c r="E183" s="18">
        <f>E184</f>
        <v>0</v>
      </c>
      <c r="F183" s="18">
        <f t="shared" si="30"/>
        <v>2769.1</v>
      </c>
      <c r="G183" s="18">
        <f>G184</f>
        <v>0</v>
      </c>
      <c r="H183" s="18">
        <f t="shared" si="31"/>
        <v>2769.1</v>
      </c>
      <c r="I183" s="47">
        <f>I184</f>
        <v>0</v>
      </c>
      <c r="J183" s="18">
        <f t="shared" si="32"/>
        <v>2769.1</v>
      </c>
      <c r="K183" s="47">
        <f>K184</f>
        <v>0</v>
      </c>
      <c r="L183" s="18">
        <f t="shared" si="33"/>
        <v>2769.1</v>
      </c>
      <c r="M183" s="47">
        <f>M184</f>
        <v>0</v>
      </c>
      <c r="N183" s="18">
        <f t="shared" si="34"/>
        <v>2769.1</v>
      </c>
      <c r="O183" s="47">
        <f>O184</f>
        <v>0</v>
      </c>
      <c r="P183" s="18">
        <f t="shared" si="35"/>
        <v>2769.1</v>
      </c>
      <c r="Q183" s="47">
        <f>Q184</f>
        <v>0</v>
      </c>
      <c r="R183" s="18">
        <f t="shared" si="36"/>
        <v>2769.1</v>
      </c>
      <c r="S183" s="47">
        <f>S184</f>
        <v>0</v>
      </c>
      <c r="T183" s="18">
        <f t="shared" si="37"/>
        <v>2769.1</v>
      </c>
      <c r="U183" s="47">
        <f>U184</f>
        <v>28</v>
      </c>
      <c r="V183" s="18">
        <f t="shared" si="38"/>
        <v>2797.1</v>
      </c>
      <c r="W183" s="47">
        <f>W184</f>
        <v>0</v>
      </c>
      <c r="X183" s="18">
        <f t="shared" si="39"/>
        <v>2797.1</v>
      </c>
    </row>
    <row r="184" spans="1:27" ht="24.75" x14ac:dyDescent="0.25">
      <c r="A184" s="13" t="s">
        <v>289</v>
      </c>
      <c r="B184" s="24" t="s">
        <v>290</v>
      </c>
      <c r="C184" s="24" t="s">
        <v>2</v>
      </c>
      <c r="D184" s="18">
        <f>D185</f>
        <v>2769.1</v>
      </c>
      <c r="E184" s="18">
        <f>E185</f>
        <v>0</v>
      </c>
      <c r="F184" s="18">
        <f t="shared" si="30"/>
        <v>2769.1</v>
      </c>
      <c r="G184" s="18">
        <f>G185</f>
        <v>0</v>
      </c>
      <c r="H184" s="18">
        <f t="shared" si="31"/>
        <v>2769.1</v>
      </c>
      <c r="I184" s="18">
        <f>I185</f>
        <v>0</v>
      </c>
      <c r="J184" s="18">
        <f t="shared" si="32"/>
        <v>2769.1</v>
      </c>
      <c r="K184" s="18">
        <f>K185</f>
        <v>0</v>
      </c>
      <c r="L184" s="18">
        <f t="shared" si="33"/>
        <v>2769.1</v>
      </c>
      <c r="M184" s="18">
        <f>M185</f>
        <v>0</v>
      </c>
      <c r="N184" s="18">
        <f t="shared" si="34"/>
        <v>2769.1</v>
      </c>
      <c r="O184" s="18">
        <f>O185</f>
        <v>0</v>
      </c>
      <c r="P184" s="18">
        <f t="shared" si="35"/>
        <v>2769.1</v>
      </c>
      <c r="Q184" s="18">
        <f>Q185</f>
        <v>0</v>
      </c>
      <c r="R184" s="18">
        <f t="shared" si="36"/>
        <v>2769.1</v>
      </c>
      <c r="S184" s="18">
        <f>S185</f>
        <v>0</v>
      </c>
      <c r="T184" s="18">
        <f t="shared" si="37"/>
        <v>2769.1</v>
      </c>
      <c r="U184" s="18">
        <f>U185+U186</f>
        <v>28</v>
      </c>
      <c r="V184" s="18">
        <f t="shared" si="38"/>
        <v>2797.1</v>
      </c>
      <c r="W184" s="18">
        <f>W185+W186</f>
        <v>0</v>
      </c>
      <c r="X184" s="18">
        <f t="shared" si="39"/>
        <v>2797.1</v>
      </c>
    </row>
    <row r="185" spans="1:27" x14ac:dyDescent="0.25">
      <c r="A185" s="9" t="s">
        <v>511</v>
      </c>
      <c r="B185" s="25" t="s">
        <v>290</v>
      </c>
      <c r="C185" s="25" t="s">
        <v>66</v>
      </c>
      <c r="D185" s="19">
        <v>2769.1</v>
      </c>
      <c r="E185" s="19"/>
      <c r="F185" s="18">
        <f t="shared" si="30"/>
        <v>2769.1</v>
      </c>
      <c r="G185" s="19"/>
      <c r="H185" s="18">
        <f t="shared" si="31"/>
        <v>2769.1</v>
      </c>
      <c r="I185" s="19"/>
      <c r="J185" s="18">
        <f t="shared" si="32"/>
        <v>2769.1</v>
      </c>
      <c r="K185" s="19"/>
      <c r="L185" s="18">
        <f t="shared" si="33"/>
        <v>2769.1</v>
      </c>
      <c r="M185" s="19"/>
      <c r="N185" s="18">
        <f t="shared" si="34"/>
        <v>2769.1</v>
      </c>
      <c r="O185" s="19"/>
      <c r="P185" s="18">
        <f t="shared" si="35"/>
        <v>2769.1</v>
      </c>
      <c r="Q185" s="19"/>
      <c r="R185" s="18">
        <f t="shared" si="36"/>
        <v>2769.1</v>
      </c>
      <c r="S185" s="64"/>
      <c r="T185" s="18">
        <f t="shared" si="37"/>
        <v>2769.1</v>
      </c>
      <c r="U185" s="64"/>
      <c r="V185" s="18">
        <f t="shared" si="38"/>
        <v>2769.1</v>
      </c>
      <c r="W185" s="64"/>
      <c r="X185" s="18">
        <f t="shared" si="39"/>
        <v>2769.1</v>
      </c>
      <c r="Z185" s="43">
        <f t="shared" ref="Z185:Z186" si="56">X185+Y185</f>
        <v>2769.1</v>
      </c>
      <c r="AA185" s="43"/>
    </row>
    <row r="186" spans="1:27" x14ac:dyDescent="0.25">
      <c r="A186" s="9" t="s">
        <v>511</v>
      </c>
      <c r="B186" s="25" t="s">
        <v>290</v>
      </c>
      <c r="C186" s="25" t="s">
        <v>66</v>
      </c>
      <c r="D186" s="19"/>
      <c r="E186" s="19"/>
      <c r="F186" s="18"/>
      <c r="G186" s="19"/>
      <c r="H186" s="18"/>
      <c r="I186" s="19"/>
      <c r="J186" s="18"/>
      <c r="K186" s="19"/>
      <c r="L186" s="18"/>
      <c r="M186" s="19"/>
      <c r="N186" s="18"/>
      <c r="O186" s="19"/>
      <c r="P186" s="18"/>
      <c r="Q186" s="19"/>
      <c r="R186" s="18"/>
      <c r="S186" s="64"/>
      <c r="T186" s="18"/>
      <c r="U186" s="96">
        <v>28</v>
      </c>
      <c r="V186" s="18">
        <f t="shared" si="38"/>
        <v>28</v>
      </c>
      <c r="W186" s="64"/>
      <c r="X186" s="18">
        <f t="shared" si="39"/>
        <v>28</v>
      </c>
      <c r="Z186" s="43">
        <f t="shared" si="56"/>
        <v>28</v>
      </c>
      <c r="AA186" s="43"/>
    </row>
    <row r="187" spans="1:27" ht="48.75" x14ac:dyDescent="0.25">
      <c r="A187" s="83" t="s">
        <v>666</v>
      </c>
      <c r="B187" s="26" t="s">
        <v>667</v>
      </c>
      <c r="C187" s="27"/>
      <c r="D187" s="19"/>
      <c r="E187" s="19"/>
      <c r="F187" s="18"/>
      <c r="G187" s="19"/>
      <c r="H187" s="18"/>
      <c r="I187" s="47">
        <f>I188</f>
        <v>84684.7</v>
      </c>
      <c r="J187" s="18">
        <f t="shared" si="32"/>
        <v>84684.7</v>
      </c>
      <c r="K187" s="47">
        <f>K188</f>
        <v>141294</v>
      </c>
      <c r="L187" s="18">
        <f t="shared" si="33"/>
        <v>225978.7</v>
      </c>
      <c r="M187" s="47">
        <f>M188</f>
        <v>0</v>
      </c>
      <c r="N187" s="18">
        <f t="shared" si="34"/>
        <v>225978.7</v>
      </c>
      <c r="O187" s="47">
        <f>O188</f>
        <v>0</v>
      </c>
      <c r="P187" s="18">
        <f t="shared" si="35"/>
        <v>225978.7</v>
      </c>
      <c r="Q187" s="47">
        <f>Q188</f>
        <v>0</v>
      </c>
      <c r="R187" s="18">
        <f t="shared" si="36"/>
        <v>225978.7</v>
      </c>
      <c r="S187" s="47">
        <f>S188</f>
        <v>0</v>
      </c>
      <c r="T187" s="18">
        <f t="shared" si="37"/>
        <v>225978.7</v>
      </c>
      <c r="U187" s="47">
        <f>U188</f>
        <v>0</v>
      </c>
      <c r="V187" s="18">
        <f t="shared" si="38"/>
        <v>225978.7</v>
      </c>
      <c r="W187" s="47">
        <f>W188</f>
        <v>-37606.800000000003</v>
      </c>
      <c r="X187" s="18">
        <f t="shared" si="39"/>
        <v>188371.90000000002</v>
      </c>
    </row>
    <row r="188" spans="1:27" ht="24.75" x14ac:dyDescent="0.25">
      <c r="A188" s="8" t="s">
        <v>509</v>
      </c>
      <c r="B188" s="27" t="s">
        <v>667</v>
      </c>
      <c r="C188" s="27" t="s">
        <v>201</v>
      </c>
      <c r="D188" s="19"/>
      <c r="E188" s="19"/>
      <c r="F188" s="18"/>
      <c r="G188" s="19"/>
      <c r="H188" s="18"/>
      <c r="I188" s="45">
        <v>84684.7</v>
      </c>
      <c r="J188" s="18">
        <f t="shared" si="32"/>
        <v>84684.7</v>
      </c>
      <c r="K188" s="45">
        <v>141294</v>
      </c>
      <c r="L188" s="18">
        <f t="shared" si="33"/>
        <v>225978.7</v>
      </c>
      <c r="M188" s="64"/>
      <c r="N188" s="18">
        <f t="shared" si="34"/>
        <v>225978.7</v>
      </c>
      <c r="O188" s="64"/>
      <c r="P188" s="18">
        <f t="shared" si="35"/>
        <v>225978.7</v>
      </c>
      <c r="Q188" s="64"/>
      <c r="R188" s="18">
        <f t="shared" si="36"/>
        <v>225978.7</v>
      </c>
      <c r="S188" s="64"/>
      <c r="T188" s="18">
        <f t="shared" si="37"/>
        <v>225978.7</v>
      </c>
      <c r="U188" s="64"/>
      <c r="V188" s="18">
        <f t="shared" si="38"/>
        <v>225978.7</v>
      </c>
      <c r="W188" s="45">
        <v>-37606.800000000003</v>
      </c>
      <c r="X188" s="18">
        <f t="shared" si="39"/>
        <v>188371.90000000002</v>
      </c>
      <c r="Z188" s="43">
        <f>X188+Y188</f>
        <v>188371.90000000002</v>
      </c>
      <c r="AA188" s="43"/>
    </row>
    <row r="189" spans="1:27" ht="48.75" x14ac:dyDescent="0.25">
      <c r="A189" s="33" t="s">
        <v>776</v>
      </c>
      <c r="B189" s="26" t="s">
        <v>777</v>
      </c>
      <c r="C189" s="27"/>
      <c r="D189" s="19"/>
      <c r="E189" s="19"/>
      <c r="F189" s="18"/>
      <c r="G189" s="19"/>
      <c r="H189" s="18"/>
      <c r="I189" s="45"/>
      <c r="J189" s="18"/>
      <c r="K189" s="45"/>
      <c r="L189" s="18"/>
      <c r="M189" s="47">
        <f>M191</f>
        <v>29182</v>
      </c>
      <c r="N189" s="18">
        <f t="shared" si="34"/>
        <v>29182</v>
      </c>
      <c r="O189" s="47">
        <f>O191</f>
        <v>0</v>
      </c>
      <c r="P189" s="18">
        <f t="shared" si="35"/>
        <v>29182</v>
      </c>
      <c r="Q189" s="47">
        <f>Q191</f>
        <v>0</v>
      </c>
      <c r="R189" s="18">
        <f t="shared" si="36"/>
        <v>29182</v>
      </c>
      <c r="S189" s="47">
        <f>S191+S190</f>
        <v>1.4</v>
      </c>
      <c r="T189" s="18">
        <f t="shared" si="37"/>
        <v>29183.4</v>
      </c>
      <c r="U189" s="47">
        <f>U191+U190</f>
        <v>0</v>
      </c>
      <c r="V189" s="18">
        <f t="shared" si="38"/>
        <v>29183.4</v>
      </c>
      <c r="W189" s="47">
        <f>W191+W190</f>
        <v>14150.7</v>
      </c>
      <c r="X189" s="18">
        <f t="shared" si="39"/>
        <v>43334.100000000006</v>
      </c>
    </row>
    <row r="190" spans="1:27" ht="24.75" x14ac:dyDescent="0.25">
      <c r="A190" s="8" t="s">
        <v>509</v>
      </c>
      <c r="B190" s="27" t="s">
        <v>777</v>
      </c>
      <c r="C190" s="27" t="s">
        <v>201</v>
      </c>
      <c r="D190" s="19"/>
      <c r="E190" s="19"/>
      <c r="F190" s="18"/>
      <c r="G190" s="19"/>
      <c r="H190" s="18"/>
      <c r="I190" s="45"/>
      <c r="J190" s="18"/>
      <c r="K190" s="45"/>
      <c r="L190" s="18"/>
      <c r="M190" s="47"/>
      <c r="N190" s="18"/>
      <c r="O190" s="47"/>
      <c r="P190" s="18"/>
      <c r="Q190" s="47"/>
      <c r="R190" s="18"/>
      <c r="S190" s="44">
        <v>1.4</v>
      </c>
      <c r="T190" s="18">
        <f t="shared" si="37"/>
        <v>1.4</v>
      </c>
      <c r="U190" s="64"/>
      <c r="V190" s="18">
        <f t="shared" si="38"/>
        <v>1.4</v>
      </c>
      <c r="W190" s="64"/>
      <c r="X190" s="18">
        <f t="shared" si="39"/>
        <v>1.4</v>
      </c>
      <c r="Z190" s="43">
        <f t="shared" ref="Z190:Z191" si="57">X190+Y190</f>
        <v>1.4</v>
      </c>
      <c r="AA190" s="43"/>
    </row>
    <row r="191" spans="1:27" ht="24.75" x14ac:dyDescent="0.25">
      <c r="A191" s="8" t="s">
        <v>509</v>
      </c>
      <c r="B191" s="27" t="s">
        <v>777</v>
      </c>
      <c r="C191" s="27" t="s">
        <v>201</v>
      </c>
      <c r="D191" s="19"/>
      <c r="E191" s="19"/>
      <c r="F191" s="18"/>
      <c r="G191" s="19"/>
      <c r="H191" s="18"/>
      <c r="I191" s="45"/>
      <c r="J191" s="18"/>
      <c r="K191" s="45"/>
      <c r="L191" s="18"/>
      <c r="M191" s="45">
        <v>29182</v>
      </c>
      <c r="N191" s="18">
        <f t="shared" si="34"/>
        <v>29182</v>
      </c>
      <c r="O191" s="64"/>
      <c r="P191" s="18">
        <f t="shared" si="35"/>
        <v>29182</v>
      </c>
      <c r="Q191" s="64"/>
      <c r="R191" s="18">
        <f t="shared" si="36"/>
        <v>29182</v>
      </c>
      <c r="S191" s="64"/>
      <c r="T191" s="18">
        <f t="shared" si="37"/>
        <v>29182</v>
      </c>
      <c r="U191" s="64"/>
      <c r="V191" s="18">
        <f t="shared" si="38"/>
        <v>29182</v>
      </c>
      <c r="W191" s="45">
        <v>14150.7</v>
      </c>
      <c r="X191" s="18">
        <f t="shared" si="39"/>
        <v>43332.7</v>
      </c>
      <c r="Z191" s="43">
        <f t="shared" si="57"/>
        <v>43332.7</v>
      </c>
      <c r="AA191" s="43"/>
    </row>
    <row r="192" spans="1:27" x14ac:dyDescent="0.25">
      <c r="A192" s="13" t="s">
        <v>291</v>
      </c>
      <c r="B192" s="24" t="s">
        <v>292</v>
      </c>
      <c r="C192" s="24" t="s">
        <v>2</v>
      </c>
      <c r="D192" s="18">
        <f>D193</f>
        <v>64369.9</v>
      </c>
      <c r="E192" s="18">
        <f>E193</f>
        <v>266.2</v>
      </c>
      <c r="F192" s="18">
        <f t="shared" si="30"/>
        <v>64636.1</v>
      </c>
      <c r="G192" s="18">
        <f>G193</f>
        <v>245.8</v>
      </c>
      <c r="H192" s="18">
        <f t="shared" si="31"/>
        <v>64881.9</v>
      </c>
      <c r="I192" s="18">
        <f>I193</f>
        <v>0</v>
      </c>
      <c r="J192" s="18">
        <f t="shared" si="32"/>
        <v>64881.9</v>
      </c>
      <c r="K192" s="18">
        <f>K193</f>
        <v>0</v>
      </c>
      <c r="L192" s="18">
        <f t="shared" si="33"/>
        <v>64881.9</v>
      </c>
      <c r="M192" s="18">
        <f>M193</f>
        <v>2263.7000000000003</v>
      </c>
      <c r="N192" s="18">
        <f t="shared" si="34"/>
        <v>67145.600000000006</v>
      </c>
      <c r="O192" s="18">
        <f>O193</f>
        <v>4117.3</v>
      </c>
      <c r="P192" s="18">
        <f t="shared" si="35"/>
        <v>71262.900000000009</v>
      </c>
      <c r="Q192" s="18">
        <f>Q193</f>
        <v>0</v>
      </c>
      <c r="R192" s="18">
        <f t="shared" si="36"/>
        <v>71262.900000000009</v>
      </c>
      <c r="S192" s="18">
        <f>S193</f>
        <v>0</v>
      </c>
      <c r="T192" s="18">
        <f t="shared" si="37"/>
        <v>71262.900000000009</v>
      </c>
      <c r="U192" s="18">
        <f>U193</f>
        <v>0</v>
      </c>
      <c r="V192" s="18">
        <f t="shared" si="38"/>
        <v>71262.900000000009</v>
      </c>
      <c r="W192" s="18">
        <f>W193</f>
        <v>17.099999999999998</v>
      </c>
      <c r="X192" s="18">
        <f t="shared" si="39"/>
        <v>71280.000000000015</v>
      </c>
    </row>
    <row r="193" spans="1:27" x14ac:dyDescent="0.25">
      <c r="A193" s="13" t="s">
        <v>293</v>
      </c>
      <c r="B193" s="24" t="s">
        <v>294</v>
      </c>
      <c r="C193" s="24" t="s">
        <v>2</v>
      </c>
      <c r="D193" s="18">
        <f>D194+D197+D200+D211</f>
        <v>64369.9</v>
      </c>
      <c r="E193" s="18">
        <f>E194+E197+E200+E211</f>
        <v>266.2</v>
      </c>
      <c r="F193" s="18">
        <f t="shared" si="30"/>
        <v>64636.1</v>
      </c>
      <c r="G193" s="18">
        <f>G194+G197+G200+G211</f>
        <v>245.8</v>
      </c>
      <c r="H193" s="18">
        <f t="shared" si="31"/>
        <v>64881.9</v>
      </c>
      <c r="I193" s="18">
        <f>I194+I197+I200+I211</f>
        <v>0</v>
      </c>
      <c r="J193" s="18">
        <f t="shared" si="32"/>
        <v>64881.9</v>
      </c>
      <c r="K193" s="18">
        <f>K194+K197+K200+K211</f>
        <v>0</v>
      </c>
      <c r="L193" s="18">
        <f t="shared" si="33"/>
        <v>64881.9</v>
      </c>
      <c r="M193" s="18">
        <f>M194+M197+M200+M211</f>
        <v>2263.7000000000003</v>
      </c>
      <c r="N193" s="18">
        <f t="shared" si="34"/>
        <v>67145.600000000006</v>
      </c>
      <c r="O193" s="18">
        <f>O194+O197+O200+O211+O208</f>
        <v>4117.3</v>
      </c>
      <c r="P193" s="18">
        <f t="shared" si="35"/>
        <v>71262.900000000009</v>
      </c>
      <c r="Q193" s="18">
        <f>Q194+Q197+Q200+Q211+Q208</f>
        <v>0</v>
      </c>
      <c r="R193" s="18">
        <f t="shared" si="36"/>
        <v>71262.900000000009</v>
      </c>
      <c r="S193" s="18">
        <f>S194+S197+S200+S211+S208</f>
        <v>0</v>
      </c>
      <c r="T193" s="18">
        <f t="shared" si="37"/>
        <v>71262.900000000009</v>
      </c>
      <c r="U193" s="18">
        <f>U194+U197+U200+U211+U208+U205</f>
        <v>0</v>
      </c>
      <c r="V193" s="18">
        <f t="shared" si="38"/>
        <v>71262.900000000009</v>
      </c>
      <c r="W193" s="18">
        <f>W194+W197+W200+W211+W208+W205</f>
        <v>17.099999999999998</v>
      </c>
      <c r="X193" s="18">
        <f t="shared" si="39"/>
        <v>71280.000000000015</v>
      </c>
    </row>
    <row r="194" spans="1:27" ht="24.75" x14ac:dyDescent="0.25">
      <c r="A194" s="13" t="s">
        <v>442</v>
      </c>
      <c r="B194" s="24" t="s">
        <v>443</v>
      </c>
      <c r="C194" s="24" t="s">
        <v>2</v>
      </c>
      <c r="D194" s="18">
        <f>D195+D196</f>
        <v>9824.1</v>
      </c>
      <c r="E194" s="18">
        <f>E195+E196</f>
        <v>0</v>
      </c>
      <c r="F194" s="18">
        <f t="shared" si="30"/>
        <v>9824.1</v>
      </c>
      <c r="G194" s="18">
        <f>G195+G196</f>
        <v>0</v>
      </c>
      <c r="H194" s="18">
        <f t="shared" si="31"/>
        <v>9824.1</v>
      </c>
      <c r="I194" s="18">
        <f>I195+I196</f>
        <v>0</v>
      </c>
      <c r="J194" s="18">
        <f t="shared" si="32"/>
        <v>9824.1</v>
      </c>
      <c r="K194" s="18">
        <f>K195+K196</f>
        <v>0</v>
      </c>
      <c r="L194" s="18">
        <f t="shared" si="33"/>
        <v>9824.1</v>
      </c>
      <c r="M194" s="18">
        <f>M195+M196</f>
        <v>0</v>
      </c>
      <c r="N194" s="18">
        <f t="shared" si="34"/>
        <v>9824.1</v>
      </c>
      <c r="O194" s="18">
        <f>O195+O196</f>
        <v>76.2</v>
      </c>
      <c r="P194" s="18">
        <f t="shared" si="35"/>
        <v>9900.3000000000011</v>
      </c>
      <c r="Q194" s="18">
        <f>Q195+Q196</f>
        <v>0</v>
      </c>
      <c r="R194" s="18">
        <f t="shared" si="36"/>
        <v>9900.3000000000011</v>
      </c>
      <c r="S194" s="18">
        <f>S195+S196</f>
        <v>0</v>
      </c>
      <c r="T194" s="18">
        <f t="shared" si="37"/>
        <v>9900.3000000000011</v>
      </c>
      <c r="U194" s="18">
        <f>U195+U196</f>
        <v>0</v>
      </c>
      <c r="V194" s="18">
        <f t="shared" si="38"/>
        <v>9900.3000000000011</v>
      </c>
      <c r="W194" s="18">
        <f>W195+W196</f>
        <v>0</v>
      </c>
      <c r="X194" s="18">
        <f t="shared" si="39"/>
        <v>9900.3000000000011</v>
      </c>
    </row>
    <row r="195" spans="1:27" x14ac:dyDescent="0.25">
      <c r="A195" s="9" t="s">
        <v>511</v>
      </c>
      <c r="B195" s="25" t="s">
        <v>443</v>
      </c>
      <c r="C195" s="25" t="s">
        <v>66</v>
      </c>
      <c r="D195" s="19">
        <v>8968.1</v>
      </c>
      <c r="E195" s="19"/>
      <c r="F195" s="18">
        <f t="shared" si="30"/>
        <v>8968.1</v>
      </c>
      <c r="G195" s="19"/>
      <c r="H195" s="18">
        <f t="shared" si="31"/>
        <v>8968.1</v>
      </c>
      <c r="I195" s="19"/>
      <c r="J195" s="18">
        <f t="shared" si="32"/>
        <v>8968.1</v>
      </c>
      <c r="K195" s="19"/>
      <c r="L195" s="18">
        <f t="shared" si="33"/>
        <v>8968.1</v>
      </c>
      <c r="M195" s="19"/>
      <c r="N195" s="18">
        <f t="shared" si="34"/>
        <v>8968.1</v>
      </c>
      <c r="O195" s="45">
        <v>76.2</v>
      </c>
      <c r="P195" s="18">
        <f t="shared" si="35"/>
        <v>9044.3000000000011</v>
      </c>
      <c r="Q195" s="64"/>
      <c r="R195" s="18">
        <f t="shared" si="36"/>
        <v>9044.3000000000011</v>
      </c>
      <c r="S195" s="64"/>
      <c r="T195" s="18">
        <f t="shared" si="37"/>
        <v>9044.3000000000011</v>
      </c>
      <c r="U195" s="64"/>
      <c r="V195" s="18">
        <f t="shared" si="38"/>
        <v>9044.3000000000011</v>
      </c>
      <c r="W195" s="45">
        <v>-23</v>
      </c>
      <c r="X195" s="18">
        <f t="shared" si="39"/>
        <v>9021.3000000000011</v>
      </c>
      <c r="Z195" s="43">
        <f t="shared" ref="Z195:Z196" si="58">X195+Y195</f>
        <v>9021.3000000000011</v>
      </c>
      <c r="AA195" s="43"/>
    </row>
    <row r="196" spans="1:27" x14ac:dyDescent="0.25">
      <c r="A196" s="9" t="s">
        <v>266</v>
      </c>
      <c r="B196" s="25" t="s">
        <v>443</v>
      </c>
      <c r="C196" s="25" t="s">
        <v>267</v>
      </c>
      <c r="D196" s="19">
        <v>856</v>
      </c>
      <c r="E196" s="19"/>
      <c r="F196" s="18">
        <f t="shared" si="30"/>
        <v>856</v>
      </c>
      <c r="G196" s="19"/>
      <c r="H196" s="18">
        <f t="shared" si="31"/>
        <v>856</v>
      </c>
      <c r="I196" s="19"/>
      <c r="J196" s="18">
        <f t="shared" si="32"/>
        <v>856</v>
      </c>
      <c r="K196" s="19"/>
      <c r="L196" s="18">
        <f t="shared" si="33"/>
        <v>856</v>
      </c>
      <c r="M196" s="19"/>
      <c r="N196" s="18">
        <f t="shared" si="34"/>
        <v>856</v>
      </c>
      <c r="O196" s="19"/>
      <c r="P196" s="18">
        <f t="shared" si="35"/>
        <v>856</v>
      </c>
      <c r="Q196" s="19"/>
      <c r="R196" s="18">
        <f t="shared" si="36"/>
        <v>856</v>
      </c>
      <c r="S196" s="64"/>
      <c r="T196" s="18">
        <f t="shared" si="37"/>
        <v>856</v>
      </c>
      <c r="U196" s="64"/>
      <c r="V196" s="18">
        <f t="shared" si="38"/>
        <v>856</v>
      </c>
      <c r="W196" s="45">
        <v>23</v>
      </c>
      <c r="X196" s="18">
        <f t="shared" si="39"/>
        <v>879</v>
      </c>
      <c r="Z196" s="43">
        <f t="shared" si="58"/>
        <v>879</v>
      </c>
      <c r="AA196" s="43"/>
    </row>
    <row r="197" spans="1:27" x14ac:dyDescent="0.25">
      <c r="A197" s="13" t="s">
        <v>295</v>
      </c>
      <c r="B197" s="24" t="s">
        <v>296</v>
      </c>
      <c r="C197" s="24" t="s">
        <v>2</v>
      </c>
      <c r="D197" s="18">
        <f>D198+D199</f>
        <v>1814.9</v>
      </c>
      <c r="E197" s="18">
        <f>E198+E199</f>
        <v>0</v>
      </c>
      <c r="F197" s="18">
        <f t="shared" si="30"/>
        <v>1814.9</v>
      </c>
      <c r="G197" s="18">
        <f>G198+G199</f>
        <v>-15.7</v>
      </c>
      <c r="H197" s="18">
        <f t="shared" si="31"/>
        <v>1799.2</v>
      </c>
      <c r="I197" s="47">
        <f>I198+I199</f>
        <v>0</v>
      </c>
      <c r="J197" s="18">
        <f t="shared" si="32"/>
        <v>1799.2</v>
      </c>
      <c r="K197" s="47">
        <f>K198+K199</f>
        <v>0</v>
      </c>
      <c r="L197" s="18">
        <f t="shared" si="33"/>
        <v>1799.2</v>
      </c>
      <c r="M197" s="47">
        <f>M198+M199</f>
        <v>2263.7000000000003</v>
      </c>
      <c r="N197" s="18">
        <f t="shared" si="34"/>
        <v>4062.9000000000005</v>
      </c>
      <c r="O197" s="47">
        <f>O198+O199</f>
        <v>0</v>
      </c>
      <c r="P197" s="18">
        <f t="shared" si="35"/>
        <v>4062.9000000000005</v>
      </c>
      <c r="Q197" s="47">
        <f>Q198+Q199</f>
        <v>0</v>
      </c>
      <c r="R197" s="18">
        <f t="shared" si="36"/>
        <v>4062.9000000000005</v>
      </c>
      <c r="S197" s="47">
        <f>S198+S199</f>
        <v>0</v>
      </c>
      <c r="T197" s="18">
        <f t="shared" si="37"/>
        <v>4062.9000000000005</v>
      </c>
      <c r="U197" s="47">
        <f>U198+U199</f>
        <v>0</v>
      </c>
      <c r="V197" s="18">
        <f t="shared" si="38"/>
        <v>4062.9000000000005</v>
      </c>
      <c r="W197" s="47">
        <f>W198+W199</f>
        <v>0</v>
      </c>
      <c r="X197" s="18">
        <f t="shared" si="39"/>
        <v>4062.9000000000005</v>
      </c>
    </row>
    <row r="198" spans="1:27" x14ac:dyDescent="0.25">
      <c r="A198" s="9" t="s">
        <v>511</v>
      </c>
      <c r="B198" s="25" t="s">
        <v>296</v>
      </c>
      <c r="C198" s="25" t="s">
        <v>66</v>
      </c>
      <c r="D198" s="19">
        <v>1665.5</v>
      </c>
      <c r="E198" s="19"/>
      <c r="F198" s="18">
        <f t="shared" si="30"/>
        <v>1665.5</v>
      </c>
      <c r="G198" s="44">
        <v>-15.7</v>
      </c>
      <c r="H198" s="18">
        <f t="shared" si="31"/>
        <v>1649.8</v>
      </c>
      <c r="I198" s="64"/>
      <c r="J198" s="18">
        <f t="shared" si="32"/>
        <v>1649.8</v>
      </c>
      <c r="K198" s="64"/>
      <c r="L198" s="18">
        <f t="shared" si="33"/>
        <v>1649.8</v>
      </c>
      <c r="M198" s="81">
        <v>2113.9</v>
      </c>
      <c r="N198" s="18">
        <f t="shared" si="34"/>
        <v>3763.7</v>
      </c>
      <c r="O198" s="64"/>
      <c r="P198" s="18">
        <f t="shared" si="35"/>
        <v>3763.7</v>
      </c>
      <c r="Q198" s="64"/>
      <c r="R198" s="18">
        <f t="shared" si="36"/>
        <v>3763.7</v>
      </c>
      <c r="S198" s="64"/>
      <c r="T198" s="18">
        <f t="shared" si="37"/>
        <v>3763.7</v>
      </c>
      <c r="U198" s="64"/>
      <c r="V198" s="18">
        <f t="shared" si="38"/>
        <v>3763.7</v>
      </c>
      <c r="W198" s="64"/>
      <c r="X198" s="18">
        <f t="shared" si="39"/>
        <v>3763.7</v>
      </c>
      <c r="Z198" s="43">
        <f t="shared" ref="Z198:Z199" si="59">X198+Y198</f>
        <v>3763.7</v>
      </c>
      <c r="AA198" s="43"/>
    </row>
    <row r="199" spans="1:27" x14ac:dyDescent="0.25">
      <c r="A199" s="9" t="s">
        <v>266</v>
      </c>
      <c r="B199" s="25" t="s">
        <v>296</v>
      </c>
      <c r="C199" s="25" t="s">
        <v>267</v>
      </c>
      <c r="D199" s="19">
        <v>149.4</v>
      </c>
      <c r="E199" s="19"/>
      <c r="F199" s="18">
        <f t="shared" si="30"/>
        <v>149.4</v>
      </c>
      <c r="G199" s="19"/>
      <c r="H199" s="18">
        <f t="shared" si="31"/>
        <v>149.4</v>
      </c>
      <c r="I199" s="64"/>
      <c r="J199" s="18">
        <f t="shared" si="32"/>
        <v>149.4</v>
      </c>
      <c r="K199" s="64"/>
      <c r="L199" s="18">
        <f t="shared" si="33"/>
        <v>149.4</v>
      </c>
      <c r="M199" s="81">
        <v>149.80000000000001</v>
      </c>
      <c r="N199" s="18">
        <f t="shared" si="34"/>
        <v>299.20000000000005</v>
      </c>
      <c r="O199" s="64"/>
      <c r="P199" s="18">
        <f t="shared" si="35"/>
        <v>299.20000000000005</v>
      </c>
      <c r="Q199" s="64"/>
      <c r="R199" s="18">
        <f t="shared" si="36"/>
        <v>299.20000000000005</v>
      </c>
      <c r="S199" s="64"/>
      <c r="T199" s="18">
        <f t="shared" si="37"/>
        <v>299.20000000000005</v>
      </c>
      <c r="U199" s="64"/>
      <c r="V199" s="18">
        <f t="shared" si="38"/>
        <v>299.20000000000005</v>
      </c>
      <c r="W199" s="64"/>
      <c r="X199" s="18">
        <f t="shared" si="39"/>
        <v>299.20000000000005</v>
      </c>
      <c r="Z199" s="43">
        <f t="shared" si="59"/>
        <v>299.20000000000005</v>
      </c>
      <c r="AA199" s="43"/>
    </row>
    <row r="200" spans="1:27" ht="36.75" x14ac:dyDescent="0.25">
      <c r="A200" s="13" t="s">
        <v>297</v>
      </c>
      <c r="B200" s="24" t="s">
        <v>298</v>
      </c>
      <c r="C200" s="24" t="s">
        <v>2</v>
      </c>
      <c r="D200" s="18">
        <f>D201+D203+D202+D204</f>
        <v>51776.800000000003</v>
      </c>
      <c r="E200" s="18">
        <f>E201+E203</f>
        <v>266.2</v>
      </c>
      <c r="F200" s="18">
        <f t="shared" si="30"/>
        <v>52043</v>
      </c>
      <c r="G200" s="18">
        <f>G201+G203+G202+G204</f>
        <v>261.5</v>
      </c>
      <c r="H200" s="18">
        <f t="shared" si="31"/>
        <v>52304.5</v>
      </c>
      <c r="I200" s="47">
        <f>I201+I203+I202+I204</f>
        <v>0</v>
      </c>
      <c r="J200" s="18">
        <f t="shared" si="32"/>
        <v>52304.5</v>
      </c>
      <c r="K200" s="47">
        <f>K201+K203+K202+K204</f>
        <v>0</v>
      </c>
      <c r="L200" s="18">
        <f t="shared" si="33"/>
        <v>52304.5</v>
      </c>
      <c r="M200" s="47">
        <f>M201+M203+M202+M204</f>
        <v>0</v>
      </c>
      <c r="N200" s="18">
        <f t="shared" si="34"/>
        <v>52304.5</v>
      </c>
      <c r="O200" s="47">
        <f>O201+O203+O202+O204</f>
        <v>0</v>
      </c>
      <c r="P200" s="18">
        <f t="shared" si="35"/>
        <v>52304.5</v>
      </c>
      <c r="Q200" s="47">
        <f>Q201+Q203+Q202+Q204</f>
        <v>0</v>
      </c>
      <c r="R200" s="18">
        <f t="shared" si="36"/>
        <v>52304.5</v>
      </c>
      <c r="S200" s="47">
        <f>S201+S203+S202+S204</f>
        <v>0</v>
      </c>
      <c r="T200" s="18">
        <f t="shared" si="37"/>
        <v>52304.5</v>
      </c>
      <c r="U200" s="47">
        <f>U201+U203+U202+U204</f>
        <v>0</v>
      </c>
      <c r="V200" s="18">
        <f t="shared" si="38"/>
        <v>52304.5</v>
      </c>
      <c r="W200" s="47">
        <f>W201+W203+W202+W204</f>
        <v>0</v>
      </c>
      <c r="X200" s="18">
        <f t="shared" si="39"/>
        <v>52304.5</v>
      </c>
    </row>
    <row r="201" spans="1:27" x14ac:dyDescent="0.25">
      <c r="A201" s="9" t="s">
        <v>511</v>
      </c>
      <c r="B201" s="25" t="s">
        <v>298</v>
      </c>
      <c r="C201" s="25" t="s">
        <v>66</v>
      </c>
      <c r="D201" s="55">
        <f>47244.8-224.2</f>
        <v>47020.600000000006</v>
      </c>
      <c r="E201" s="45">
        <v>266.2</v>
      </c>
      <c r="F201" s="18">
        <f t="shared" si="30"/>
        <v>47286.8</v>
      </c>
      <c r="G201" s="45">
        <v>209.8</v>
      </c>
      <c r="H201" s="18">
        <f t="shared" si="31"/>
        <v>47496.600000000006</v>
      </c>
      <c r="I201" s="64"/>
      <c r="J201" s="18">
        <f t="shared" si="32"/>
        <v>47496.600000000006</v>
      </c>
      <c r="K201" s="64"/>
      <c r="L201" s="18">
        <f t="shared" si="33"/>
        <v>47496.600000000006</v>
      </c>
      <c r="M201" s="64"/>
      <c r="N201" s="18">
        <f t="shared" si="34"/>
        <v>47496.600000000006</v>
      </c>
      <c r="O201" s="64"/>
      <c r="P201" s="18">
        <f t="shared" si="35"/>
        <v>47496.600000000006</v>
      </c>
      <c r="Q201" s="64"/>
      <c r="R201" s="18">
        <f t="shared" si="36"/>
        <v>47496.600000000006</v>
      </c>
      <c r="S201" s="64"/>
      <c r="T201" s="18">
        <f t="shared" si="37"/>
        <v>47496.600000000006</v>
      </c>
      <c r="U201" s="64"/>
      <c r="V201" s="18">
        <f t="shared" si="38"/>
        <v>47496.600000000006</v>
      </c>
      <c r="W201" s="64"/>
      <c r="X201" s="18">
        <f t="shared" si="39"/>
        <v>47496.600000000006</v>
      </c>
      <c r="Z201" s="43">
        <f t="shared" ref="Z201:Z204" si="60">X201+Y201</f>
        <v>47496.600000000006</v>
      </c>
      <c r="AA201" s="43"/>
    </row>
    <row r="202" spans="1:27" x14ac:dyDescent="0.25">
      <c r="A202" s="9" t="s">
        <v>511</v>
      </c>
      <c r="B202" s="25" t="s">
        <v>298</v>
      </c>
      <c r="C202" s="25" t="s">
        <v>66</v>
      </c>
      <c r="D202" s="44">
        <v>224.2</v>
      </c>
      <c r="E202" s="64"/>
      <c r="F202" s="18">
        <f t="shared" si="30"/>
        <v>224.2</v>
      </c>
      <c r="G202" s="44">
        <v>14.5</v>
      </c>
      <c r="H202" s="18">
        <f t="shared" si="31"/>
        <v>238.7</v>
      </c>
      <c r="I202" s="64"/>
      <c r="J202" s="18">
        <f t="shared" si="32"/>
        <v>238.7</v>
      </c>
      <c r="K202" s="64"/>
      <c r="L202" s="18">
        <f t="shared" si="33"/>
        <v>238.7</v>
      </c>
      <c r="M202" s="64"/>
      <c r="N202" s="18">
        <f t="shared" si="34"/>
        <v>238.7</v>
      </c>
      <c r="O202" s="64"/>
      <c r="P202" s="18">
        <f t="shared" si="35"/>
        <v>238.7</v>
      </c>
      <c r="Q202" s="64"/>
      <c r="R202" s="18">
        <f t="shared" si="36"/>
        <v>238.7</v>
      </c>
      <c r="S202" s="64"/>
      <c r="T202" s="18">
        <f t="shared" si="37"/>
        <v>238.7</v>
      </c>
      <c r="U202" s="64"/>
      <c r="V202" s="18">
        <f t="shared" si="38"/>
        <v>238.7</v>
      </c>
      <c r="W202" s="64"/>
      <c r="X202" s="18">
        <f t="shared" si="39"/>
        <v>238.7</v>
      </c>
      <c r="Z202" s="43">
        <f t="shared" si="60"/>
        <v>238.7</v>
      </c>
      <c r="AA202" s="43"/>
    </row>
    <row r="203" spans="1:27" x14ac:dyDescent="0.25">
      <c r="A203" s="9" t="s">
        <v>266</v>
      </c>
      <c r="B203" s="25" t="s">
        <v>298</v>
      </c>
      <c r="C203" s="25" t="s">
        <v>267</v>
      </c>
      <c r="D203" s="45">
        <f>4532-21.6</f>
        <v>4510.3999999999996</v>
      </c>
      <c r="E203" s="19"/>
      <c r="F203" s="18">
        <f t="shared" si="30"/>
        <v>4510.3999999999996</v>
      </c>
      <c r="G203" s="45">
        <v>36</v>
      </c>
      <c r="H203" s="18">
        <f t="shared" si="31"/>
        <v>4546.3999999999996</v>
      </c>
      <c r="I203" s="64"/>
      <c r="J203" s="18">
        <f t="shared" si="32"/>
        <v>4546.3999999999996</v>
      </c>
      <c r="K203" s="64"/>
      <c r="L203" s="18">
        <f t="shared" si="33"/>
        <v>4546.3999999999996</v>
      </c>
      <c r="M203" s="64"/>
      <c r="N203" s="18">
        <f t="shared" si="34"/>
        <v>4546.3999999999996</v>
      </c>
      <c r="O203" s="64"/>
      <c r="P203" s="18">
        <f t="shared" si="35"/>
        <v>4546.3999999999996</v>
      </c>
      <c r="Q203" s="64"/>
      <c r="R203" s="18">
        <f t="shared" si="36"/>
        <v>4546.3999999999996</v>
      </c>
      <c r="S203" s="64"/>
      <c r="T203" s="18">
        <f t="shared" si="37"/>
        <v>4546.3999999999996</v>
      </c>
      <c r="U203" s="64"/>
      <c r="V203" s="18">
        <f t="shared" si="38"/>
        <v>4546.3999999999996</v>
      </c>
      <c r="W203" s="64"/>
      <c r="X203" s="18">
        <f t="shared" si="39"/>
        <v>4546.3999999999996</v>
      </c>
      <c r="Z203" s="43">
        <f t="shared" si="60"/>
        <v>4546.3999999999996</v>
      </c>
      <c r="AA203" s="43"/>
    </row>
    <row r="204" spans="1:27" x14ac:dyDescent="0.25">
      <c r="A204" s="9" t="s">
        <v>266</v>
      </c>
      <c r="B204" s="25" t="s">
        <v>298</v>
      </c>
      <c r="C204" s="25" t="s">
        <v>267</v>
      </c>
      <c r="D204" s="44">
        <v>21.6</v>
      </c>
      <c r="E204" s="19"/>
      <c r="F204" s="18">
        <f t="shared" si="30"/>
        <v>21.6</v>
      </c>
      <c r="G204" s="44">
        <v>1.2</v>
      </c>
      <c r="H204" s="18">
        <f t="shared" si="31"/>
        <v>22.8</v>
      </c>
      <c r="I204" s="64"/>
      <c r="J204" s="18">
        <f t="shared" si="32"/>
        <v>22.8</v>
      </c>
      <c r="K204" s="64"/>
      <c r="L204" s="18">
        <f t="shared" si="33"/>
        <v>22.8</v>
      </c>
      <c r="M204" s="64"/>
      <c r="N204" s="18">
        <f t="shared" si="34"/>
        <v>22.8</v>
      </c>
      <c r="O204" s="64"/>
      <c r="P204" s="18">
        <f t="shared" si="35"/>
        <v>22.8</v>
      </c>
      <c r="Q204" s="64"/>
      <c r="R204" s="18">
        <f t="shared" si="36"/>
        <v>22.8</v>
      </c>
      <c r="S204" s="64"/>
      <c r="T204" s="18">
        <f t="shared" si="37"/>
        <v>22.8</v>
      </c>
      <c r="U204" s="64"/>
      <c r="V204" s="18">
        <f t="shared" si="38"/>
        <v>22.8</v>
      </c>
      <c r="W204" s="64"/>
      <c r="X204" s="18">
        <f t="shared" si="39"/>
        <v>22.8</v>
      </c>
      <c r="Z204" s="43">
        <f t="shared" si="60"/>
        <v>22.8</v>
      </c>
      <c r="AA204" s="43"/>
    </row>
    <row r="205" spans="1:27" ht="36.75" x14ac:dyDescent="0.25">
      <c r="A205" s="101" t="s">
        <v>1303</v>
      </c>
      <c r="B205" s="24" t="s">
        <v>1302</v>
      </c>
      <c r="C205" s="25"/>
      <c r="D205" s="44"/>
      <c r="E205" s="19"/>
      <c r="F205" s="18"/>
      <c r="G205" s="44"/>
      <c r="H205" s="18"/>
      <c r="I205" s="64"/>
      <c r="J205" s="18"/>
      <c r="K205" s="64"/>
      <c r="L205" s="18"/>
      <c r="M205" s="64"/>
      <c r="N205" s="18"/>
      <c r="O205" s="64"/>
      <c r="P205" s="18"/>
      <c r="Q205" s="64"/>
      <c r="R205" s="18"/>
      <c r="S205" s="64"/>
      <c r="T205" s="18"/>
      <c r="U205" s="47">
        <f>U206+U207</f>
        <v>20.3</v>
      </c>
      <c r="V205" s="18">
        <f t="shared" si="38"/>
        <v>20.3</v>
      </c>
      <c r="W205" s="47">
        <f>W206+W207</f>
        <v>17.099999999999998</v>
      </c>
      <c r="X205" s="18">
        <f t="shared" si="39"/>
        <v>37.4</v>
      </c>
    </row>
    <row r="206" spans="1:27" x14ac:dyDescent="0.25">
      <c r="A206" s="9" t="s">
        <v>511</v>
      </c>
      <c r="B206" s="25" t="s">
        <v>1302</v>
      </c>
      <c r="C206" s="25" t="s">
        <v>66</v>
      </c>
      <c r="D206" s="44"/>
      <c r="E206" s="19"/>
      <c r="F206" s="18"/>
      <c r="G206" s="44"/>
      <c r="H206" s="18"/>
      <c r="I206" s="64"/>
      <c r="J206" s="18"/>
      <c r="K206" s="64"/>
      <c r="L206" s="18"/>
      <c r="M206" s="64"/>
      <c r="N206" s="18"/>
      <c r="O206" s="64"/>
      <c r="P206" s="18"/>
      <c r="Q206" s="64"/>
      <c r="R206" s="18"/>
      <c r="S206" s="64"/>
      <c r="T206" s="18"/>
      <c r="U206" s="96">
        <v>19.2</v>
      </c>
      <c r="V206" s="18">
        <f t="shared" si="38"/>
        <v>19.2</v>
      </c>
      <c r="W206" s="44">
        <v>16.399999999999999</v>
      </c>
      <c r="X206" s="18">
        <f t="shared" si="39"/>
        <v>35.599999999999994</v>
      </c>
      <c r="Y206" s="43">
        <v>16.399999999999999</v>
      </c>
      <c r="Z206" s="43">
        <f t="shared" ref="Z206:Z207" si="61">X206+Y206</f>
        <v>51.999999999999993</v>
      </c>
      <c r="AA206" s="43"/>
    </row>
    <row r="207" spans="1:27" x14ac:dyDescent="0.25">
      <c r="A207" s="9" t="s">
        <v>266</v>
      </c>
      <c r="B207" s="25" t="s">
        <v>1302</v>
      </c>
      <c r="C207" s="25" t="s">
        <v>267</v>
      </c>
      <c r="D207" s="44"/>
      <c r="E207" s="19"/>
      <c r="F207" s="18"/>
      <c r="G207" s="44"/>
      <c r="H207" s="18"/>
      <c r="I207" s="64"/>
      <c r="J207" s="18"/>
      <c r="K207" s="64"/>
      <c r="L207" s="18"/>
      <c r="M207" s="64"/>
      <c r="N207" s="18"/>
      <c r="O207" s="64"/>
      <c r="P207" s="18"/>
      <c r="Q207" s="64"/>
      <c r="R207" s="18"/>
      <c r="S207" s="64"/>
      <c r="T207" s="18"/>
      <c r="U207" s="96">
        <v>1.1000000000000001</v>
      </c>
      <c r="V207" s="18">
        <f t="shared" si="38"/>
        <v>1.1000000000000001</v>
      </c>
      <c r="W207" s="44">
        <v>0.7</v>
      </c>
      <c r="X207" s="18">
        <f t="shared" si="39"/>
        <v>1.8</v>
      </c>
      <c r="Y207" s="43">
        <v>0.7</v>
      </c>
      <c r="Z207" s="43">
        <f t="shared" si="61"/>
        <v>2.5</v>
      </c>
      <c r="AA207" s="43"/>
    </row>
    <row r="208" spans="1:27" ht="54" customHeight="1" x14ac:dyDescent="0.25">
      <c r="A208" s="13" t="s">
        <v>799</v>
      </c>
      <c r="B208" s="24" t="s">
        <v>800</v>
      </c>
      <c r="C208" s="25"/>
      <c r="D208" s="44"/>
      <c r="E208" s="19"/>
      <c r="F208" s="18"/>
      <c r="G208" s="44"/>
      <c r="H208" s="18"/>
      <c r="I208" s="64"/>
      <c r="J208" s="18"/>
      <c r="K208" s="64"/>
      <c r="L208" s="18"/>
      <c r="M208" s="64"/>
      <c r="N208" s="18">
        <f t="shared" si="34"/>
        <v>0</v>
      </c>
      <c r="O208" s="47">
        <f>O209+O210</f>
        <v>4041.1</v>
      </c>
      <c r="P208" s="18">
        <f t="shared" si="35"/>
        <v>4041.1</v>
      </c>
      <c r="Q208" s="47">
        <f>Q209+Q210</f>
        <v>0</v>
      </c>
      <c r="R208" s="18">
        <f t="shared" si="36"/>
        <v>4041.1</v>
      </c>
      <c r="S208" s="47">
        <f>S209+S210</f>
        <v>0</v>
      </c>
      <c r="T208" s="18">
        <f t="shared" si="37"/>
        <v>4041.1</v>
      </c>
      <c r="U208" s="47">
        <f>U209+U210</f>
        <v>0</v>
      </c>
      <c r="V208" s="18">
        <f t="shared" si="38"/>
        <v>4041.1</v>
      </c>
      <c r="W208" s="47">
        <f>W209+W210</f>
        <v>0</v>
      </c>
      <c r="X208" s="18">
        <f t="shared" si="39"/>
        <v>4041.1</v>
      </c>
    </row>
    <row r="209" spans="1:27" x14ac:dyDescent="0.25">
      <c r="A209" s="9" t="s">
        <v>511</v>
      </c>
      <c r="B209" s="25" t="s">
        <v>800</v>
      </c>
      <c r="C209" s="25" t="s">
        <v>66</v>
      </c>
      <c r="D209" s="44"/>
      <c r="E209" s="19"/>
      <c r="F209" s="18"/>
      <c r="G209" s="44"/>
      <c r="H209" s="18"/>
      <c r="I209" s="64"/>
      <c r="J209" s="18"/>
      <c r="K209" s="64"/>
      <c r="L209" s="18"/>
      <c r="M209" s="64"/>
      <c r="N209" s="18">
        <f t="shared" si="34"/>
        <v>0</v>
      </c>
      <c r="O209" s="45">
        <v>3824.6</v>
      </c>
      <c r="P209" s="18">
        <f t="shared" si="35"/>
        <v>3824.6</v>
      </c>
      <c r="Q209" s="64"/>
      <c r="R209" s="18">
        <f t="shared" si="36"/>
        <v>3824.6</v>
      </c>
      <c r="S209" s="64"/>
      <c r="T209" s="18">
        <f t="shared" si="37"/>
        <v>3824.6</v>
      </c>
      <c r="U209" s="64"/>
      <c r="V209" s="18">
        <f t="shared" si="38"/>
        <v>3824.6</v>
      </c>
      <c r="W209" s="64"/>
      <c r="X209" s="18">
        <f t="shared" si="39"/>
        <v>3824.6</v>
      </c>
      <c r="Z209" s="43">
        <f t="shared" ref="Z209:Z210" si="62">X209+Y209</f>
        <v>3824.6</v>
      </c>
      <c r="AA209" s="43"/>
    </row>
    <row r="210" spans="1:27" x14ac:dyDescent="0.25">
      <c r="A210" s="9" t="s">
        <v>266</v>
      </c>
      <c r="B210" s="25" t="s">
        <v>800</v>
      </c>
      <c r="C210" s="25" t="s">
        <v>267</v>
      </c>
      <c r="D210" s="44"/>
      <c r="E210" s="19"/>
      <c r="F210" s="18"/>
      <c r="G210" s="44"/>
      <c r="H210" s="18"/>
      <c r="I210" s="64"/>
      <c r="J210" s="18"/>
      <c r="K210" s="64"/>
      <c r="L210" s="18"/>
      <c r="M210" s="64"/>
      <c r="N210" s="18">
        <f t="shared" si="34"/>
        <v>0</v>
      </c>
      <c r="O210" s="45">
        <v>216.5</v>
      </c>
      <c r="P210" s="18">
        <f t="shared" si="35"/>
        <v>216.5</v>
      </c>
      <c r="Q210" s="64"/>
      <c r="R210" s="18">
        <f t="shared" si="36"/>
        <v>216.5</v>
      </c>
      <c r="S210" s="64"/>
      <c r="T210" s="18">
        <f t="shared" si="37"/>
        <v>216.5</v>
      </c>
      <c r="U210" s="64"/>
      <c r="V210" s="18">
        <f t="shared" si="38"/>
        <v>216.5</v>
      </c>
      <c r="W210" s="64"/>
      <c r="X210" s="18">
        <f t="shared" si="39"/>
        <v>216.5</v>
      </c>
      <c r="Z210" s="43">
        <f t="shared" si="62"/>
        <v>216.5</v>
      </c>
      <c r="AA210" s="43"/>
    </row>
    <row r="211" spans="1:27" ht="24.75" x14ac:dyDescent="0.25">
      <c r="A211" s="13" t="s">
        <v>299</v>
      </c>
      <c r="B211" s="24" t="s">
        <v>300</v>
      </c>
      <c r="C211" s="24" t="s">
        <v>2</v>
      </c>
      <c r="D211" s="18">
        <f>D212+D213</f>
        <v>954.1</v>
      </c>
      <c r="E211" s="18">
        <f>E212+E213</f>
        <v>0</v>
      </c>
      <c r="F211" s="18">
        <f t="shared" si="30"/>
        <v>954.1</v>
      </c>
      <c r="G211" s="18">
        <f>G212+G213</f>
        <v>0</v>
      </c>
      <c r="H211" s="18">
        <f t="shared" si="31"/>
        <v>954.1</v>
      </c>
      <c r="I211" s="47">
        <f>I212+I213</f>
        <v>0</v>
      </c>
      <c r="J211" s="18">
        <f t="shared" si="32"/>
        <v>954.1</v>
      </c>
      <c r="K211" s="47">
        <f>K212+K213</f>
        <v>0</v>
      </c>
      <c r="L211" s="18">
        <f t="shared" si="33"/>
        <v>954.1</v>
      </c>
      <c r="M211" s="47">
        <f>M212+M213</f>
        <v>0</v>
      </c>
      <c r="N211" s="18">
        <f t="shared" si="34"/>
        <v>954.1</v>
      </c>
      <c r="O211" s="47">
        <f>O212+O213</f>
        <v>0</v>
      </c>
      <c r="P211" s="18">
        <f t="shared" si="35"/>
        <v>954.1</v>
      </c>
      <c r="Q211" s="47">
        <f>Q212+Q213</f>
        <v>0</v>
      </c>
      <c r="R211" s="18">
        <f t="shared" si="36"/>
        <v>954.1</v>
      </c>
      <c r="S211" s="47">
        <f>S212+S213</f>
        <v>0</v>
      </c>
      <c r="T211" s="18">
        <f t="shared" si="37"/>
        <v>954.1</v>
      </c>
      <c r="U211" s="47">
        <f>U212+U213</f>
        <v>-20.3</v>
      </c>
      <c r="V211" s="18">
        <f t="shared" si="38"/>
        <v>933.80000000000007</v>
      </c>
      <c r="W211" s="47">
        <f>W212+W213</f>
        <v>0</v>
      </c>
      <c r="X211" s="18">
        <f t="shared" si="39"/>
        <v>933.80000000000007</v>
      </c>
    </row>
    <row r="212" spans="1:27" x14ac:dyDescent="0.25">
      <c r="A212" s="9" t="s">
        <v>511</v>
      </c>
      <c r="B212" s="25" t="s">
        <v>300</v>
      </c>
      <c r="C212" s="25" t="s">
        <v>66</v>
      </c>
      <c r="D212" s="19">
        <v>870.2</v>
      </c>
      <c r="E212" s="19"/>
      <c r="F212" s="18">
        <f t="shared" si="30"/>
        <v>870.2</v>
      </c>
      <c r="G212" s="19"/>
      <c r="H212" s="18">
        <f t="shared" si="31"/>
        <v>870.2</v>
      </c>
      <c r="I212" s="19"/>
      <c r="J212" s="18">
        <f t="shared" si="32"/>
        <v>870.2</v>
      </c>
      <c r="K212" s="19"/>
      <c r="L212" s="18">
        <f t="shared" si="33"/>
        <v>870.2</v>
      </c>
      <c r="M212" s="19"/>
      <c r="N212" s="18">
        <f t="shared" si="34"/>
        <v>870.2</v>
      </c>
      <c r="O212" s="19"/>
      <c r="P212" s="18">
        <f t="shared" si="35"/>
        <v>870.2</v>
      </c>
      <c r="Q212" s="19"/>
      <c r="R212" s="18">
        <f t="shared" si="36"/>
        <v>870.2</v>
      </c>
      <c r="S212" s="64"/>
      <c r="T212" s="18">
        <f t="shared" si="37"/>
        <v>870.2</v>
      </c>
      <c r="U212" s="96">
        <v>-20.3</v>
      </c>
      <c r="V212" s="18">
        <f t="shared" si="38"/>
        <v>849.90000000000009</v>
      </c>
      <c r="W212" s="64"/>
      <c r="X212" s="18">
        <f t="shared" si="39"/>
        <v>849.90000000000009</v>
      </c>
      <c r="Z212" s="43">
        <f t="shared" ref="Z212:Z213" si="63">X212+Y212</f>
        <v>849.90000000000009</v>
      </c>
      <c r="AA212" s="43"/>
    </row>
    <row r="213" spans="1:27" x14ac:dyDescent="0.25">
      <c r="A213" s="9" t="s">
        <v>266</v>
      </c>
      <c r="B213" s="25" t="s">
        <v>300</v>
      </c>
      <c r="C213" s="25" t="s">
        <v>267</v>
      </c>
      <c r="D213" s="19">
        <v>83.9</v>
      </c>
      <c r="E213" s="19"/>
      <c r="F213" s="18">
        <f t="shared" si="30"/>
        <v>83.9</v>
      </c>
      <c r="G213" s="19"/>
      <c r="H213" s="18">
        <f t="shared" si="31"/>
        <v>83.9</v>
      </c>
      <c r="I213" s="19"/>
      <c r="J213" s="18">
        <f t="shared" si="32"/>
        <v>83.9</v>
      </c>
      <c r="K213" s="19"/>
      <c r="L213" s="18">
        <f t="shared" si="33"/>
        <v>83.9</v>
      </c>
      <c r="M213" s="19"/>
      <c r="N213" s="18">
        <f t="shared" si="34"/>
        <v>83.9</v>
      </c>
      <c r="O213" s="19"/>
      <c r="P213" s="18">
        <f t="shared" si="35"/>
        <v>83.9</v>
      </c>
      <c r="Q213" s="19"/>
      <c r="R213" s="18">
        <f t="shared" si="36"/>
        <v>83.9</v>
      </c>
      <c r="S213" s="64"/>
      <c r="T213" s="18">
        <f t="shared" si="37"/>
        <v>83.9</v>
      </c>
      <c r="U213" s="64"/>
      <c r="V213" s="18">
        <f t="shared" si="38"/>
        <v>83.9</v>
      </c>
      <c r="W213" s="64"/>
      <c r="X213" s="18">
        <f t="shared" si="39"/>
        <v>83.9</v>
      </c>
      <c r="Z213" s="43">
        <f t="shared" si="63"/>
        <v>83.9</v>
      </c>
      <c r="AA213" s="43"/>
    </row>
    <row r="214" spans="1:27" x14ac:dyDescent="0.25">
      <c r="A214" s="16" t="s">
        <v>470</v>
      </c>
      <c r="B214" s="22" t="s">
        <v>360</v>
      </c>
      <c r="C214" s="22" t="s">
        <v>2</v>
      </c>
      <c r="D214" s="17">
        <f>D215+D228+D254+D264</f>
        <v>168345.59999999998</v>
      </c>
      <c r="E214" s="17">
        <f>E215+E228+E254+E264</f>
        <v>1633</v>
      </c>
      <c r="F214" s="17">
        <f t="shared" si="30"/>
        <v>169978.59999999998</v>
      </c>
      <c r="G214" s="17">
        <f>G215+G228+G254+G264</f>
        <v>0</v>
      </c>
      <c r="H214" s="17">
        <f t="shared" si="31"/>
        <v>169978.59999999998</v>
      </c>
      <c r="I214" s="17">
        <f>I215+I228+I254+I264</f>
        <v>245.8</v>
      </c>
      <c r="J214" s="17">
        <f t="shared" si="32"/>
        <v>170224.39999999997</v>
      </c>
      <c r="K214" s="17">
        <f>K215+K228+K254+K264+K286+K289</f>
        <v>9225.1</v>
      </c>
      <c r="L214" s="17">
        <f t="shared" si="33"/>
        <v>179449.49999999997</v>
      </c>
      <c r="M214" s="17">
        <f>M215+M228+M254+M264+M286+M289</f>
        <v>851.5</v>
      </c>
      <c r="N214" s="17">
        <f t="shared" si="34"/>
        <v>180300.99999999997</v>
      </c>
      <c r="O214" s="17">
        <f>O215+O228+O254+O264+O286+O289</f>
        <v>-1169</v>
      </c>
      <c r="P214" s="17">
        <f t="shared" si="35"/>
        <v>179131.99999999997</v>
      </c>
      <c r="Q214" s="17">
        <f>Q215+Q228+Q254+Q264+Q286+Q289</f>
        <v>1999.3999999999999</v>
      </c>
      <c r="R214" s="17">
        <f t="shared" si="36"/>
        <v>181131.39999999997</v>
      </c>
      <c r="S214" s="17">
        <f>S215+S228+S254+S264+S286+S289</f>
        <v>4836.1000000000004</v>
      </c>
      <c r="T214" s="17">
        <f t="shared" si="37"/>
        <v>185967.49999999997</v>
      </c>
      <c r="U214" s="17">
        <f>U215+U228+U254+U264+U286+U289</f>
        <v>-3508.9000000000005</v>
      </c>
      <c r="V214" s="17">
        <f t="shared" si="38"/>
        <v>182458.59999999998</v>
      </c>
      <c r="W214" s="17">
        <f>W215+W228+W254+W264+W286+W289</f>
        <v>-117.70000000000005</v>
      </c>
      <c r="X214" s="17">
        <f t="shared" si="39"/>
        <v>182340.89999999997</v>
      </c>
    </row>
    <row r="215" spans="1:27" x14ac:dyDescent="0.25">
      <c r="A215" s="13" t="s">
        <v>361</v>
      </c>
      <c r="B215" s="24" t="s">
        <v>362</v>
      </c>
      <c r="C215" s="24" t="s">
        <v>2</v>
      </c>
      <c r="D215" s="18">
        <f>D222+D220</f>
        <v>27267.9</v>
      </c>
      <c r="E215" s="18">
        <f>E222+E220+E218</f>
        <v>120</v>
      </c>
      <c r="F215" s="18">
        <f t="shared" si="30"/>
        <v>27387.9</v>
      </c>
      <c r="G215" s="18">
        <f>G222+G220+G218</f>
        <v>0</v>
      </c>
      <c r="H215" s="18">
        <f t="shared" si="31"/>
        <v>27387.9</v>
      </c>
      <c r="I215" s="18">
        <f>I222+I220+I218+I225</f>
        <v>329.8</v>
      </c>
      <c r="J215" s="18">
        <f t="shared" si="32"/>
        <v>27717.7</v>
      </c>
      <c r="K215" s="18">
        <f>K222+K220+K218+K225</f>
        <v>0</v>
      </c>
      <c r="L215" s="18">
        <f t="shared" si="33"/>
        <v>27717.7</v>
      </c>
      <c r="M215" s="18">
        <f>M222+M220+M218+M225</f>
        <v>0</v>
      </c>
      <c r="N215" s="18">
        <f t="shared" si="34"/>
        <v>27717.7</v>
      </c>
      <c r="O215" s="18">
        <f>O222+O220+O218+O225</f>
        <v>0</v>
      </c>
      <c r="P215" s="18">
        <f t="shared" si="35"/>
        <v>27717.7</v>
      </c>
      <c r="Q215" s="18">
        <f>Q222+Q220+Q218+Q225</f>
        <v>0</v>
      </c>
      <c r="R215" s="18">
        <f t="shared" si="36"/>
        <v>27717.7</v>
      </c>
      <c r="S215" s="18">
        <f>S222+S220+S218+S225</f>
        <v>0</v>
      </c>
      <c r="T215" s="18">
        <f t="shared" si="37"/>
        <v>27717.7</v>
      </c>
      <c r="U215" s="18">
        <f>U222+U220+U218+U225+U216</f>
        <v>-4145.1000000000004</v>
      </c>
      <c r="V215" s="18">
        <f t="shared" si="38"/>
        <v>23572.6</v>
      </c>
      <c r="W215" s="18">
        <f>W222+W220+W218+W225+W216</f>
        <v>1215</v>
      </c>
      <c r="X215" s="18">
        <f t="shared" si="39"/>
        <v>24787.599999999999</v>
      </c>
    </row>
    <row r="216" spans="1:27" ht="24.75" x14ac:dyDescent="0.25">
      <c r="A216" s="33" t="s">
        <v>194</v>
      </c>
      <c r="B216" s="26" t="s">
        <v>1299</v>
      </c>
      <c r="C216" s="26" t="s">
        <v>2</v>
      </c>
      <c r="D216" s="18"/>
      <c r="E216" s="18"/>
      <c r="F216" s="18"/>
      <c r="G216" s="18"/>
      <c r="H216" s="18"/>
      <c r="I216" s="18"/>
      <c r="J216" s="18"/>
      <c r="K216" s="18"/>
      <c r="L216" s="18"/>
      <c r="M216" s="18"/>
      <c r="N216" s="18"/>
      <c r="O216" s="18"/>
      <c r="P216" s="18"/>
      <c r="Q216" s="18"/>
      <c r="R216" s="18"/>
      <c r="S216" s="18"/>
      <c r="T216" s="18"/>
      <c r="U216" s="18">
        <f>U217</f>
        <v>593.9</v>
      </c>
      <c r="V216" s="18">
        <f t="shared" si="38"/>
        <v>593.9</v>
      </c>
      <c r="W216" s="18">
        <f>W217</f>
        <v>0</v>
      </c>
      <c r="X216" s="18">
        <f t="shared" si="39"/>
        <v>593.9</v>
      </c>
    </row>
    <row r="217" spans="1:27" x14ac:dyDescent="0.25">
      <c r="A217" s="8" t="s">
        <v>511</v>
      </c>
      <c r="B217" s="27" t="s">
        <v>1299</v>
      </c>
      <c r="C217" s="27" t="s">
        <v>66</v>
      </c>
      <c r="D217" s="18"/>
      <c r="E217" s="18"/>
      <c r="F217" s="18"/>
      <c r="G217" s="18"/>
      <c r="H217" s="18"/>
      <c r="I217" s="18"/>
      <c r="J217" s="18"/>
      <c r="K217" s="18"/>
      <c r="L217" s="18"/>
      <c r="M217" s="18"/>
      <c r="N217" s="18"/>
      <c r="O217" s="18"/>
      <c r="P217" s="18"/>
      <c r="Q217" s="18"/>
      <c r="R217" s="18"/>
      <c r="S217" s="18"/>
      <c r="T217" s="18"/>
      <c r="U217" s="96">
        <v>593.9</v>
      </c>
      <c r="V217" s="18">
        <f t="shared" si="38"/>
        <v>593.9</v>
      </c>
      <c r="W217" s="64"/>
      <c r="X217" s="18">
        <f t="shared" si="39"/>
        <v>593.9</v>
      </c>
      <c r="Z217" s="43">
        <f>X217+Y217</f>
        <v>593.9</v>
      </c>
      <c r="AA217" s="43"/>
    </row>
    <row r="218" spans="1:27" x14ac:dyDescent="0.25">
      <c r="A218" s="33" t="s">
        <v>203</v>
      </c>
      <c r="B218" s="26" t="s">
        <v>560</v>
      </c>
      <c r="C218" s="26" t="s">
        <v>2</v>
      </c>
      <c r="D218" s="18"/>
      <c r="E218" s="20">
        <f>E219</f>
        <v>120</v>
      </c>
      <c r="F218" s="18">
        <f t="shared" si="30"/>
        <v>120</v>
      </c>
      <c r="G218" s="20">
        <f>G219</f>
        <v>0</v>
      </c>
      <c r="H218" s="18">
        <f t="shared" si="31"/>
        <v>120</v>
      </c>
      <c r="I218" s="20">
        <f>I219</f>
        <v>0</v>
      </c>
      <c r="J218" s="18">
        <f t="shared" si="32"/>
        <v>120</v>
      </c>
      <c r="K218" s="20">
        <f>K219</f>
        <v>0</v>
      </c>
      <c r="L218" s="18">
        <f t="shared" si="33"/>
        <v>120</v>
      </c>
      <c r="M218" s="20">
        <f>M219</f>
        <v>0</v>
      </c>
      <c r="N218" s="18">
        <f t="shared" si="34"/>
        <v>120</v>
      </c>
      <c r="O218" s="20">
        <f>O219</f>
        <v>0</v>
      </c>
      <c r="P218" s="18">
        <f t="shared" si="35"/>
        <v>120</v>
      </c>
      <c r="Q218" s="20">
        <f>Q219</f>
        <v>0</v>
      </c>
      <c r="R218" s="18">
        <f t="shared" si="36"/>
        <v>120</v>
      </c>
      <c r="S218" s="20">
        <f>S219</f>
        <v>0</v>
      </c>
      <c r="T218" s="18">
        <f t="shared" si="37"/>
        <v>120</v>
      </c>
      <c r="U218" s="20">
        <f>U219</f>
        <v>0</v>
      </c>
      <c r="V218" s="18">
        <f t="shared" si="38"/>
        <v>120</v>
      </c>
      <c r="W218" s="20">
        <f>W219</f>
        <v>0</v>
      </c>
      <c r="X218" s="18">
        <f t="shared" si="39"/>
        <v>120</v>
      </c>
    </row>
    <row r="219" spans="1:27" x14ac:dyDescent="0.25">
      <c r="A219" s="8" t="s">
        <v>511</v>
      </c>
      <c r="B219" s="27" t="s">
        <v>560</v>
      </c>
      <c r="C219" s="27" t="s">
        <v>66</v>
      </c>
      <c r="D219" s="18"/>
      <c r="E219" s="44">
        <v>120</v>
      </c>
      <c r="F219" s="18">
        <f t="shared" si="30"/>
        <v>120</v>
      </c>
      <c r="G219" s="64"/>
      <c r="H219" s="18">
        <f t="shared" si="31"/>
        <v>120</v>
      </c>
      <c r="I219" s="64"/>
      <c r="J219" s="18">
        <f t="shared" si="32"/>
        <v>120</v>
      </c>
      <c r="K219" s="64"/>
      <c r="L219" s="18">
        <f t="shared" si="33"/>
        <v>120</v>
      </c>
      <c r="M219" s="64"/>
      <c r="N219" s="18">
        <f t="shared" si="34"/>
        <v>120</v>
      </c>
      <c r="O219" s="64"/>
      <c r="P219" s="18">
        <f t="shared" si="35"/>
        <v>120</v>
      </c>
      <c r="Q219" s="64"/>
      <c r="R219" s="18">
        <f t="shared" si="36"/>
        <v>120</v>
      </c>
      <c r="S219" s="64"/>
      <c r="T219" s="18">
        <f t="shared" si="37"/>
        <v>120</v>
      </c>
      <c r="U219" s="64"/>
      <c r="V219" s="18">
        <f t="shared" si="38"/>
        <v>120</v>
      </c>
      <c r="W219" s="64"/>
      <c r="X219" s="18">
        <f t="shared" si="39"/>
        <v>120</v>
      </c>
      <c r="Z219" s="43">
        <f>X219+Y219</f>
        <v>120</v>
      </c>
      <c r="AA219" s="43"/>
    </row>
    <row r="220" spans="1:27" ht="36.75" x14ac:dyDescent="0.25">
      <c r="A220" s="13" t="s">
        <v>523</v>
      </c>
      <c r="B220" s="26" t="s">
        <v>546</v>
      </c>
      <c r="C220" s="26" t="s">
        <v>2</v>
      </c>
      <c r="D220" s="18">
        <f>D221</f>
        <v>50</v>
      </c>
      <c r="E220" s="18">
        <f>E221</f>
        <v>0</v>
      </c>
      <c r="F220" s="18">
        <f t="shared" si="30"/>
        <v>50</v>
      </c>
      <c r="G220" s="18">
        <f>G221</f>
        <v>0</v>
      </c>
      <c r="H220" s="18">
        <f t="shared" si="31"/>
        <v>50</v>
      </c>
      <c r="I220" s="18">
        <f>I221</f>
        <v>0</v>
      </c>
      <c r="J220" s="18">
        <f t="shared" si="32"/>
        <v>50</v>
      </c>
      <c r="K220" s="18">
        <f>K221</f>
        <v>0</v>
      </c>
      <c r="L220" s="18">
        <f t="shared" si="33"/>
        <v>50</v>
      </c>
      <c r="M220" s="18">
        <f>M221</f>
        <v>0</v>
      </c>
      <c r="N220" s="18">
        <f t="shared" si="34"/>
        <v>50</v>
      </c>
      <c r="O220" s="18">
        <f>O221</f>
        <v>0</v>
      </c>
      <c r="P220" s="18">
        <f t="shared" si="35"/>
        <v>50</v>
      </c>
      <c r="Q220" s="18">
        <f>Q221</f>
        <v>0</v>
      </c>
      <c r="R220" s="18">
        <f t="shared" si="36"/>
        <v>50</v>
      </c>
      <c r="S220" s="18">
        <f>S221</f>
        <v>0</v>
      </c>
      <c r="T220" s="18">
        <f t="shared" si="37"/>
        <v>50</v>
      </c>
      <c r="U220" s="18">
        <f>U221</f>
        <v>0</v>
      </c>
      <c r="V220" s="18">
        <f t="shared" si="38"/>
        <v>50</v>
      </c>
      <c r="W220" s="18">
        <f>W221</f>
        <v>0</v>
      </c>
      <c r="X220" s="18">
        <f t="shared" si="39"/>
        <v>50</v>
      </c>
    </row>
    <row r="221" spans="1:27" x14ac:dyDescent="0.25">
      <c r="A221" s="8" t="s">
        <v>511</v>
      </c>
      <c r="B221" s="27" t="s">
        <v>546</v>
      </c>
      <c r="C221" s="27" t="s">
        <v>66</v>
      </c>
      <c r="D221" s="19">
        <v>50</v>
      </c>
      <c r="E221" s="19"/>
      <c r="F221" s="18">
        <f t="shared" si="30"/>
        <v>50</v>
      </c>
      <c r="G221" s="19"/>
      <c r="H221" s="18">
        <f t="shared" si="31"/>
        <v>50</v>
      </c>
      <c r="I221" s="19"/>
      <c r="J221" s="18">
        <f t="shared" si="32"/>
        <v>50</v>
      </c>
      <c r="K221" s="19"/>
      <c r="L221" s="18">
        <f t="shared" si="33"/>
        <v>50</v>
      </c>
      <c r="M221" s="19"/>
      <c r="N221" s="18">
        <f t="shared" si="34"/>
        <v>50</v>
      </c>
      <c r="O221" s="19"/>
      <c r="P221" s="18">
        <f t="shared" si="35"/>
        <v>50</v>
      </c>
      <c r="Q221" s="19"/>
      <c r="R221" s="18">
        <f t="shared" si="36"/>
        <v>50</v>
      </c>
      <c r="S221" s="64"/>
      <c r="T221" s="18">
        <f t="shared" si="37"/>
        <v>50</v>
      </c>
      <c r="U221" s="64"/>
      <c r="V221" s="18">
        <f t="shared" si="38"/>
        <v>50</v>
      </c>
      <c r="W221" s="64"/>
      <c r="X221" s="18">
        <f t="shared" si="39"/>
        <v>50</v>
      </c>
      <c r="Z221" s="43">
        <f>X221+Y221</f>
        <v>50</v>
      </c>
      <c r="AA221" s="43"/>
    </row>
    <row r="222" spans="1:27" ht="27.75" customHeight="1" x14ac:dyDescent="0.25">
      <c r="A222" s="13" t="s">
        <v>30</v>
      </c>
      <c r="B222" s="24" t="s">
        <v>363</v>
      </c>
      <c r="C222" s="24" t="s">
        <v>2</v>
      </c>
      <c r="D222" s="18">
        <f>D223+D224</f>
        <v>27217.9</v>
      </c>
      <c r="E222" s="18">
        <f>E223+E224</f>
        <v>0</v>
      </c>
      <c r="F222" s="18">
        <f t="shared" si="30"/>
        <v>27217.9</v>
      </c>
      <c r="G222" s="18">
        <f>G223+G224</f>
        <v>0</v>
      </c>
      <c r="H222" s="18">
        <f t="shared" si="31"/>
        <v>27217.9</v>
      </c>
      <c r="I222" s="18">
        <f>I223+I224</f>
        <v>-3.3</v>
      </c>
      <c r="J222" s="18">
        <f t="shared" si="32"/>
        <v>27214.600000000002</v>
      </c>
      <c r="K222" s="18">
        <f>K223+K224</f>
        <v>0</v>
      </c>
      <c r="L222" s="18">
        <f t="shared" si="33"/>
        <v>27214.600000000002</v>
      </c>
      <c r="M222" s="18">
        <f>M223+M224</f>
        <v>0</v>
      </c>
      <c r="N222" s="18">
        <f t="shared" si="34"/>
        <v>27214.600000000002</v>
      </c>
      <c r="O222" s="18">
        <f>O223+O224</f>
        <v>0</v>
      </c>
      <c r="P222" s="18">
        <f t="shared" si="35"/>
        <v>27214.600000000002</v>
      </c>
      <c r="Q222" s="18">
        <f>Q223+Q224</f>
        <v>0</v>
      </c>
      <c r="R222" s="18">
        <f t="shared" si="36"/>
        <v>27214.600000000002</v>
      </c>
      <c r="S222" s="18">
        <f>S223+S224</f>
        <v>0</v>
      </c>
      <c r="T222" s="18">
        <f t="shared" si="37"/>
        <v>27214.600000000002</v>
      </c>
      <c r="U222" s="18">
        <f>U223+U224</f>
        <v>-4739</v>
      </c>
      <c r="V222" s="18">
        <f t="shared" si="38"/>
        <v>22475.600000000002</v>
      </c>
      <c r="W222" s="18">
        <f>W223+W224</f>
        <v>1215</v>
      </c>
      <c r="X222" s="18">
        <f t="shared" si="39"/>
        <v>23690.600000000002</v>
      </c>
    </row>
    <row r="223" spans="1:27" ht="36.75" x14ac:dyDescent="0.25">
      <c r="A223" s="9" t="s">
        <v>510</v>
      </c>
      <c r="B223" s="25" t="s">
        <v>363</v>
      </c>
      <c r="C223" s="25" t="s">
        <v>68</v>
      </c>
      <c r="D223" s="19">
        <f>27096.9+121-500</f>
        <v>26717.9</v>
      </c>
      <c r="E223" s="19"/>
      <c r="F223" s="18">
        <f t="shared" si="30"/>
        <v>26717.9</v>
      </c>
      <c r="G223" s="19"/>
      <c r="H223" s="18">
        <f t="shared" si="31"/>
        <v>26717.9</v>
      </c>
      <c r="I223" s="44">
        <v>-3.3</v>
      </c>
      <c r="J223" s="18">
        <f t="shared" si="32"/>
        <v>26714.600000000002</v>
      </c>
      <c r="K223" s="64"/>
      <c r="L223" s="18">
        <f t="shared" si="33"/>
        <v>26714.600000000002</v>
      </c>
      <c r="M223" s="64"/>
      <c r="N223" s="18">
        <f t="shared" si="34"/>
        <v>26714.600000000002</v>
      </c>
      <c r="O223" s="64"/>
      <c r="P223" s="18">
        <f t="shared" si="35"/>
        <v>26714.600000000002</v>
      </c>
      <c r="Q223" s="64"/>
      <c r="R223" s="18">
        <f t="shared" si="36"/>
        <v>26714.600000000002</v>
      </c>
      <c r="S223" s="64"/>
      <c r="T223" s="18">
        <f t="shared" si="37"/>
        <v>26714.600000000002</v>
      </c>
      <c r="U223" s="96">
        <f>-2800-1939</f>
        <v>-4739</v>
      </c>
      <c r="V223" s="18">
        <f t="shared" si="38"/>
        <v>21975.600000000002</v>
      </c>
      <c r="W223" s="44">
        <v>1215</v>
      </c>
      <c r="X223" s="18">
        <f t="shared" si="39"/>
        <v>23190.600000000002</v>
      </c>
      <c r="Y223" s="43">
        <v>1215</v>
      </c>
      <c r="Z223" s="43">
        <f t="shared" ref="Z223:Z224" si="64">X223+Y223</f>
        <v>24405.600000000002</v>
      </c>
      <c r="AA223" s="43"/>
    </row>
    <row r="224" spans="1:27" x14ac:dyDescent="0.25">
      <c r="A224" s="8" t="s">
        <v>511</v>
      </c>
      <c r="B224" s="25" t="s">
        <v>363</v>
      </c>
      <c r="C224" s="27" t="s">
        <v>66</v>
      </c>
      <c r="D224" s="19">
        <v>500</v>
      </c>
      <c r="E224" s="19"/>
      <c r="F224" s="18">
        <f t="shared" si="30"/>
        <v>500</v>
      </c>
      <c r="G224" s="19"/>
      <c r="H224" s="18">
        <f t="shared" si="31"/>
        <v>500</v>
      </c>
      <c r="I224" s="19"/>
      <c r="J224" s="18">
        <f t="shared" si="32"/>
        <v>500</v>
      </c>
      <c r="K224" s="19"/>
      <c r="L224" s="18">
        <f t="shared" si="33"/>
        <v>500</v>
      </c>
      <c r="M224" s="19"/>
      <c r="N224" s="18">
        <f t="shared" si="34"/>
        <v>500</v>
      </c>
      <c r="O224" s="19"/>
      <c r="P224" s="18">
        <f t="shared" si="35"/>
        <v>500</v>
      </c>
      <c r="Q224" s="19"/>
      <c r="R224" s="18">
        <f t="shared" si="36"/>
        <v>500</v>
      </c>
      <c r="S224" s="64"/>
      <c r="T224" s="18">
        <f t="shared" si="37"/>
        <v>500</v>
      </c>
      <c r="U224" s="64"/>
      <c r="V224" s="18">
        <f t="shared" si="38"/>
        <v>500</v>
      </c>
      <c r="W224" s="64"/>
      <c r="X224" s="18">
        <f t="shared" si="39"/>
        <v>500</v>
      </c>
      <c r="Z224" s="43">
        <f t="shared" si="64"/>
        <v>500</v>
      </c>
      <c r="AA224" s="43"/>
    </row>
    <row r="225" spans="1:27" ht="36.75" x14ac:dyDescent="0.25">
      <c r="A225" s="33" t="s">
        <v>664</v>
      </c>
      <c r="B225" s="26" t="s">
        <v>665</v>
      </c>
      <c r="C225" s="27"/>
      <c r="D225" s="19"/>
      <c r="E225" s="19"/>
      <c r="F225" s="18"/>
      <c r="G225" s="19"/>
      <c r="H225" s="18"/>
      <c r="I225" s="20">
        <f>I226+I227</f>
        <v>333.1</v>
      </c>
      <c r="J225" s="18">
        <f t="shared" si="32"/>
        <v>333.1</v>
      </c>
      <c r="K225" s="20">
        <f>K226+K227</f>
        <v>0</v>
      </c>
      <c r="L225" s="18">
        <f t="shared" si="33"/>
        <v>333.1</v>
      </c>
      <c r="M225" s="20">
        <f>M226+M227</f>
        <v>0</v>
      </c>
      <c r="N225" s="18">
        <f t="shared" si="34"/>
        <v>333.1</v>
      </c>
      <c r="O225" s="20">
        <f>O226+O227</f>
        <v>0</v>
      </c>
      <c r="P225" s="18">
        <f t="shared" si="35"/>
        <v>333.1</v>
      </c>
      <c r="Q225" s="20">
        <f>Q226+Q227</f>
        <v>0</v>
      </c>
      <c r="R225" s="18">
        <f t="shared" si="36"/>
        <v>333.1</v>
      </c>
      <c r="S225" s="20">
        <f>S226+S227</f>
        <v>0</v>
      </c>
      <c r="T225" s="18">
        <f t="shared" si="37"/>
        <v>333.1</v>
      </c>
      <c r="U225" s="20">
        <f>U226+U227</f>
        <v>0</v>
      </c>
      <c r="V225" s="18">
        <f t="shared" si="38"/>
        <v>333.1</v>
      </c>
      <c r="W225" s="20">
        <f>W226+W227</f>
        <v>0</v>
      </c>
      <c r="X225" s="18">
        <f t="shared" si="39"/>
        <v>333.1</v>
      </c>
    </row>
    <row r="226" spans="1:27" x14ac:dyDescent="0.25">
      <c r="A226" s="8" t="s">
        <v>511</v>
      </c>
      <c r="B226" s="27" t="s">
        <v>665</v>
      </c>
      <c r="C226" s="27" t="s">
        <v>66</v>
      </c>
      <c r="D226" s="19"/>
      <c r="E226" s="19"/>
      <c r="F226" s="18"/>
      <c r="G226" s="19"/>
      <c r="H226" s="18"/>
      <c r="I226" s="45">
        <v>329.8</v>
      </c>
      <c r="J226" s="18">
        <f t="shared" si="32"/>
        <v>329.8</v>
      </c>
      <c r="K226" s="64"/>
      <c r="L226" s="18">
        <f t="shared" si="33"/>
        <v>329.8</v>
      </c>
      <c r="M226" s="64"/>
      <c r="N226" s="18">
        <f t="shared" si="34"/>
        <v>329.8</v>
      </c>
      <c r="O226" s="64"/>
      <c r="P226" s="18">
        <f t="shared" si="35"/>
        <v>329.8</v>
      </c>
      <c r="Q226" s="64"/>
      <c r="R226" s="18">
        <f t="shared" si="36"/>
        <v>329.8</v>
      </c>
      <c r="S226" s="64"/>
      <c r="T226" s="18">
        <f t="shared" si="37"/>
        <v>329.8</v>
      </c>
      <c r="U226" s="64"/>
      <c r="V226" s="18">
        <f t="shared" si="38"/>
        <v>329.8</v>
      </c>
      <c r="W226" s="64"/>
      <c r="X226" s="18">
        <f t="shared" si="39"/>
        <v>329.8</v>
      </c>
      <c r="Z226" s="43">
        <f t="shared" ref="Z226:Z227" si="65">X226+Y226</f>
        <v>329.8</v>
      </c>
      <c r="AA226" s="43"/>
    </row>
    <row r="227" spans="1:27" x14ac:dyDescent="0.25">
      <c r="A227" s="8" t="s">
        <v>511</v>
      </c>
      <c r="B227" s="27" t="s">
        <v>665</v>
      </c>
      <c r="C227" s="27" t="s">
        <v>66</v>
      </c>
      <c r="D227" s="19"/>
      <c r="E227" s="19"/>
      <c r="F227" s="18"/>
      <c r="G227" s="19"/>
      <c r="H227" s="82"/>
      <c r="I227" s="44">
        <v>3.3</v>
      </c>
      <c r="J227" s="82">
        <f t="shared" si="32"/>
        <v>3.3</v>
      </c>
      <c r="K227" s="44"/>
      <c r="L227" s="82">
        <f t="shared" si="33"/>
        <v>3.3</v>
      </c>
      <c r="M227" s="44"/>
      <c r="N227" s="82">
        <f t="shared" si="34"/>
        <v>3.3</v>
      </c>
      <c r="O227" s="44"/>
      <c r="P227" s="82">
        <f t="shared" si="35"/>
        <v>3.3</v>
      </c>
      <c r="Q227" s="44"/>
      <c r="R227" s="82">
        <f t="shared" si="36"/>
        <v>3.3</v>
      </c>
      <c r="S227" s="64"/>
      <c r="T227" s="82">
        <f t="shared" si="37"/>
        <v>3.3</v>
      </c>
      <c r="U227" s="64"/>
      <c r="V227" s="82">
        <f t="shared" si="38"/>
        <v>3.3</v>
      </c>
      <c r="W227" s="64"/>
      <c r="X227" s="82">
        <f t="shared" si="39"/>
        <v>3.3</v>
      </c>
      <c r="Z227" s="43">
        <f t="shared" si="65"/>
        <v>3.3</v>
      </c>
      <c r="AA227" s="43"/>
    </row>
    <row r="228" spans="1:27" x14ac:dyDescent="0.25">
      <c r="A228" s="13" t="s">
        <v>364</v>
      </c>
      <c r="B228" s="24" t="s">
        <v>365</v>
      </c>
      <c r="C228" s="24" t="s">
        <v>2</v>
      </c>
      <c r="D228" s="18">
        <f>D237+D242+D244+D247+D249+D239</f>
        <v>116849.9</v>
      </c>
      <c r="E228" s="18">
        <f>E237+E242+E244+E247+E249+E239+E251</f>
        <v>1500</v>
      </c>
      <c r="F228" s="18">
        <f t="shared" si="30"/>
        <v>118349.9</v>
      </c>
      <c r="G228" s="18">
        <f>G237+G242+G244+G247+G249+G239+G251</f>
        <v>0</v>
      </c>
      <c r="H228" s="18">
        <f t="shared" si="31"/>
        <v>118349.9</v>
      </c>
      <c r="I228" s="18">
        <f>I237+I242+I244+I247+I249+I239+I251+I229+I233</f>
        <v>-84</v>
      </c>
      <c r="J228" s="18">
        <f t="shared" si="32"/>
        <v>118265.9</v>
      </c>
      <c r="K228" s="18">
        <f>K237+K242+K244+K247+K249+K239+K251+K229+K233+K235+K231</f>
        <v>7656</v>
      </c>
      <c r="L228" s="18">
        <f t="shared" si="33"/>
        <v>125921.9</v>
      </c>
      <c r="M228" s="18">
        <f>M237+M242+M244+M247+M249+M239+M251+M229+M233+M235+M231</f>
        <v>851.5</v>
      </c>
      <c r="N228" s="18">
        <f t="shared" si="34"/>
        <v>126773.4</v>
      </c>
      <c r="O228" s="18">
        <f>O237+O242+O244+O247+O249+O239+O251+O229+O233+O235+O231</f>
        <v>-1069</v>
      </c>
      <c r="P228" s="18">
        <f t="shared" si="35"/>
        <v>125704.4</v>
      </c>
      <c r="Q228" s="18">
        <f>Q237+Q242+Q244+Q247+Q249+Q239+Q251+Q229+Q233+Q235+Q231</f>
        <v>1335.3</v>
      </c>
      <c r="R228" s="18">
        <f t="shared" si="36"/>
        <v>127039.7</v>
      </c>
      <c r="S228" s="18">
        <f>S237+S242+S244+S247+S249+S239+S251+S229+S233+S235+S231</f>
        <v>4829.6000000000004</v>
      </c>
      <c r="T228" s="18">
        <f t="shared" si="37"/>
        <v>131869.29999999999</v>
      </c>
      <c r="U228" s="18">
        <f>U237+U242+U244+U247+U249+U239+U251+U229+U233+U235+U231</f>
        <v>654.29999999999984</v>
      </c>
      <c r="V228" s="18">
        <f t="shared" si="38"/>
        <v>132523.59999999998</v>
      </c>
      <c r="W228" s="18">
        <f>W237+W242+W244+W247+W249+W239+W251+W229+W233+W235+W231</f>
        <v>-2365</v>
      </c>
      <c r="X228" s="18">
        <f t="shared" si="39"/>
        <v>130158.59999999998</v>
      </c>
    </row>
    <row r="229" spans="1:27" x14ac:dyDescent="0.25">
      <c r="A229" s="33" t="s">
        <v>662</v>
      </c>
      <c r="B229" s="26" t="s">
        <v>663</v>
      </c>
      <c r="C229" s="26"/>
      <c r="D229" s="18"/>
      <c r="E229" s="18"/>
      <c r="F229" s="18"/>
      <c r="G229" s="18"/>
      <c r="H229" s="18"/>
      <c r="I229" s="20">
        <f>I230</f>
        <v>41</v>
      </c>
      <c r="J229" s="18">
        <f t="shared" si="32"/>
        <v>41</v>
      </c>
      <c r="K229" s="20">
        <f>K230</f>
        <v>0</v>
      </c>
      <c r="L229" s="18">
        <f t="shared" si="33"/>
        <v>41</v>
      </c>
      <c r="M229" s="20">
        <f>M230</f>
        <v>0</v>
      </c>
      <c r="N229" s="18">
        <f t="shared" si="34"/>
        <v>41</v>
      </c>
      <c r="O229" s="20">
        <f>O230</f>
        <v>300</v>
      </c>
      <c r="P229" s="18">
        <f t="shared" si="35"/>
        <v>341</v>
      </c>
      <c r="Q229" s="20">
        <f>Q230</f>
        <v>0</v>
      </c>
      <c r="R229" s="18">
        <f t="shared" si="36"/>
        <v>341</v>
      </c>
      <c r="S229" s="20">
        <f>S230</f>
        <v>0</v>
      </c>
      <c r="T229" s="18">
        <f t="shared" si="37"/>
        <v>341</v>
      </c>
      <c r="U229" s="20">
        <f>U230</f>
        <v>0</v>
      </c>
      <c r="V229" s="18">
        <f t="shared" si="38"/>
        <v>341</v>
      </c>
      <c r="W229" s="20">
        <f>W230</f>
        <v>0</v>
      </c>
      <c r="X229" s="18">
        <f t="shared" si="39"/>
        <v>341</v>
      </c>
    </row>
    <row r="230" spans="1:27" x14ac:dyDescent="0.25">
      <c r="A230" s="8" t="s">
        <v>511</v>
      </c>
      <c r="B230" s="27" t="s">
        <v>663</v>
      </c>
      <c r="C230" s="27" t="s">
        <v>66</v>
      </c>
      <c r="D230" s="18"/>
      <c r="E230" s="18"/>
      <c r="F230" s="18"/>
      <c r="G230" s="18"/>
      <c r="H230" s="18"/>
      <c r="I230" s="45">
        <v>41</v>
      </c>
      <c r="J230" s="18">
        <f t="shared" si="32"/>
        <v>41</v>
      </c>
      <c r="K230" s="64"/>
      <c r="L230" s="18">
        <f t="shared" si="33"/>
        <v>41</v>
      </c>
      <c r="M230" s="64"/>
      <c r="N230" s="18">
        <f t="shared" si="34"/>
        <v>41</v>
      </c>
      <c r="O230" s="122">
        <v>300</v>
      </c>
      <c r="P230" s="18">
        <f t="shared" si="35"/>
        <v>341</v>
      </c>
      <c r="Q230" s="64"/>
      <c r="R230" s="18">
        <f t="shared" si="36"/>
        <v>341</v>
      </c>
      <c r="S230" s="64"/>
      <c r="T230" s="18">
        <f t="shared" si="37"/>
        <v>341</v>
      </c>
      <c r="U230" s="64"/>
      <c r="V230" s="18">
        <f t="shared" si="38"/>
        <v>341</v>
      </c>
      <c r="W230" s="64"/>
      <c r="X230" s="18">
        <f t="shared" si="39"/>
        <v>341</v>
      </c>
      <c r="Z230" s="43">
        <f>X230+Y230</f>
        <v>341</v>
      </c>
      <c r="AA230" s="43"/>
    </row>
    <row r="231" spans="1:27" ht="24.75" x14ac:dyDescent="0.25">
      <c r="A231" s="33" t="s">
        <v>194</v>
      </c>
      <c r="B231" s="26" t="s">
        <v>712</v>
      </c>
      <c r="C231" s="67"/>
      <c r="D231" s="18"/>
      <c r="E231" s="18"/>
      <c r="F231" s="18"/>
      <c r="G231" s="18"/>
      <c r="H231" s="18"/>
      <c r="I231" s="45"/>
      <c r="J231" s="18"/>
      <c r="K231" s="47">
        <f>K232</f>
        <v>1467.9</v>
      </c>
      <c r="L231" s="18">
        <f t="shared" si="33"/>
        <v>1467.9</v>
      </c>
      <c r="M231" s="47">
        <f>M232</f>
        <v>0</v>
      </c>
      <c r="N231" s="18">
        <f t="shared" si="34"/>
        <v>1467.9</v>
      </c>
      <c r="O231" s="47">
        <f>O232</f>
        <v>0</v>
      </c>
      <c r="P231" s="18">
        <f t="shared" si="35"/>
        <v>1467.9</v>
      </c>
      <c r="Q231" s="47">
        <f>Q232</f>
        <v>160.30000000000001</v>
      </c>
      <c r="R231" s="18">
        <f t="shared" si="36"/>
        <v>1628.2</v>
      </c>
      <c r="S231" s="47">
        <f>S232</f>
        <v>0</v>
      </c>
      <c r="T231" s="18">
        <f t="shared" si="37"/>
        <v>1628.2</v>
      </c>
      <c r="U231" s="47">
        <f>U232</f>
        <v>851.1</v>
      </c>
      <c r="V231" s="18">
        <f t="shared" si="38"/>
        <v>2479.3000000000002</v>
      </c>
      <c r="W231" s="47">
        <f>W232</f>
        <v>0</v>
      </c>
      <c r="X231" s="18">
        <f t="shared" si="39"/>
        <v>2479.3000000000002</v>
      </c>
    </row>
    <row r="232" spans="1:27" x14ac:dyDescent="0.25">
      <c r="A232" s="8" t="s">
        <v>511</v>
      </c>
      <c r="B232" s="27" t="s">
        <v>712</v>
      </c>
      <c r="C232" s="67" t="s">
        <v>66</v>
      </c>
      <c r="D232" s="18"/>
      <c r="E232" s="18"/>
      <c r="F232" s="18"/>
      <c r="G232" s="18"/>
      <c r="H232" s="18"/>
      <c r="I232" s="45"/>
      <c r="J232" s="18"/>
      <c r="K232" s="97">
        <f>1020+447.9</f>
        <v>1467.9</v>
      </c>
      <c r="L232" s="18">
        <f t="shared" si="33"/>
        <v>1467.9</v>
      </c>
      <c r="M232" s="64"/>
      <c r="N232" s="18">
        <f t="shared" si="34"/>
        <v>1467.9</v>
      </c>
      <c r="O232" s="64"/>
      <c r="P232" s="18">
        <f t="shared" si="35"/>
        <v>1467.9</v>
      </c>
      <c r="Q232" s="44">
        <v>160.30000000000001</v>
      </c>
      <c r="R232" s="18">
        <f t="shared" si="36"/>
        <v>1628.2</v>
      </c>
      <c r="S232" s="64"/>
      <c r="T232" s="18">
        <f t="shared" si="37"/>
        <v>1628.2</v>
      </c>
      <c r="U232" s="96">
        <v>851.1</v>
      </c>
      <c r="V232" s="18">
        <f t="shared" si="38"/>
        <v>2479.3000000000002</v>
      </c>
      <c r="W232" s="64"/>
      <c r="X232" s="18">
        <f t="shared" si="39"/>
        <v>2479.3000000000002</v>
      </c>
      <c r="Z232" s="43">
        <f>X232+Y232</f>
        <v>2479.3000000000002</v>
      </c>
      <c r="AA232" s="43"/>
    </row>
    <row r="233" spans="1:27" x14ac:dyDescent="0.25">
      <c r="A233" s="91" t="s">
        <v>203</v>
      </c>
      <c r="B233" s="26" t="s">
        <v>687</v>
      </c>
      <c r="C233" s="67"/>
      <c r="D233" s="18"/>
      <c r="E233" s="18"/>
      <c r="F233" s="18"/>
      <c r="G233" s="18"/>
      <c r="H233" s="18"/>
      <c r="I233" s="47">
        <f>I234</f>
        <v>3075</v>
      </c>
      <c r="J233" s="18">
        <f t="shared" si="32"/>
        <v>3075</v>
      </c>
      <c r="K233" s="47">
        <f>K234</f>
        <v>874.90000000000009</v>
      </c>
      <c r="L233" s="18">
        <f t="shared" si="33"/>
        <v>3949.9</v>
      </c>
      <c r="M233" s="47">
        <f>M234</f>
        <v>0</v>
      </c>
      <c r="N233" s="18">
        <f t="shared" si="34"/>
        <v>3949.9</v>
      </c>
      <c r="O233" s="47">
        <f>O234</f>
        <v>-1150</v>
      </c>
      <c r="P233" s="18">
        <f t="shared" si="35"/>
        <v>2799.9</v>
      </c>
      <c r="Q233" s="47">
        <f>Q234</f>
        <v>1</v>
      </c>
      <c r="R233" s="18">
        <f t="shared" si="36"/>
        <v>2800.9</v>
      </c>
      <c r="S233" s="47">
        <f>S234</f>
        <v>100</v>
      </c>
      <c r="T233" s="18">
        <f t="shared" si="37"/>
        <v>2900.9</v>
      </c>
      <c r="U233" s="47">
        <f>U234</f>
        <v>-0.9</v>
      </c>
      <c r="V233" s="18">
        <f t="shared" si="38"/>
        <v>2900</v>
      </c>
      <c r="W233" s="47">
        <f>W234</f>
        <v>0</v>
      </c>
      <c r="X233" s="18">
        <f t="shared" si="39"/>
        <v>2900</v>
      </c>
    </row>
    <row r="234" spans="1:27" x14ac:dyDescent="0.25">
      <c r="A234" s="8" t="s">
        <v>511</v>
      </c>
      <c r="B234" s="27" t="s">
        <v>687</v>
      </c>
      <c r="C234" s="67" t="s">
        <v>66</v>
      </c>
      <c r="D234" s="18"/>
      <c r="E234" s="18"/>
      <c r="F234" s="18"/>
      <c r="G234" s="18"/>
      <c r="H234" s="18"/>
      <c r="I234" s="62">
        <f>3200-125</f>
        <v>3075</v>
      </c>
      <c r="J234" s="18">
        <f t="shared" si="32"/>
        <v>3075</v>
      </c>
      <c r="K234" s="97">
        <f>2500+300-1925.1</f>
        <v>874.90000000000009</v>
      </c>
      <c r="L234" s="18">
        <f t="shared" si="33"/>
        <v>3949.9</v>
      </c>
      <c r="M234" s="64"/>
      <c r="N234" s="18">
        <f t="shared" si="34"/>
        <v>3949.9</v>
      </c>
      <c r="O234" s="96">
        <v>-1150</v>
      </c>
      <c r="P234" s="18">
        <f t="shared" si="35"/>
        <v>2799.9</v>
      </c>
      <c r="Q234" s="44">
        <v>1</v>
      </c>
      <c r="R234" s="18">
        <f t="shared" si="36"/>
        <v>2800.9</v>
      </c>
      <c r="S234" s="44">
        <v>100</v>
      </c>
      <c r="T234" s="18">
        <f t="shared" si="37"/>
        <v>2900.9</v>
      </c>
      <c r="U234" s="96">
        <v>-0.9</v>
      </c>
      <c r="V234" s="18">
        <f t="shared" si="38"/>
        <v>2900</v>
      </c>
      <c r="W234" s="64"/>
      <c r="X234" s="18">
        <f t="shared" si="39"/>
        <v>2900</v>
      </c>
      <c r="Z234" s="43">
        <f>X234+Y234</f>
        <v>2900</v>
      </c>
      <c r="AA234" s="43"/>
    </row>
    <row r="235" spans="1:27" x14ac:dyDescent="0.25">
      <c r="A235" s="91" t="s">
        <v>706</v>
      </c>
      <c r="B235" s="26" t="s">
        <v>708</v>
      </c>
      <c r="C235" s="67"/>
      <c r="D235" s="18"/>
      <c r="E235" s="18"/>
      <c r="F235" s="18"/>
      <c r="G235" s="18"/>
      <c r="H235" s="18"/>
      <c r="I235" s="62"/>
      <c r="J235" s="18"/>
      <c r="K235" s="47">
        <f>K236</f>
        <v>7351.5</v>
      </c>
      <c r="L235" s="18">
        <f t="shared" si="33"/>
        <v>7351.5</v>
      </c>
      <c r="M235" s="47">
        <f>M236</f>
        <v>-559</v>
      </c>
      <c r="N235" s="18">
        <f t="shared" si="34"/>
        <v>6792.5</v>
      </c>
      <c r="O235" s="47">
        <f>O236</f>
        <v>0</v>
      </c>
      <c r="P235" s="18">
        <f t="shared" si="35"/>
        <v>6792.5</v>
      </c>
      <c r="Q235" s="47">
        <f>Q236</f>
        <v>-630</v>
      </c>
      <c r="R235" s="18">
        <f t="shared" si="36"/>
        <v>6162.5</v>
      </c>
      <c r="S235" s="47">
        <f>S236</f>
        <v>0</v>
      </c>
      <c r="T235" s="18">
        <f t="shared" si="37"/>
        <v>6162.5</v>
      </c>
      <c r="U235" s="47">
        <f>U236</f>
        <v>-1142.9000000000001</v>
      </c>
      <c r="V235" s="18">
        <f t="shared" si="38"/>
        <v>5019.6000000000004</v>
      </c>
      <c r="W235" s="47">
        <f>W236</f>
        <v>0</v>
      </c>
      <c r="X235" s="18">
        <f t="shared" si="39"/>
        <v>5019.6000000000004</v>
      </c>
    </row>
    <row r="236" spans="1:27" x14ac:dyDescent="0.25">
      <c r="A236" s="8" t="s">
        <v>511</v>
      </c>
      <c r="B236" s="27" t="s">
        <v>708</v>
      </c>
      <c r="C236" s="67" t="s">
        <v>66</v>
      </c>
      <c r="D236" s="18"/>
      <c r="E236" s="18"/>
      <c r="F236" s="18"/>
      <c r="G236" s="18"/>
      <c r="H236" s="18"/>
      <c r="I236" s="62"/>
      <c r="J236" s="18"/>
      <c r="K236" s="97">
        <f>5691.9+1659.6</f>
        <v>7351.5</v>
      </c>
      <c r="L236" s="18">
        <f t="shared" si="33"/>
        <v>7351.5</v>
      </c>
      <c r="M236" s="112">
        <f>630-1189</f>
        <v>-559</v>
      </c>
      <c r="N236" s="18">
        <f t="shared" si="34"/>
        <v>6792.5</v>
      </c>
      <c r="O236" s="64"/>
      <c r="P236" s="18">
        <f t="shared" si="35"/>
        <v>6792.5</v>
      </c>
      <c r="Q236" s="44">
        <v>-630</v>
      </c>
      <c r="R236" s="18">
        <f t="shared" si="36"/>
        <v>6162.5</v>
      </c>
      <c r="S236" s="64"/>
      <c r="T236" s="18">
        <f t="shared" si="37"/>
        <v>6162.5</v>
      </c>
      <c r="U236" s="96">
        <v>-1142.9000000000001</v>
      </c>
      <c r="V236" s="18">
        <f t="shared" si="38"/>
        <v>5019.6000000000004</v>
      </c>
      <c r="W236" s="64"/>
      <c r="X236" s="18">
        <f t="shared" si="39"/>
        <v>5019.6000000000004</v>
      </c>
      <c r="Z236" s="43">
        <f>X236+Y236</f>
        <v>5019.6000000000004</v>
      </c>
      <c r="AA236" s="43"/>
    </row>
    <row r="237" spans="1:27" ht="24.75" x14ac:dyDescent="0.25">
      <c r="A237" s="13" t="s">
        <v>524</v>
      </c>
      <c r="B237" s="24" t="s">
        <v>520</v>
      </c>
      <c r="C237" s="24" t="s">
        <v>2</v>
      </c>
      <c r="D237" s="18">
        <f>D238</f>
        <v>600</v>
      </c>
      <c r="E237" s="18">
        <f>E238</f>
        <v>0</v>
      </c>
      <c r="F237" s="18">
        <f t="shared" si="30"/>
        <v>600</v>
      </c>
      <c r="G237" s="18">
        <f>G238</f>
        <v>0</v>
      </c>
      <c r="H237" s="18">
        <f t="shared" si="31"/>
        <v>600</v>
      </c>
      <c r="I237" s="18">
        <f>I238</f>
        <v>0</v>
      </c>
      <c r="J237" s="18">
        <f t="shared" si="32"/>
        <v>600</v>
      </c>
      <c r="K237" s="18">
        <f>K238</f>
        <v>0</v>
      </c>
      <c r="L237" s="18">
        <f t="shared" si="33"/>
        <v>600</v>
      </c>
      <c r="M237" s="18">
        <f>M238</f>
        <v>0</v>
      </c>
      <c r="N237" s="18">
        <f t="shared" si="34"/>
        <v>600</v>
      </c>
      <c r="O237" s="18">
        <f>O238</f>
        <v>0</v>
      </c>
      <c r="P237" s="18">
        <f t="shared" si="35"/>
        <v>600</v>
      </c>
      <c r="Q237" s="18">
        <f>Q238</f>
        <v>-300</v>
      </c>
      <c r="R237" s="18">
        <f t="shared" si="36"/>
        <v>300</v>
      </c>
      <c r="S237" s="18">
        <f>S238</f>
        <v>0</v>
      </c>
      <c r="T237" s="18">
        <f t="shared" si="37"/>
        <v>300</v>
      </c>
      <c r="U237" s="18">
        <f>U238</f>
        <v>0</v>
      </c>
      <c r="V237" s="18">
        <f t="shared" si="38"/>
        <v>300</v>
      </c>
      <c r="W237" s="18">
        <f>W238</f>
        <v>0</v>
      </c>
      <c r="X237" s="18">
        <f t="shared" si="39"/>
        <v>300</v>
      </c>
    </row>
    <row r="238" spans="1:27" x14ac:dyDescent="0.25">
      <c r="A238" s="9" t="s">
        <v>511</v>
      </c>
      <c r="B238" s="25" t="s">
        <v>520</v>
      </c>
      <c r="C238" s="25" t="s">
        <v>66</v>
      </c>
      <c r="D238" s="19">
        <v>600</v>
      </c>
      <c r="E238" s="19"/>
      <c r="F238" s="18">
        <f t="shared" si="30"/>
        <v>600</v>
      </c>
      <c r="G238" s="19"/>
      <c r="H238" s="18">
        <f t="shared" si="31"/>
        <v>600</v>
      </c>
      <c r="I238" s="19"/>
      <c r="J238" s="18">
        <f t="shared" si="32"/>
        <v>600</v>
      </c>
      <c r="K238" s="19"/>
      <c r="L238" s="18">
        <f t="shared" si="33"/>
        <v>600</v>
      </c>
      <c r="M238" s="19"/>
      <c r="N238" s="18">
        <f t="shared" si="34"/>
        <v>600</v>
      </c>
      <c r="O238" s="44"/>
      <c r="P238" s="18">
        <f t="shared" si="35"/>
        <v>600</v>
      </c>
      <c r="Q238" s="44">
        <v>-300</v>
      </c>
      <c r="R238" s="18">
        <f t="shared" si="36"/>
        <v>300</v>
      </c>
      <c r="S238" s="64"/>
      <c r="T238" s="18">
        <f t="shared" si="37"/>
        <v>300</v>
      </c>
      <c r="U238" s="64"/>
      <c r="V238" s="18">
        <f t="shared" si="38"/>
        <v>300</v>
      </c>
      <c r="W238" s="64"/>
      <c r="X238" s="18">
        <f t="shared" si="39"/>
        <v>300</v>
      </c>
      <c r="Z238" s="43">
        <f>X238+Y238</f>
        <v>300</v>
      </c>
      <c r="AA238" s="43"/>
    </row>
    <row r="239" spans="1:27" ht="36.75" x14ac:dyDescent="0.25">
      <c r="A239" s="13" t="s">
        <v>523</v>
      </c>
      <c r="B239" s="26" t="s">
        <v>543</v>
      </c>
      <c r="C239" s="26" t="s">
        <v>2</v>
      </c>
      <c r="D239" s="18">
        <f>D241</f>
        <v>483</v>
      </c>
      <c r="E239" s="18">
        <f>E241</f>
        <v>0</v>
      </c>
      <c r="F239" s="18">
        <f t="shared" si="30"/>
        <v>483</v>
      </c>
      <c r="G239" s="18">
        <f>G241</f>
        <v>0</v>
      </c>
      <c r="H239" s="18">
        <f t="shared" si="31"/>
        <v>483</v>
      </c>
      <c r="I239" s="18">
        <f>I241</f>
        <v>0</v>
      </c>
      <c r="J239" s="18">
        <f t="shared" si="32"/>
        <v>483</v>
      </c>
      <c r="K239" s="18">
        <f>K241+K240</f>
        <v>0</v>
      </c>
      <c r="L239" s="18">
        <f t="shared" si="33"/>
        <v>483</v>
      </c>
      <c r="M239" s="18">
        <f>M241+M240</f>
        <v>0</v>
      </c>
      <c r="N239" s="18">
        <f t="shared" si="34"/>
        <v>483</v>
      </c>
      <c r="O239" s="18">
        <f>O241+O240</f>
        <v>0</v>
      </c>
      <c r="P239" s="18">
        <f t="shared" si="35"/>
        <v>483</v>
      </c>
      <c r="Q239" s="18">
        <f>Q241+Q240</f>
        <v>0</v>
      </c>
      <c r="R239" s="18">
        <f t="shared" si="36"/>
        <v>483</v>
      </c>
      <c r="S239" s="18">
        <f>S241+S240</f>
        <v>0</v>
      </c>
      <c r="T239" s="18">
        <f t="shared" si="37"/>
        <v>483</v>
      </c>
      <c r="U239" s="18">
        <f>U241+U240</f>
        <v>0</v>
      </c>
      <c r="V239" s="18">
        <f t="shared" si="38"/>
        <v>483</v>
      </c>
      <c r="W239" s="18">
        <f>W241+W240</f>
        <v>-50</v>
      </c>
      <c r="X239" s="18">
        <f t="shared" si="39"/>
        <v>433</v>
      </c>
    </row>
    <row r="240" spans="1:27" x14ac:dyDescent="0.25">
      <c r="A240" s="7" t="s">
        <v>54</v>
      </c>
      <c r="B240" s="27" t="s">
        <v>543</v>
      </c>
      <c r="C240" s="27" t="s">
        <v>34</v>
      </c>
      <c r="D240" s="18"/>
      <c r="E240" s="18"/>
      <c r="F240" s="18"/>
      <c r="G240" s="18"/>
      <c r="H240" s="18"/>
      <c r="I240" s="18"/>
      <c r="J240" s="18"/>
      <c r="K240" s="44">
        <v>300</v>
      </c>
      <c r="L240" s="18">
        <f t="shared" si="33"/>
        <v>300</v>
      </c>
      <c r="M240" s="64"/>
      <c r="N240" s="18">
        <f t="shared" si="34"/>
        <v>300</v>
      </c>
      <c r="O240" s="64"/>
      <c r="P240" s="18">
        <f t="shared" si="35"/>
        <v>300</v>
      </c>
      <c r="Q240" s="64"/>
      <c r="R240" s="18">
        <f t="shared" si="36"/>
        <v>300</v>
      </c>
      <c r="S240" s="64"/>
      <c r="T240" s="18">
        <f t="shared" si="37"/>
        <v>300</v>
      </c>
      <c r="U240" s="64"/>
      <c r="V240" s="18">
        <f t="shared" si="38"/>
        <v>300</v>
      </c>
      <c r="W240" s="64"/>
      <c r="X240" s="18">
        <f t="shared" si="39"/>
        <v>300</v>
      </c>
      <c r="Z240" s="43">
        <f t="shared" ref="Z240:Z241" si="66">X240+Y240</f>
        <v>300</v>
      </c>
      <c r="AA240" s="43"/>
    </row>
    <row r="241" spans="1:27" x14ac:dyDescent="0.25">
      <c r="A241" s="8" t="s">
        <v>511</v>
      </c>
      <c r="B241" s="27" t="s">
        <v>543</v>
      </c>
      <c r="C241" s="27" t="s">
        <v>66</v>
      </c>
      <c r="D241" s="19">
        <v>483</v>
      </c>
      <c r="E241" s="19"/>
      <c r="F241" s="18">
        <f t="shared" si="30"/>
        <v>483</v>
      </c>
      <c r="G241" s="19"/>
      <c r="H241" s="18">
        <f t="shared" si="31"/>
        <v>483</v>
      </c>
      <c r="I241" s="19"/>
      <c r="J241" s="18">
        <f t="shared" si="32"/>
        <v>483</v>
      </c>
      <c r="K241" s="44">
        <v>-300</v>
      </c>
      <c r="L241" s="18">
        <f t="shared" si="33"/>
        <v>183</v>
      </c>
      <c r="M241" s="64"/>
      <c r="N241" s="18">
        <f t="shared" si="34"/>
        <v>183</v>
      </c>
      <c r="O241" s="64"/>
      <c r="P241" s="18">
        <f t="shared" si="35"/>
        <v>183</v>
      </c>
      <c r="Q241" s="64"/>
      <c r="R241" s="18">
        <f t="shared" si="36"/>
        <v>183</v>
      </c>
      <c r="S241" s="64"/>
      <c r="T241" s="18">
        <f t="shared" si="37"/>
        <v>183</v>
      </c>
      <c r="U241" s="64"/>
      <c r="V241" s="18">
        <f t="shared" si="38"/>
        <v>183</v>
      </c>
      <c r="W241" s="44">
        <v>-50</v>
      </c>
      <c r="X241" s="18">
        <f t="shared" si="39"/>
        <v>133</v>
      </c>
      <c r="Z241" s="43">
        <f t="shared" si="66"/>
        <v>133</v>
      </c>
      <c r="AA241" s="43"/>
    </row>
    <row r="242" spans="1:27" x14ac:dyDescent="0.25">
      <c r="A242" s="13" t="s">
        <v>41</v>
      </c>
      <c r="B242" s="24" t="s">
        <v>367</v>
      </c>
      <c r="C242" s="24" t="s">
        <v>2</v>
      </c>
      <c r="D242" s="18">
        <f>D243</f>
        <v>229</v>
      </c>
      <c r="E242" s="18">
        <f>E243</f>
        <v>0</v>
      </c>
      <c r="F242" s="18">
        <f t="shared" si="30"/>
        <v>229</v>
      </c>
      <c r="G242" s="18">
        <f>G243</f>
        <v>0</v>
      </c>
      <c r="H242" s="18">
        <f t="shared" si="31"/>
        <v>229</v>
      </c>
      <c r="I242" s="18">
        <f>I243</f>
        <v>0</v>
      </c>
      <c r="J242" s="18">
        <f t="shared" si="32"/>
        <v>229</v>
      </c>
      <c r="K242" s="18">
        <f>K243</f>
        <v>0</v>
      </c>
      <c r="L242" s="18">
        <f t="shared" si="33"/>
        <v>229</v>
      </c>
      <c r="M242" s="18">
        <f>M243</f>
        <v>0</v>
      </c>
      <c r="N242" s="18">
        <f t="shared" si="34"/>
        <v>229</v>
      </c>
      <c r="O242" s="18">
        <f>O243</f>
        <v>0</v>
      </c>
      <c r="P242" s="18">
        <f t="shared" si="35"/>
        <v>229</v>
      </c>
      <c r="Q242" s="18">
        <f>Q243</f>
        <v>0</v>
      </c>
      <c r="R242" s="18">
        <f t="shared" si="36"/>
        <v>229</v>
      </c>
      <c r="S242" s="18">
        <f>S243</f>
        <v>0</v>
      </c>
      <c r="T242" s="18">
        <f t="shared" si="37"/>
        <v>229</v>
      </c>
      <c r="U242" s="18">
        <f>U243</f>
        <v>0</v>
      </c>
      <c r="V242" s="18">
        <f t="shared" si="38"/>
        <v>229</v>
      </c>
      <c r="W242" s="18">
        <f>W243</f>
        <v>0</v>
      </c>
      <c r="X242" s="18">
        <f t="shared" si="39"/>
        <v>229</v>
      </c>
    </row>
    <row r="243" spans="1:27" x14ac:dyDescent="0.25">
      <c r="A243" s="9" t="s">
        <v>511</v>
      </c>
      <c r="B243" s="25" t="s">
        <v>367</v>
      </c>
      <c r="C243" s="25" t="s">
        <v>66</v>
      </c>
      <c r="D243" s="19">
        <v>229</v>
      </c>
      <c r="E243" s="19"/>
      <c r="F243" s="18">
        <f t="shared" si="30"/>
        <v>229</v>
      </c>
      <c r="G243" s="19"/>
      <c r="H243" s="18">
        <f t="shared" si="31"/>
        <v>229</v>
      </c>
      <c r="I243" s="19"/>
      <c r="J243" s="18">
        <f t="shared" si="32"/>
        <v>229</v>
      </c>
      <c r="K243" s="19"/>
      <c r="L243" s="18">
        <f t="shared" si="33"/>
        <v>229</v>
      </c>
      <c r="M243" s="19"/>
      <c r="N243" s="18">
        <f t="shared" si="34"/>
        <v>229</v>
      </c>
      <c r="O243" s="19"/>
      <c r="P243" s="18">
        <f t="shared" si="35"/>
        <v>229</v>
      </c>
      <c r="Q243" s="19"/>
      <c r="R243" s="18">
        <f t="shared" si="36"/>
        <v>229</v>
      </c>
      <c r="S243" s="64"/>
      <c r="T243" s="18">
        <f t="shared" si="37"/>
        <v>229</v>
      </c>
      <c r="U243" s="64"/>
      <c r="V243" s="18">
        <f t="shared" si="38"/>
        <v>229</v>
      </c>
      <c r="W243" s="64"/>
      <c r="X243" s="18">
        <f t="shared" si="39"/>
        <v>229</v>
      </c>
      <c r="Z243" s="43">
        <f>X243+Y243</f>
        <v>229</v>
      </c>
      <c r="AA243" s="43"/>
    </row>
    <row r="244" spans="1:27" ht="24" customHeight="1" x14ac:dyDescent="0.25">
      <c r="A244" s="13" t="s">
        <v>30</v>
      </c>
      <c r="B244" s="24" t="s">
        <v>366</v>
      </c>
      <c r="C244" s="24" t="s">
        <v>2</v>
      </c>
      <c r="D244" s="18">
        <f>D245+D246</f>
        <v>104018.9</v>
      </c>
      <c r="E244" s="18">
        <f>E245+E246</f>
        <v>0</v>
      </c>
      <c r="F244" s="18">
        <f t="shared" ref="F244:F346" si="67">D244+E244</f>
        <v>104018.9</v>
      </c>
      <c r="G244" s="18">
        <f>G245+G246</f>
        <v>0</v>
      </c>
      <c r="H244" s="18">
        <f t="shared" ref="H244:H346" si="68">F244+G244</f>
        <v>104018.9</v>
      </c>
      <c r="I244" s="18">
        <f>I245+I246</f>
        <v>-3215.2</v>
      </c>
      <c r="J244" s="18">
        <f t="shared" ref="J244:J346" si="69">H244+I244</f>
        <v>100803.7</v>
      </c>
      <c r="K244" s="18">
        <f>K245+K246</f>
        <v>-3709.4000000000005</v>
      </c>
      <c r="L244" s="18">
        <f t="shared" ref="L244:L346" si="70">J244+K244</f>
        <v>97094.3</v>
      </c>
      <c r="M244" s="18">
        <f>M245+M246</f>
        <v>3081.6</v>
      </c>
      <c r="N244" s="18">
        <f t="shared" ref="N244:N346" si="71">L244+M244</f>
        <v>100175.90000000001</v>
      </c>
      <c r="O244" s="18">
        <f>O245+O246</f>
        <v>-219</v>
      </c>
      <c r="P244" s="18">
        <f t="shared" ref="P244:P346" si="72">N244+O244</f>
        <v>99956.900000000009</v>
      </c>
      <c r="Q244" s="18">
        <f>Q245+Q246</f>
        <v>2104</v>
      </c>
      <c r="R244" s="18">
        <f t="shared" ref="R244:R346" si="73">P244+Q244</f>
        <v>102060.90000000001</v>
      </c>
      <c r="S244" s="18">
        <f>S245+S246</f>
        <v>4729.6000000000004</v>
      </c>
      <c r="T244" s="18">
        <f t="shared" ref="T244:T346" si="74">R244+S244</f>
        <v>106790.50000000001</v>
      </c>
      <c r="U244" s="18">
        <f>U245+U246</f>
        <v>-98.1</v>
      </c>
      <c r="V244" s="18">
        <f t="shared" ref="V244:V346" si="75">T244+U244</f>
        <v>106692.40000000001</v>
      </c>
      <c r="W244" s="18">
        <f>W245+W246</f>
        <v>-3354.1</v>
      </c>
      <c r="X244" s="18">
        <f t="shared" ref="X244:X346" si="76">V244+W244</f>
        <v>103338.3</v>
      </c>
    </row>
    <row r="245" spans="1:27" ht="36.75" x14ac:dyDescent="0.25">
      <c r="A245" s="9" t="s">
        <v>510</v>
      </c>
      <c r="B245" s="25" t="s">
        <v>366</v>
      </c>
      <c r="C245" s="25" t="s">
        <v>68</v>
      </c>
      <c r="D245" s="19">
        <f>101808.9-30-3080.8</f>
        <v>98698.099999999991</v>
      </c>
      <c r="E245" s="19"/>
      <c r="F245" s="18">
        <f t="shared" si="67"/>
        <v>98698.099999999991</v>
      </c>
      <c r="G245" s="19"/>
      <c r="H245" s="18">
        <f t="shared" si="68"/>
        <v>98698.099999999991</v>
      </c>
      <c r="I245" s="62">
        <v>-1215.2</v>
      </c>
      <c r="J245" s="18">
        <f t="shared" si="69"/>
        <v>97482.9</v>
      </c>
      <c r="K245" s="44">
        <f>-1.1-5185.5</f>
        <v>-5186.6000000000004</v>
      </c>
      <c r="L245" s="18">
        <f t="shared" si="70"/>
        <v>92296.299999999988</v>
      </c>
      <c r="M245" s="62">
        <v>3081.6</v>
      </c>
      <c r="N245" s="18">
        <f t="shared" si="71"/>
        <v>95377.9</v>
      </c>
      <c r="O245" s="96">
        <v>-219</v>
      </c>
      <c r="P245" s="18">
        <f t="shared" si="72"/>
        <v>95158.9</v>
      </c>
      <c r="Q245" s="44">
        <v>2104</v>
      </c>
      <c r="R245" s="18">
        <f t="shared" si="73"/>
        <v>97262.9</v>
      </c>
      <c r="S245" s="44">
        <v>4723.1000000000004</v>
      </c>
      <c r="T245" s="18">
        <f t="shared" si="74"/>
        <v>101986</v>
      </c>
      <c r="U245" s="64"/>
      <c r="V245" s="18">
        <f t="shared" si="75"/>
        <v>101986</v>
      </c>
      <c r="W245" s="44">
        <v>-3354.1</v>
      </c>
      <c r="X245" s="18">
        <f t="shared" si="76"/>
        <v>98631.9</v>
      </c>
      <c r="Y245" s="43">
        <v>-3354.1</v>
      </c>
      <c r="Z245" s="43">
        <f t="shared" ref="Z245:Z246" si="77">X245+Y245</f>
        <v>95277.799999999988</v>
      </c>
      <c r="AA245" s="43"/>
    </row>
    <row r="246" spans="1:27" x14ac:dyDescent="0.25">
      <c r="A246" s="9" t="s">
        <v>511</v>
      </c>
      <c r="B246" s="25" t="s">
        <v>366</v>
      </c>
      <c r="C246" s="25" t="s">
        <v>66</v>
      </c>
      <c r="D246" s="19">
        <f>2240+3080.8</f>
        <v>5320.8</v>
      </c>
      <c r="E246" s="63"/>
      <c r="F246" s="18">
        <f t="shared" si="67"/>
        <v>5320.8</v>
      </c>
      <c r="G246" s="63"/>
      <c r="H246" s="18">
        <f t="shared" si="68"/>
        <v>5320.8</v>
      </c>
      <c r="I246" s="92">
        <v>-2000</v>
      </c>
      <c r="J246" s="18">
        <f t="shared" si="69"/>
        <v>3320.8</v>
      </c>
      <c r="K246" s="107">
        <v>1477.2</v>
      </c>
      <c r="L246" s="18">
        <f t="shared" si="70"/>
        <v>4798</v>
      </c>
      <c r="M246" s="77"/>
      <c r="N246" s="18">
        <f t="shared" si="71"/>
        <v>4798</v>
      </c>
      <c r="O246" s="77"/>
      <c r="P246" s="18">
        <f t="shared" si="72"/>
        <v>4798</v>
      </c>
      <c r="Q246" s="77"/>
      <c r="R246" s="18">
        <f t="shared" si="73"/>
        <v>4798</v>
      </c>
      <c r="S246" s="90">
        <v>6.5</v>
      </c>
      <c r="T246" s="18">
        <f t="shared" si="74"/>
        <v>4804.5</v>
      </c>
      <c r="U246" s="138">
        <v>-98.1</v>
      </c>
      <c r="V246" s="18">
        <f t="shared" si="75"/>
        <v>4706.3999999999996</v>
      </c>
      <c r="W246" s="77"/>
      <c r="X246" s="18">
        <f t="shared" si="76"/>
        <v>4706.3999999999996</v>
      </c>
      <c r="Z246" s="43">
        <f t="shared" si="77"/>
        <v>4706.3999999999996</v>
      </c>
      <c r="AA246" s="43"/>
    </row>
    <row r="247" spans="1:27" ht="27" customHeight="1" x14ac:dyDescent="0.25">
      <c r="A247" s="13" t="s">
        <v>368</v>
      </c>
      <c r="B247" s="24" t="s">
        <v>369</v>
      </c>
      <c r="C247" s="24" t="s">
        <v>2</v>
      </c>
      <c r="D247" s="18">
        <f>D248</f>
        <v>11129</v>
      </c>
      <c r="E247" s="18">
        <f>E248</f>
        <v>0</v>
      </c>
      <c r="F247" s="18">
        <f t="shared" si="67"/>
        <v>11129</v>
      </c>
      <c r="G247" s="18">
        <f>G248</f>
        <v>0</v>
      </c>
      <c r="H247" s="18">
        <f t="shared" si="68"/>
        <v>11129</v>
      </c>
      <c r="I247" s="18">
        <f>I248</f>
        <v>0</v>
      </c>
      <c r="J247" s="18">
        <f t="shared" si="69"/>
        <v>11129</v>
      </c>
      <c r="K247" s="18">
        <f>K248</f>
        <v>1841.1</v>
      </c>
      <c r="L247" s="18">
        <f t="shared" si="70"/>
        <v>12970.1</v>
      </c>
      <c r="M247" s="18">
        <f>M248</f>
        <v>-1841.1</v>
      </c>
      <c r="N247" s="18">
        <f t="shared" si="71"/>
        <v>11129</v>
      </c>
      <c r="O247" s="18">
        <f>O248</f>
        <v>0</v>
      </c>
      <c r="P247" s="18">
        <f t="shared" si="72"/>
        <v>11129</v>
      </c>
      <c r="Q247" s="18">
        <f>Q248</f>
        <v>0</v>
      </c>
      <c r="R247" s="18">
        <f t="shared" si="73"/>
        <v>11129</v>
      </c>
      <c r="S247" s="18">
        <f>S248</f>
        <v>0</v>
      </c>
      <c r="T247" s="18">
        <f t="shared" si="74"/>
        <v>11129</v>
      </c>
      <c r="U247" s="18">
        <f>U248</f>
        <v>1045.0999999999999</v>
      </c>
      <c r="V247" s="18">
        <f t="shared" si="75"/>
        <v>12174.1</v>
      </c>
      <c r="W247" s="18">
        <f>W248</f>
        <v>1039.0999999999999</v>
      </c>
      <c r="X247" s="18">
        <f t="shared" si="76"/>
        <v>13213.2</v>
      </c>
    </row>
    <row r="248" spans="1:27" ht="36.75" x14ac:dyDescent="0.25">
      <c r="A248" s="9" t="s">
        <v>510</v>
      </c>
      <c r="B248" s="25" t="s">
        <v>369</v>
      </c>
      <c r="C248" s="25" t="s">
        <v>68</v>
      </c>
      <c r="D248" s="19">
        <v>11129</v>
      </c>
      <c r="E248" s="19"/>
      <c r="F248" s="18">
        <f t="shared" si="67"/>
        <v>11129</v>
      </c>
      <c r="G248" s="19"/>
      <c r="H248" s="18">
        <f t="shared" si="68"/>
        <v>11129</v>
      </c>
      <c r="I248" s="19"/>
      <c r="J248" s="18">
        <f t="shared" si="69"/>
        <v>11129</v>
      </c>
      <c r="K248" s="44">
        <v>1841.1</v>
      </c>
      <c r="L248" s="18">
        <f t="shared" si="70"/>
        <v>12970.1</v>
      </c>
      <c r="M248" s="62">
        <v>-1841.1</v>
      </c>
      <c r="N248" s="18">
        <f t="shared" si="71"/>
        <v>11129</v>
      </c>
      <c r="O248" s="64"/>
      <c r="P248" s="18">
        <f t="shared" si="72"/>
        <v>11129</v>
      </c>
      <c r="Q248" s="64"/>
      <c r="R248" s="18">
        <f t="shared" si="73"/>
        <v>11129</v>
      </c>
      <c r="S248" s="64"/>
      <c r="T248" s="18">
        <f t="shared" si="74"/>
        <v>11129</v>
      </c>
      <c r="U248" s="44">
        <v>1045.0999999999999</v>
      </c>
      <c r="V248" s="18">
        <f t="shared" si="75"/>
        <v>12174.1</v>
      </c>
      <c r="W248" s="44">
        <v>1039.0999999999999</v>
      </c>
      <c r="X248" s="18">
        <f t="shared" si="76"/>
        <v>13213.2</v>
      </c>
      <c r="Y248" s="43">
        <v>1039.0999999999999</v>
      </c>
      <c r="Z248" s="43">
        <f>X248+Y248</f>
        <v>14252.300000000001</v>
      </c>
      <c r="AA248" s="43"/>
    </row>
    <row r="249" spans="1:27" ht="36.75" x14ac:dyDescent="0.25">
      <c r="A249" s="13" t="s">
        <v>370</v>
      </c>
      <c r="B249" s="24" t="s">
        <v>371</v>
      </c>
      <c r="C249" s="24" t="s">
        <v>2</v>
      </c>
      <c r="D249" s="18">
        <f>D250</f>
        <v>390</v>
      </c>
      <c r="E249" s="18">
        <f>E250</f>
        <v>0</v>
      </c>
      <c r="F249" s="18">
        <f t="shared" si="67"/>
        <v>390</v>
      </c>
      <c r="G249" s="18">
        <f>G250</f>
        <v>0</v>
      </c>
      <c r="H249" s="18">
        <f t="shared" si="68"/>
        <v>390</v>
      </c>
      <c r="I249" s="18">
        <f>I250</f>
        <v>0</v>
      </c>
      <c r="J249" s="18">
        <f t="shared" si="69"/>
        <v>390</v>
      </c>
      <c r="K249" s="18">
        <f>K250</f>
        <v>-170</v>
      </c>
      <c r="L249" s="18">
        <f t="shared" si="70"/>
        <v>220</v>
      </c>
      <c r="M249" s="18">
        <f>M250</f>
        <v>170</v>
      </c>
      <c r="N249" s="18">
        <f t="shared" si="71"/>
        <v>390</v>
      </c>
      <c r="O249" s="18">
        <f>O250</f>
        <v>0</v>
      </c>
      <c r="P249" s="18">
        <f t="shared" si="72"/>
        <v>390</v>
      </c>
      <c r="Q249" s="18">
        <f>Q250</f>
        <v>0</v>
      </c>
      <c r="R249" s="18">
        <f t="shared" si="73"/>
        <v>390</v>
      </c>
      <c r="S249" s="18">
        <f>S250</f>
        <v>0</v>
      </c>
      <c r="T249" s="18">
        <f t="shared" si="74"/>
        <v>390</v>
      </c>
      <c r="U249" s="18">
        <f>U250</f>
        <v>0</v>
      </c>
      <c r="V249" s="18">
        <f t="shared" si="75"/>
        <v>390</v>
      </c>
      <c r="W249" s="18">
        <f>W250</f>
        <v>0</v>
      </c>
      <c r="X249" s="18">
        <f t="shared" si="76"/>
        <v>390</v>
      </c>
    </row>
    <row r="250" spans="1:27" ht="36.75" x14ac:dyDescent="0.25">
      <c r="A250" s="9" t="s">
        <v>510</v>
      </c>
      <c r="B250" s="25" t="s">
        <v>371</v>
      </c>
      <c r="C250" s="25" t="s">
        <v>68</v>
      </c>
      <c r="D250" s="19">
        <v>390</v>
      </c>
      <c r="E250" s="19"/>
      <c r="F250" s="18">
        <f t="shared" si="67"/>
        <v>390</v>
      </c>
      <c r="G250" s="19"/>
      <c r="H250" s="18">
        <f t="shared" si="68"/>
        <v>390</v>
      </c>
      <c r="I250" s="19"/>
      <c r="J250" s="18">
        <f t="shared" si="69"/>
        <v>390</v>
      </c>
      <c r="K250" s="44">
        <v>-170</v>
      </c>
      <c r="L250" s="18">
        <f t="shared" si="70"/>
        <v>220</v>
      </c>
      <c r="M250" s="62">
        <v>170</v>
      </c>
      <c r="N250" s="18">
        <f t="shared" si="71"/>
        <v>390</v>
      </c>
      <c r="O250" s="64"/>
      <c r="P250" s="18">
        <f t="shared" si="72"/>
        <v>390</v>
      </c>
      <c r="Q250" s="64"/>
      <c r="R250" s="18">
        <f t="shared" si="73"/>
        <v>390</v>
      </c>
      <c r="S250" s="64"/>
      <c r="T250" s="18">
        <f t="shared" si="74"/>
        <v>390</v>
      </c>
      <c r="U250" s="64"/>
      <c r="V250" s="18">
        <f t="shared" si="75"/>
        <v>390</v>
      </c>
      <c r="W250" s="64"/>
      <c r="X250" s="18">
        <f t="shared" si="76"/>
        <v>390</v>
      </c>
      <c r="Z250" s="43">
        <f>X250+Y250</f>
        <v>390</v>
      </c>
      <c r="AA250" s="43"/>
    </row>
    <row r="251" spans="1:27" ht="36" x14ac:dyDescent="0.25">
      <c r="A251" s="56" t="s">
        <v>574</v>
      </c>
      <c r="B251" s="29" t="s">
        <v>575</v>
      </c>
      <c r="C251" s="31" t="s">
        <v>2</v>
      </c>
      <c r="D251" s="19"/>
      <c r="E251" s="20">
        <f>E252</f>
        <v>1500</v>
      </c>
      <c r="F251" s="18">
        <f t="shared" si="67"/>
        <v>1500</v>
      </c>
      <c r="G251" s="20">
        <f>G252</f>
        <v>0</v>
      </c>
      <c r="H251" s="18">
        <f t="shared" si="68"/>
        <v>1500</v>
      </c>
      <c r="I251" s="20">
        <f>I252+I253</f>
        <v>15.2</v>
      </c>
      <c r="J251" s="18">
        <f t="shared" si="69"/>
        <v>1515.2</v>
      </c>
      <c r="K251" s="20">
        <f>K252+K253</f>
        <v>0</v>
      </c>
      <c r="L251" s="18">
        <f t="shared" si="70"/>
        <v>1515.2</v>
      </c>
      <c r="M251" s="20">
        <f>M252+M253</f>
        <v>0</v>
      </c>
      <c r="N251" s="18">
        <f t="shared" si="71"/>
        <v>1515.2</v>
      </c>
      <c r="O251" s="20">
        <f>O252+O253</f>
        <v>0</v>
      </c>
      <c r="P251" s="18">
        <f t="shared" si="72"/>
        <v>1515.2</v>
      </c>
      <c r="Q251" s="20">
        <f>Q252+Q253</f>
        <v>0</v>
      </c>
      <c r="R251" s="18">
        <f t="shared" si="73"/>
        <v>1515.2</v>
      </c>
      <c r="S251" s="20">
        <f>S252+S253</f>
        <v>0</v>
      </c>
      <c r="T251" s="18">
        <f t="shared" si="74"/>
        <v>1515.2</v>
      </c>
      <c r="U251" s="20">
        <f>U252+U253</f>
        <v>0</v>
      </c>
      <c r="V251" s="18">
        <f t="shared" si="75"/>
        <v>1515.2</v>
      </c>
      <c r="W251" s="20">
        <f>W252+W253</f>
        <v>0</v>
      </c>
      <c r="X251" s="18">
        <f t="shared" si="76"/>
        <v>1515.2</v>
      </c>
    </row>
    <row r="252" spans="1:27" x14ac:dyDescent="0.25">
      <c r="A252" s="57" t="s">
        <v>511</v>
      </c>
      <c r="B252" s="31" t="s">
        <v>575</v>
      </c>
      <c r="C252" s="31" t="s">
        <v>66</v>
      </c>
      <c r="D252" s="19"/>
      <c r="E252" s="45">
        <v>1500</v>
      </c>
      <c r="F252" s="18">
        <f t="shared" si="67"/>
        <v>1500</v>
      </c>
      <c r="G252" s="45">
        <f>1500-1500</f>
        <v>0</v>
      </c>
      <c r="H252" s="18">
        <f t="shared" si="68"/>
        <v>1500</v>
      </c>
      <c r="I252" s="64"/>
      <c r="J252" s="18">
        <f t="shared" si="69"/>
        <v>1500</v>
      </c>
      <c r="K252" s="64"/>
      <c r="L252" s="18">
        <f t="shared" si="70"/>
        <v>1500</v>
      </c>
      <c r="M252" s="64"/>
      <c r="N252" s="18">
        <f t="shared" si="71"/>
        <v>1500</v>
      </c>
      <c r="O252" s="64"/>
      <c r="P252" s="18">
        <f t="shared" si="72"/>
        <v>1500</v>
      </c>
      <c r="Q252" s="64"/>
      <c r="R252" s="18">
        <f t="shared" si="73"/>
        <v>1500</v>
      </c>
      <c r="S252" s="64"/>
      <c r="T252" s="18">
        <f t="shared" si="74"/>
        <v>1500</v>
      </c>
      <c r="U252" s="64"/>
      <c r="V252" s="18">
        <f t="shared" si="75"/>
        <v>1500</v>
      </c>
      <c r="W252" s="64"/>
      <c r="X252" s="18">
        <f t="shared" si="76"/>
        <v>1500</v>
      </c>
      <c r="Z252" s="43">
        <f t="shared" ref="Z252:Z253" si="78">X252+Y252</f>
        <v>1500</v>
      </c>
      <c r="AA252" s="43"/>
    </row>
    <row r="253" spans="1:27" x14ac:dyDescent="0.25">
      <c r="A253" s="57" t="s">
        <v>511</v>
      </c>
      <c r="B253" s="31" t="s">
        <v>575</v>
      </c>
      <c r="C253" s="31" t="s">
        <v>66</v>
      </c>
      <c r="D253" s="19"/>
      <c r="E253" s="45"/>
      <c r="F253" s="18"/>
      <c r="G253" s="45"/>
      <c r="H253" s="18"/>
      <c r="I253" s="44">
        <v>15.2</v>
      </c>
      <c r="J253" s="82">
        <f t="shared" si="69"/>
        <v>15.2</v>
      </c>
      <c r="K253" s="44"/>
      <c r="L253" s="82">
        <f t="shared" si="70"/>
        <v>15.2</v>
      </c>
      <c r="M253" s="44"/>
      <c r="N253" s="82">
        <f t="shared" si="71"/>
        <v>15.2</v>
      </c>
      <c r="O253" s="44"/>
      <c r="P253" s="82">
        <f t="shared" si="72"/>
        <v>15.2</v>
      </c>
      <c r="Q253" s="44"/>
      <c r="R253" s="82">
        <f t="shared" si="73"/>
        <v>15.2</v>
      </c>
      <c r="S253" s="64"/>
      <c r="T253" s="82">
        <f t="shared" si="74"/>
        <v>15.2</v>
      </c>
      <c r="U253" s="64"/>
      <c r="V253" s="82">
        <f t="shared" si="75"/>
        <v>15.2</v>
      </c>
      <c r="W253" s="64"/>
      <c r="X253" s="82">
        <f t="shared" si="76"/>
        <v>15.2</v>
      </c>
      <c r="Z253" s="43">
        <f t="shared" si="78"/>
        <v>15.2</v>
      </c>
      <c r="AA253" s="43"/>
    </row>
    <row r="254" spans="1:27" x14ac:dyDescent="0.25">
      <c r="A254" s="13" t="s">
        <v>372</v>
      </c>
      <c r="B254" s="24" t="s">
        <v>373</v>
      </c>
      <c r="C254" s="24" t="s">
        <v>2</v>
      </c>
      <c r="D254" s="18">
        <f>D259+D261</f>
        <v>8119.9000000000005</v>
      </c>
      <c r="E254" s="18">
        <f>E259+E261+E255</f>
        <v>13</v>
      </c>
      <c r="F254" s="18">
        <f t="shared" si="67"/>
        <v>8132.9000000000005</v>
      </c>
      <c r="G254" s="18">
        <f>G259+G261+G255</f>
        <v>0</v>
      </c>
      <c r="H254" s="18">
        <f t="shared" si="68"/>
        <v>8132.9000000000005</v>
      </c>
      <c r="I254" s="18">
        <f>I259+I261+I255</f>
        <v>0</v>
      </c>
      <c r="J254" s="18">
        <f t="shared" si="69"/>
        <v>8132.9000000000005</v>
      </c>
      <c r="K254" s="18">
        <f>K259+K261+K255+K257</f>
        <v>145.9</v>
      </c>
      <c r="L254" s="18">
        <f t="shared" si="70"/>
        <v>8278.8000000000011</v>
      </c>
      <c r="M254" s="18">
        <f>M259+M261+M255+M257</f>
        <v>0</v>
      </c>
      <c r="N254" s="18">
        <f t="shared" si="71"/>
        <v>8278.8000000000011</v>
      </c>
      <c r="O254" s="18">
        <f>O259+O261+O255+O257</f>
        <v>0</v>
      </c>
      <c r="P254" s="18">
        <f t="shared" si="72"/>
        <v>8278.8000000000011</v>
      </c>
      <c r="Q254" s="18">
        <f>Q259+Q261+Q255+Q257</f>
        <v>0</v>
      </c>
      <c r="R254" s="18">
        <f t="shared" si="73"/>
        <v>8278.8000000000011</v>
      </c>
      <c r="S254" s="18">
        <f>S259+S261+S255+S257</f>
        <v>6.5</v>
      </c>
      <c r="T254" s="18">
        <f t="shared" si="74"/>
        <v>8285.3000000000011</v>
      </c>
      <c r="U254" s="18">
        <f>U259+U261+U255+U257</f>
        <v>-498.29999999999995</v>
      </c>
      <c r="V254" s="18">
        <f t="shared" si="75"/>
        <v>7787.0000000000009</v>
      </c>
      <c r="W254" s="18">
        <f>W259+W261+W255+W257</f>
        <v>0</v>
      </c>
      <c r="X254" s="18">
        <f t="shared" si="76"/>
        <v>7787.0000000000009</v>
      </c>
    </row>
    <row r="255" spans="1:27" hidden="1" x14ac:dyDescent="0.25">
      <c r="A255" s="33" t="s">
        <v>561</v>
      </c>
      <c r="B255" s="26" t="s">
        <v>562</v>
      </c>
      <c r="C255" s="26" t="s">
        <v>2</v>
      </c>
      <c r="D255" s="18"/>
      <c r="E255" s="20">
        <f>E256</f>
        <v>13</v>
      </c>
      <c r="F255" s="18">
        <f t="shared" si="67"/>
        <v>13</v>
      </c>
      <c r="G255" s="20">
        <f>G256</f>
        <v>0</v>
      </c>
      <c r="H255" s="18">
        <f t="shared" si="68"/>
        <v>13</v>
      </c>
      <c r="I255" s="20">
        <f>I256</f>
        <v>0</v>
      </c>
      <c r="J255" s="18">
        <f t="shared" si="69"/>
        <v>13</v>
      </c>
      <c r="K255" s="20">
        <f>K256</f>
        <v>-13</v>
      </c>
      <c r="L255" s="18">
        <f t="shared" si="70"/>
        <v>0</v>
      </c>
      <c r="M255" s="20">
        <f>M256</f>
        <v>0</v>
      </c>
      <c r="N255" s="18">
        <f t="shared" si="71"/>
        <v>0</v>
      </c>
      <c r="O255" s="20">
        <f>O256</f>
        <v>0</v>
      </c>
      <c r="P255" s="18">
        <f t="shared" si="72"/>
        <v>0</v>
      </c>
      <c r="Q255" s="20">
        <f>Q256</f>
        <v>0</v>
      </c>
      <c r="R255" s="18">
        <f t="shared" si="73"/>
        <v>0</v>
      </c>
      <c r="S255" s="20">
        <f>S256</f>
        <v>0</v>
      </c>
      <c r="T255" s="18">
        <f t="shared" si="74"/>
        <v>0</v>
      </c>
      <c r="U255" s="20">
        <f>U256</f>
        <v>0</v>
      </c>
      <c r="V255" s="18">
        <f t="shared" si="75"/>
        <v>0</v>
      </c>
      <c r="W255" s="20">
        <f>W256</f>
        <v>0</v>
      </c>
      <c r="X255" s="18">
        <f t="shared" si="76"/>
        <v>0</v>
      </c>
    </row>
    <row r="256" spans="1:27" hidden="1" x14ac:dyDescent="0.25">
      <c r="A256" s="8" t="s">
        <v>511</v>
      </c>
      <c r="B256" s="27" t="s">
        <v>562</v>
      </c>
      <c r="C256" s="27" t="s">
        <v>66</v>
      </c>
      <c r="D256" s="18"/>
      <c r="E256" s="44">
        <v>13</v>
      </c>
      <c r="F256" s="18">
        <f t="shared" si="67"/>
        <v>13</v>
      </c>
      <c r="G256" s="64"/>
      <c r="H256" s="18">
        <f t="shared" si="68"/>
        <v>13</v>
      </c>
      <c r="I256" s="64"/>
      <c r="J256" s="18">
        <f t="shared" si="69"/>
        <v>13</v>
      </c>
      <c r="K256" s="44">
        <v>-13</v>
      </c>
      <c r="L256" s="18">
        <f t="shared" si="70"/>
        <v>0</v>
      </c>
      <c r="M256" s="64"/>
      <c r="N256" s="18">
        <f t="shared" si="71"/>
        <v>0</v>
      </c>
      <c r="O256" s="64"/>
      <c r="P256" s="18">
        <f t="shared" si="72"/>
        <v>0</v>
      </c>
      <c r="Q256" s="64"/>
      <c r="R256" s="18">
        <f t="shared" si="73"/>
        <v>0</v>
      </c>
      <c r="S256" s="64"/>
      <c r="T256" s="18">
        <f t="shared" si="74"/>
        <v>0</v>
      </c>
      <c r="U256" s="64"/>
      <c r="V256" s="18">
        <f t="shared" si="75"/>
        <v>0</v>
      </c>
      <c r="W256" s="64"/>
      <c r="X256" s="18">
        <f t="shared" si="76"/>
        <v>0</v>
      </c>
      <c r="Z256" s="43">
        <f>X256+Y256</f>
        <v>0</v>
      </c>
      <c r="AA256" s="43"/>
    </row>
    <row r="257" spans="1:27" x14ac:dyDescent="0.25">
      <c r="A257" s="33" t="s">
        <v>706</v>
      </c>
      <c r="B257" s="26" t="s">
        <v>737</v>
      </c>
      <c r="C257" s="26" t="s">
        <v>2</v>
      </c>
      <c r="D257" s="18"/>
      <c r="E257" s="44"/>
      <c r="F257" s="18"/>
      <c r="G257" s="64"/>
      <c r="H257" s="18"/>
      <c r="I257" s="64"/>
      <c r="J257" s="18"/>
      <c r="K257" s="78">
        <f>K258</f>
        <v>159</v>
      </c>
      <c r="L257" s="18">
        <f t="shared" si="70"/>
        <v>159</v>
      </c>
      <c r="M257" s="78">
        <f>M258</f>
        <v>0</v>
      </c>
      <c r="N257" s="18">
        <f t="shared" si="71"/>
        <v>159</v>
      </c>
      <c r="O257" s="78">
        <f>O258</f>
        <v>0</v>
      </c>
      <c r="P257" s="18">
        <f t="shared" si="72"/>
        <v>159</v>
      </c>
      <c r="Q257" s="78">
        <f>Q258</f>
        <v>0</v>
      </c>
      <c r="R257" s="18">
        <f t="shared" si="73"/>
        <v>159</v>
      </c>
      <c r="S257" s="78">
        <f>S258</f>
        <v>0</v>
      </c>
      <c r="T257" s="18">
        <f t="shared" si="74"/>
        <v>159</v>
      </c>
      <c r="U257" s="78">
        <f>U258</f>
        <v>-52.9</v>
      </c>
      <c r="V257" s="18">
        <f t="shared" si="75"/>
        <v>106.1</v>
      </c>
      <c r="W257" s="78">
        <f>W258</f>
        <v>0</v>
      </c>
      <c r="X257" s="18">
        <f t="shared" si="76"/>
        <v>106.1</v>
      </c>
    </row>
    <row r="258" spans="1:27" x14ac:dyDescent="0.25">
      <c r="A258" s="8" t="s">
        <v>511</v>
      </c>
      <c r="B258" s="27" t="s">
        <v>737</v>
      </c>
      <c r="C258" s="27" t="s">
        <v>66</v>
      </c>
      <c r="D258" s="18"/>
      <c r="E258" s="44"/>
      <c r="F258" s="18"/>
      <c r="G258" s="64"/>
      <c r="H258" s="18"/>
      <c r="I258" s="64"/>
      <c r="J258" s="18"/>
      <c r="K258" s="90">
        <v>159</v>
      </c>
      <c r="L258" s="18">
        <f t="shared" si="70"/>
        <v>159</v>
      </c>
      <c r="M258" s="77"/>
      <c r="N258" s="18">
        <f t="shared" si="71"/>
        <v>159</v>
      </c>
      <c r="O258" s="77"/>
      <c r="P258" s="18">
        <f t="shared" si="72"/>
        <v>159</v>
      </c>
      <c r="Q258" s="77"/>
      <c r="R258" s="18">
        <f t="shared" si="73"/>
        <v>159</v>
      </c>
      <c r="S258" s="77"/>
      <c r="T258" s="18">
        <f t="shared" si="74"/>
        <v>159</v>
      </c>
      <c r="U258" s="138">
        <v>-52.9</v>
      </c>
      <c r="V258" s="18">
        <f t="shared" si="75"/>
        <v>106.1</v>
      </c>
      <c r="W258" s="77"/>
      <c r="X258" s="18">
        <f t="shared" si="76"/>
        <v>106.1</v>
      </c>
      <c r="Z258" s="43">
        <f>X258+Y258</f>
        <v>106.1</v>
      </c>
      <c r="AA258" s="43"/>
    </row>
    <row r="259" spans="1:27" x14ac:dyDescent="0.25">
      <c r="A259" s="13" t="s">
        <v>41</v>
      </c>
      <c r="B259" s="24" t="s">
        <v>375</v>
      </c>
      <c r="C259" s="24" t="s">
        <v>2</v>
      </c>
      <c r="D259" s="18">
        <f>D260</f>
        <v>22.5</v>
      </c>
      <c r="E259" s="18">
        <f>E260</f>
        <v>0</v>
      </c>
      <c r="F259" s="18">
        <f t="shared" si="67"/>
        <v>22.5</v>
      </c>
      <c r="G259" s="18">
        <f>G260</f>
        <v>0</v>
      </c>
      <c r="H259" s="18">
        <f t="shared" si="68"/>
        <v>22.5</v>
      </c>
      <c r="I259" s="18">
        <f>I260</f>
        <v>0</v>
      </c>
      <c r="J259" s="18">
        <f t="shared" si="69"/>
        <v>22.5</v>
      </c>
      <c r="K259" s="18">
        <f>K260</f>
        <v>0</v>
      </c>
      <c r="L259" s="18">
        <f t="shared" si="70"/>
        <v>22.5</v>
      </c>
      <c r="M259" s="18">
        <f>M260</f>
        <v>0</v>
      </c>
      <c r="N259" s="18">
        <f t="shared" si="71"/>
        <v>22.5</v>
      </c>
      <c r="O259" s="18">
        <f>O260</f>
        <v>0</v>
      </c>
      <c r="P259" s="18">
        <f t="shared" si="72"/>
        <v>22.5</v>
      </c>
      <c r="Q259" s="18">
        <f>Q260</f>
        <v>0</v>
      </c>
      <c r="R259" s="18">
        <f t="shared" si="73"/>
        <v>22.5</v>
      </c>
      <c r="S259" s="18">
        <f>S260</f>
        <v>0</v>
      </c>
      <c r="T259" s="18">
        <f t="shared" si="74"/>
        <v>22.5</v>
      </c>
      <c r="U259" s="18">
        <f>U260</f>
        <v>0</v>
      </c>
      <c r="V259" s="18">
        <f t="shared" si="75"/>
        <v>22.5</v>
      </c>
      <c r="W259" s="18">
        <f>W260</f>
        <v>0</v>
      </c>
      <c r="X259" s="18">
        <f t="shared" si="76"/>
        <v>22.5</v>
      </c>
    </row>
    <row r="260" spans="1:27" x14ac:dyDescent="0.25">
      <c r="A260" s="9" t="s">
        <v>511</v>
      </c>
      <c r="B260" s="25" t="s">
        <v>375</v>
      </c>
      <c r="C260" s="25" t="s">
        <v>66</v>
      </c>
      <c r="D260" s="19">
        <v>22.5</v>
      </c>
      <c r="E260" s="19"/>
      <c r="F260" s="18">
        <f t="shared" si="67"/>
        <v>22.5</v>
      </c>
      <c r="G260" s="19"/>
      <c r="H260" s="18">
        <f t="shared" si="68"/>
        <v>22.5</v>
      </c>
      <c r="I260" s="19"/>
      <c r="J260" s="18">
        <f t="shared" si="69"/>
        <v>22.5</v>
      </c>
      <c r="K260" s="19"/>
      <c r="L260" s="18">
        <f t="shared" si="70"/>
        <v>22.5</v>
      </c>
      <c r="M260" s="19"/>
      <c r="N260" s="18">
        <f t="shared" si="71"/>
        <v>22.5</v>
      </c>
      <c r="O260" s="19"/>
      <c r="P260" s="18">
        <f t="shared" si="72"/>
        <v>22.5</v>
      </c>
      <c r="Q260" s="19"/>
      <c r="R260" s="18">
        <f t="shared" si="73"/>
        <v>22.5</v>
      </c>
      <c r="S260" s="64"/>
      <c r="T260" s="18">
        <f t="shared" si="74"/>
        <v>22.5</v>
      </c>
      <c r="U260" s="64"/>
      <c r="V260" s="18">
        <f t="shared" si="75"/>
        <v>22.5</v>
      </c>
      <c r="W260" s="64"/>
      <c r="X260" s="18">
        <f t="shared" si="76"/>
        <v>22.5</v>
      </c>
      <c r="Z260" s="43">
        <f>X260+Y260</f>
        <v>22.5</v>
      </c>
      <c r="AA260" s="43"/>
    </row>
    <row r="261" spans="1:27" ht="30.75" customHeight="1" x14ac:dyDescent="0.25">
      <c r="A261" s="13" t="s">
        <v>30</v>
      </c>
      <c r="B261" s="24" t="s">
        <v>374</v>
      </c>
      <c r="C261" s="24" t="s">
        <v>2</v>
      </c>
      <c r="D261" s="18">
        <f>D262</f>
        <v>8097.4000000000005</v>
      </c>
      <c r="E261" s="18">
        <f>E262</f>
        <v>0</v>
      </c>
      <c r="F261" s="18">
        <f t="shared" si="67"/>
        <v>8097.4000000000005</v>
      </c>
      <c r="G261" s="18">
        <f>G262</f>
        <v>0</v>
      </c>
      <c r="H261" s="18">
        <f t="shared" si="68"/>
        <v>8097.4000000000005</v>
      </c>
      <c r="I261" s="18">
        <f>I262</f>
        <v>0</v>
      </c>
      <c r="J261" s="18">
        <f t="shared" si="69"/>
        <v>8097.4000000000005</v>
      </c>
      <c r="K261" s="18">
        <f>K262</f>
        <v>-0.1</v>
      </c>
      <c r="L261" s="18">
        <f t="shared" si="70"/>
        <v>8097.3</v>
      </c>
      <c r="M261" s="18">
        <f>M262</f>
        <v>0</v>
      </c>
      <c r="N261" s="18">
        <f t="shared" si="71"/>
        <v>8097.3</v>
      </c>
      <c r="O261" s="18">
        <f>O262</f>
        <v>0</v>
      </c>
      <c r="P261" s="18">
        <f t="shared" si="72"/>
        <v>8097.3</v>
      </c>
      <c r="Q261" s="18">
        <f>Q262</f>
        <v>0</v>
      </c>
      <c r="R261" s="18">
        <f t="shared" si="73"/>
        <v>8097.3</v>
      </c>
      <c r="S261" s="18">
        <f>S262+S263</f>
        <v>6.5</v>
      </c>
      <c r="T261" s="18">
        <f t="shared" si="74"/>
        <v>8103.8</v>
      </c>
      <c r="U261" s="18">
        <f>U262+U263</f>
        <v>-445.4</v>
      </c>
      <c r="V261" s="18">
        <f t="shared" si="75"/>
        <v>7658.4000000000005</v>
      </c>
      <c r="W261" s="18">
        <f>W262+W263</f>
        <v>0</v>
      </c>
      <c r="X261" s="18">
        <f t="shared" si="76"/>
        <v>7658.4000000000005</v>
      </c>
    </row>
    <row r="262" spans="1:27" ht="36.75" x14ac:dyDescent="0.25">
      <c r="A262" s="9" t="s">
        <v>510</v>
      </c>
      <c r="B262" s="25" t="s">
        <v>374</v>
      </c>
      <c r="C262" s="25" t="s">
        <v>68</v>
      </c>
      <c r="D262" s="19">
        <v>8097.4000000000005</v>
      </c>
      <c r="E262" s="19"/>
      <c r="F262" s="18">
        <f t="shared" si="67"/>
        <v>8097.4000000000005</v>
      </c>
      <c r="G262" s="19"/>
      <c r="H262" s="18">
        <f t="shared" si="68"/>
        <v>8097.4000000000005</v>
      </c>
      <c r="I262" s="19"/>
      <c r="J262" s="18">
        <f t="shared" si="69"/>
        <v>8097.4000000000005</v>
      </c>
      <c r="K262" s="44">
        <f>-0.1</f>
        <v>-0.1</v>
      </c>
      <c r="L262" s="18">
        <f t="shared" si="70"/>
        <v>8097.3</v>
      </c>
      <c r="M262" s="64"/>
      <c r="N262" s="18">
        <f t="shared" si="71"/>
        <v>8097.3</v>
      </c>
      <c r="O262" s="64"/>
      <c r="P262" s="18">
        <f t="shared" si="72"/>
        <v>8097.3</v>
      </c>
      <c r="Q262" s="64"/>
      <c r="R262" s="18">
        <f t="shared" si="73"/>
        <v>8097.3</v>
      </c>
      <c r="S262" s="64"/>
      <c r="T262" s="18">
        <f t="shared" si="74"/>
        <v>8097.3</v>
      </c>
      <c r="U262" s="96">
        <v>-445.4</v>
      </c>
      <c r="V262" s="18">
        <f t="shared" si="75"/>
        <v>7651.9000000000005</v>
      </c>
      <c r="W262" s="64"/>
      <c r="X262" s="18">
        <f t="shared" si="76"/>
        <v>7651.9000000000005</v>
      </c>
      <c r="Z262" s="43">
        <f t="shared" ref="Z262:Z263" si="79">X262+Y262</f>
        <v>7651.9000000000005</v>
      </c>
      <c r="AA262" s="43"/>
    </row>
    <row r="263" spans="1:27" x14ac:dyDescent="0.25">
      <c r="A263" s="9" t="s">
        <v>511</v>
      </c>
      <c r="B263" s="25" t="s">
        <v>374</v>
      </c>
      <c r="C263" s="25" t="s">
        <v>66</v>
      </c>
      <c r="D263" s="19"/>
      <c r="E263" s="19"/>
      <c r="F263" s="18"/>
      <c r="G263" s="19"/>
      <c r="H263" s="18"/>
      <c r="I263" s="19"/>
      <c r="J263" s="18"/>
      <c r="K263" s="44"/>
      <c r="L263" s="18"/>
      <c r="M263" s="64"/>
      <c r="N263" s="18"/>
      <c r="O263" s="64"/>
      <c r="P263" s="18"/>
      <c r="Q263" s="64"/>
      <c r="R263" s="18"/>
      <c r="S263" s="44">
        <v>6.5</v>
      </c>
      <c r="T263" s="18">
        <f t="shared" si="74"/>
        <v>6.5</v>
      </c>
      <c r="U263" s="64"/>
      <c r="V263" s="18">
        <f t="shared" si="75"/>
        <v>6.5</v>
      </c>
      <c r="W263" s="64"/>
      <c r="X263" s="18">
        <f t="shared" si="76"/>
        <v>6.5</v>
      </c>
      <c r="Z263" s="43">
        <f t="shared" si="79"/>
        <v>6.5</v>
      </c>
      <c r="AA263" s="43"/>
    </row>
    <row r="264" spans="1:27" ht="24.75" x14ac:dyDescent="0.25">
      <c r="A264" s="13" t="s">
        <v>376</v>
      </c>
      <c r="B264" s="24" t="s">
        <v>377</v>
      </c>
      <c r="C264" s="24" t="s">
        <v>2</v>
      </c>
      <c r="D264" s="18">
        <f>D268+D277+D280+D282+D284</f>
        <v>16107.900000000001</v>
      </c>
      <c r="E264" s="18">
        <f>E268+E277+E280+E282+E284</f>
        <v>0</v>
      </c>
      <c r="F264" s="18">
        <f t="shared" si="67"/>
        <v>16107.900000000001</v>
      </c>
      <c r="G264" s="18">
        <f>G268+G277+G280+G282+G284</f>
        <v>0</v>
      </c>
      <c r="H264" s="18">
        <f t="shared" si="68"/>
        <v>16107.900000000001</v>
      </c>
      <c r="I264" s="18">
        <f>I268+I277+I280+I282+I284</f>
        <v>0</v>
      </c>
      <c r="J264" s="18">
        <f t="shared" si="69"/>
        <v>16107.900000000001</v>
      </c>
      <c r="K264" s="18">
        <f>K268+K277+K280+K282+K284</f>
        <v>0</v>
      </c>
      <c r="L264" s="18">
        <f t="shared" si="70"/>
        <v>16107.900000000001</v>
      </c>
      <c r="M264" s="18">
        <f>M268+M277+M280+M282+M284</f>
        <v>0</v>
      </c>
      <c r="N264" s="18">
        <f t="shared" si="71"/>
        <v>16107.900000000001</v>
      </c>
      <c r="O264" s="18">
        <f>O268+O277+O280+O282+O284</f>
        <v>-100</v>
      </c>
      <c r="P264" s="18">
        <f t="shared" si="72"/>
        <v>16007.900000000001</v>
      </c>
      <c r="Q264" s="18">
        <f>Q268+Q277+Q280+Q282+Q284+Q265</f>
        <v>664.09999999999991</v>
      </c>
      <c r="R264" s="18">
        <f t="shared" si="73"/>
        <v>16672</v>
      </c>
      <c r="S264" s="18">
        <f>S268+S277+S280+S282+S284+S265</f>
        <v>0</v>
      </c>
      <c r="T264" s="18">
        <f t="shared" si="74"/>
        <v>16672</v>
      </c>
      <c r="U264" s="18">
        <f>U268+U277+U280+U282+U284+U265+U274</f>
        <v>480.2</v>
      </c>
      <c r="V264" s="18">
        <f t="shared" si="75"/>
        <v>17152.2</v>
      </c>
      <c r="W264" s="18">
        <f>W268+W277+W280+W282+W284+W265+W274</f>
        <v>1032.3</v>
      </c>
      <c r="X264" s="18">
        <f t="shared" si="76"/>
        <v>18184.5</v>
      </c>
    </row>
    <row r="265" spans="1:27" x14ac:dyDescent="0.25">
      <c r="A265" s="33" t="s">
        <v>662</v>
      </c>
      <c r="B265" s="26" t="s">
        <v>1134</v>
      </c>
      <c r="C265" s="26" t="s">
        <v>2</v>
      </c>
      <c r="D265" s="18"/>
      <c r="E265" s="18"/>
      <c r="F265" s="18"/>
      <c r="G265" s="18"/>
      <c r="H265" s="18"/>
      <c r="I265" s="18"/>
      <c r="J265" s="18"/>
      <c r="K265" s="18"/>
      <c r="L265" s="18"/>
      <c r="M265" s="18"/>
      <c r="N265" s="18"/>
      <c r="O265" s="18"/>
      <c r="P265" s="18"/>
      <c r="Q265" s="20">
        <f>Q266+Q267</f>
        <v>133.19999999999999</v>
      </c>
      <c r="R265" s="18">
        <f t="shared" si="73"/>
        <v>133.19999999999999</v>
      </c>
      <c r="S265" s="20">
        <f>S266+S267</f>
        <v>0</v>
      </c>
      <c r="T265" s="18">
        <f t="shared" si="74"/>
        <v>133.19999999999999</v>
      </c>
      <c r="U265" s="20">
        <f>U266+U267</f>
        <v>0</v>
      </c>
      <c r="V265" s="18">
        <f t="shared" si="75"/>
        <v>133.19999999999999</v>
      </c>
      <c r="W265" s="20">
        <f>W266+W267</f>
        <v>0</v>
      </c>
      <c r="X265" s="18">
        <f t="shared" si="76"/>
        <v>133.19999999999999</v>
      </c>
    </row>
    <row r="266" spans="1:27" x14ac:dyDescent="0.25">
      <c r="A266" s="8" t="s">
        <v>498</v>
      </c>
      <c r="B266" s="27" t="s">
        <v>1134</v>
      </c>
      <c r="C266" s="27" t="s">
        <v>8</v>
      </c>
      <c r="D266" s="18"/>
      <c r="E266" s="18"/>
      <c r="F266" s="18"/>
      <c r="G266" s="18"/>
      <c r="H266" s="18"/>
      <c r="I266" s="18"/>
      <c r="J266" s="18"/>
      <c r="K266" s="18"/>
      <c r="L266" s="18"/>
      <c r="M266" s="18"/>
      <c r="N266" s="18"/>
      <c r="O266" s="18"/>
      <c r="P266" s="18"/>
      <c r="Q266" s="45">
        <v>102.3</v>
      </c>
      <c r="R266" s="18">
        <f t="shared" si="73"/>
        <v>102.3</v>
      </c>
      <c r="S266" s="64"/>
      <c r="T266" s="18">
        <f t="shared" si="74"/>
        <v>102.3</v>
      </c>
      <c r="U266" s="64"/>
      <c r="V266" s="18">
        <f t="shared" si="75"/>
        <v>102.3</v>
      </c>
      <c r="W266" s="64"/>
      <c r="X266" s="18">
        <f t="shared" si="76"/>
        <v>102.3</v>
      </c>
      <c r="Z266" s="43">
        <f t="shared" ref="Z266:Z267" si="80">X266+Y266</f>
        <v>102.3</v>
      </c>
      <c r="AA266" s="43"/>
    </row>
    <row r="267" spans="1:27" ht="36.75" x14ac:dyDescent="0.25">
      <c r="A267" s="8" t="s">
        <v>500</v>
      </c>
      <c r="B267" s="27" t="s">
        <v>1134</v>
      </c>
      <c r="C267" s="27" t="s">
        <v>9</v>
      </c>
      <c r="D267" s="18"/>
      <c r="E267" s="18"/>
      <c r="F267" s="18"/>
      <c r="G267" s="18"/>
      <c r="H267" s="18"/>
      <c r="I267" s="18"/>
      <c r="J267" s="18"/>
      <c r="K267" s="18"/>
      <c r="L267" s="18"/>
      <c r="M267" s="18"/>
      <c r="N267" s="18"/>
      <c r="O267" s="18"/>
      <c r="P267" s="18"/>
      <c r="Q267" s="45">
        <v>30.9</v>
      </c>
      <c r="R267" s="18">
        <f t="shared" si="73"/>
        <v>30.9</v>
      </c>
      <c r="S267" s="64"/>
      <c r="T267" s="18">
        <f t="shared" si="74"/>
        <v>30.9</v>
      </c>
      <c r="U267" s="64"/>
      <c r="V267" s="18">
        <f t="shared" si="75"/>
        <v>30.9</v>
      </c>
      <c r="W267" s="64"/>
      <c r="X267" s="18">
        <f t="shared" si="76"/>
        <v>30.9</v>
      </c>
      <c r="Z267" s="43">
        <f t="shared" si="80"/>
        <v>30.9</v>
      </c>
      <c r="AA267" s="43"/>
    </row>
    <row r="268" spans="1:27" x14ac:dyDescent="0.25">
      <c r="A268" s="13" t="s">
        <v>44</v>
      </c>
      <c r="B268" s="24" t="s">
        <v>379</v>
      </c>
      <c r="C268" s="24" t="s">
        <v>2</v>
      </c>
      <c r="D268" s="18">
        <f>D269+D270+D271+D273</f>
        <v>3860</v>
      </c>
      <c r="E268" s="18">
        <f>E269+E270+E271+E273</f>
        <v>0</v>
      </c>
      <c r="F268" s="18">
        <f t="shared" si="67"/>
        <v>3860</v>
      </c>
      <c r="G268" s="18">
        <f>G269+G270+G271+G273</f>
        <v>0</v>
      </c>
      <c r="H268" s="18">
        <f t="shared" si="68"/>
        <v>3860</v>
      </c>
      <c r="I268" s="18">
        <f>I269+I270+I271+I273</f>
        <v>0</v>
      </c>
      <c r="J268" s="18">
        <f t="shared" si="69"/>
        <v>3860</v>
      </c>
      <c r="K268" s="18">
        <f>K269+K270+K271+K273</f>
        <v>0</v>
      </c>
      <c r="L268" s="18">
        <f t="shared" si="70"/>
        <v>3860</v>
      </c>
      <c r="M268" s="20">
        <f>M269+M270+M271+M273+M272</f>
        <v>0</v>
      </c>
      <c r="N268" s="18">
        <f t="shared" si="71"/>
        <v>3860</v>
      </c>
      <c r="O268" s="20">
        <f>O269+O270+O271+O273+O272</f>
        <v>-50</v>
      </c>
      <c r="P268" s="18">
        <f t="shared" si="72"/>
        <v>3810</v>
      </c>
      <c r="Q268" s="20">
        <f>Q269+Q270+Q271+Q273+Q272</f>
        <v>530.9</v>
      </c>
      <c r="R268" s="18">
        <f t="shared" si="73"/>
        <v>4340.8999999999996</v>
      </c>
      <c r="S268" s="20">
        <f>S269+S270+S271+S273+S272</f>
        <v>0</v>
      </c>
      <c r="T268" s="18">
        <f t="shared" si="74"/>
        <v>4340.8999999999996</v>
      </c>
      <c r="U268" s="20">
        <f>U269+U270+U271+U273+U272</f>
        <v>445.4</v>
      </c>
      <c r="V268" s="18">
        <f t="shared" si="75"/>
        <v>4786.2999999999993</v>
      </c>
      <c r="W268" s="20">
        <f>W269+W270+W271+W273+W272</f>
        <v>0</v>
      </c>
      <c r="X268" s="18">
        <f t="shared" si="76"/>
        <v>4786.2999999999993</v>
      </c>
    </row>
    <row r="269" spans="1:27" x14ac:dyDescent="0.25">
      <c r="A269" s="7" t="s">
        <v>498</v>
      </c>
      <c r="B269" s="25" t="s">
        <v>379</v>
      </c>
      <c r="C269" s="25" t="s">
        <v>8</v>
      </c>
      <c r="D269" s="19">
        <v>2298.8000000000002</v>
      </c>
      <c r="E269" s="19"/>
      <c r="F269" s="18">
        <f t="shared" si="67"/>
        <v>2298.8000000000002</v>
      </c>
      <c r="G269" s="19"/>
      <c r="H269" s="18">
        <f t="shared" si="68"/>
        <v>2298.8000000000002</v>
      </c>
      <c r="I269" s="19"/>
      <c r="J269" s="18">
        <f t="shared" si="69"/>
        <v>2298.8000000000002</v>
      </c>
      <c r="K269" s="19"/>
      <c r="L269" s="18">
        <f t="shared" si="70"/>
        <v>2298.8000000000002</v>
      </c>
      <c r="M269" s="21"/>
      <c r="N269" s="18">
        <f t="shared" si="71"/>
        <v>2298.8000000000002</v>
      </c>
      <c r="O269" s="21"/>
      <c r="P269" s="18">
        <f t="shared" si="72"/>
        <v>2298.8000000000002</v>
      </c>
      <c r="Q269" s="44">
        <v>377.2</v>
      </c>
      <c r="R269" s="18">
        <f t="shared" si="73"/>
        <v>2676</v>
      </c>
      <c r="S269" s="64"/>
      <c r="T269" s="18">
        <f t="shared" si="74"/>
        <v>2676</v>
      </c>
      <c r="U269" s="96">
        <v>402</v>
      </c>
      <c r="V269" s="18">
        <f t="shared" si="75"/>
        <v>3078</v>
      </c>
      <c r="W269" s="64"/>
      <c r="X269" s="18">
        <f t="shared" si="76"/>
        <v>3078</v>
      </c>
      <c r="Z269" s="43">
        <f t="shared" ref="Z269:Z273" si="81">X269+Y269</f>
        <v>3078</v>
      </c>
      <c r="AA269" s="43"/>
    </row>
    <row r="270" spans="1:27" ht="24.75" x14ac:dyDescent="0.25">
      <c r="A270" s="7" t="s">
        <v>499</v>
      </c>
      <c r="B270" s="25" t="s">
        <v>379</v>
      </c>
      <c r="C270" s="25" t="s">
        <v>32</v>
      </c>
      <c r="D270" s="19">
        <v>2</v>
      </c>
      <c r="E270" s="19"/>
      <c r="F270" s="18">
        <f t="shared" si="67"/>
        <v>2</v>
      </c>
      <c r="G270" s="19"/>
      <c r="H270" s="18">
        <f t="shared" si="68"/>
        <v>2</v>
      </c>
      <c r="I270" s="19"/>
      <c r="J270" s="18">
        <f t="shared" si="69"/>
        <v>2</v>
      </c>
      <c r="K270" s="19"/>
      <c r="L270" s="18">
        <f t="shared" si="70"/>
        <v>2</v>
      </c>
      <c r="M270" s="21"/>
      <c r="N270" s="18">
        <f t="shared" si="71"/>
        <v>2</v>
      </c>
      <c r="O270" s="21"/>
      <c r="P270" s="18">
        <f t="shared" si="72"/>
        <v>2</v>
      </c>
      <c r="Q270" s="44">
        <v>0.8</v>
      </c>
      <c r="R270" s="18">
        <f t="shared" si="73"/>
        <v>2.8</v>
      </c>
      <c r="S270" s="64"/>
      <c r="T270" s="18">
        <f t="shared" si="74"/>
        <v>2.8</v>
      </c>
      <c r="U270" s="64"/>
      <c r="V270" s="18">
        <f t="shared" si="75"/>
        <v>2.8</v>
      </c>
      <c r="W270" s="64"/>
      <c r="X270" s="18">
        <f t="shared" si="76"/>
        <v>2.8</v>
      </c>
      <c r="Z270" s="43">
        <f t="shared" si="81"/>
        <v>2.8</v>
      </c>
      <c r="AA270" s="43"/>
    </row>
    <row r="271" spans="1:27" ht="27" customHeight="1" x14ac:dyDescent="0.25">
      <c r="A271" s="9" t="s">
        <v>500</v>
      </c>
      <c r="B271" s="25" t="s">
        <v>379</v>
      </c>
      <c r="C271" s="25" t="s">
        <v>9</v>
      </c>
      <c r="D271" s="19">
        <v>694.2</v>
      </c>
      <c r="E271" s="19"/>
      <c r="F271" s="18">
        <f t="shared" si="67"/>
        <v>694.2</v>
      </c>
      <c r="G271" s="19"/>
      <c r="H271" s="18">
        <f t="shared" si="68"/>
        <v>694.2</v>
      </c>
      <c r="I271" s="19"/>
      <c r="J271" s="18">
        <f t="shared" si="69"/>
        <v>694.2</v>
      </c>
      <c r="K271" s="19"/>
      <c r="L271" s="18">
        <f t="shared" si="70"/>
        <v>694.2</v>
      </c>
      <c r="M271" s="21"/>
      <c r="N271" s="18">
        <f t="shared" si="71"/>
        <v>694.2</v>
      </c>
      <c r="O271" s="21"/>
      <c r="P271" s="18">
        <f t="shared" si="72"/>
        <v>694.2</v>
      </c>
      <c r="Q271" s="44">
        <v>153.69999999999999</v>
      </c>
      <c r="R271" s="18">
        <f t="shared" si="73"/>
        <v>847.90000000000009</v>
      </c>
      <c r="S271" s="64"/>
      <c r="T271" s="18">
        <f t="shared" si="74"/>
        <v>847.90000000000009</v>
      </c>
      <c r="U271" s="96">
        <v>121.4</v>
      </c>
      <c r="V271" s="18">
        <f t="shared" si="75"/>
        <v>969.30000000000007</v>
      </c>
      <c r="W271" s="64"/>
      <c r="X271" s="18">
        <f t="shared" si="76"/>
        <v>969.30000000000007</v>
      </c>
      <c r="Z271" s="43">
        <f t="shared" si="81"/>
        <v>969.30000000000007</v>
      </c>
      <c r="AA271" s="43"/>
    </row>
    <row r="272" spans="1:27" ht="15.75" customHeight="1" x14ac:dyDescent="0.25">
      <c r="A272" s="9" t="s">
        <v>501</v>
      </c>
      <c r="B272" s="25" t="s">
        <v>379</v>
      </c>
      <c r="C272" s="25" t="s">
        <v>33</v>
      </c>
      <c r="D272" s="19"/>
      <c r="E272" s="19"/>
      <c r="F272" s="18"/>
      <c r="G272" s="19"/>
      <c r="H272" s="18"/>
      <c r="I272" s="19"/>
      <c r="J272" s="18"/>
      <c r="K272" s="19"/>
      <c r="L272" s="18"/>
      <c r="M272" s="62">
        <v>40.200000000000003</v>
      </c>
      <c r="N272" s="18">
        <f t="shared" si="71"/>
        <v>40.200000000000003</v>
      </c>
      <c r="O272" s="64"/>
      <c r="P272" s="18">
        <f t="shared" si="72"/>
        <v>40.200000000000003</v>
      </c>
      <c r="Q272" s="44">
        <v>5.3</v>
      </c>
      <c r="R272" s="18">
        <f t="shared" si="73"/>
        <v>45.5</v>
      </c>
      <c r="S272" s="64"/>
      <c r="T272" s="18">
        <f t="shared" si="74"/>
        <v>45.5</v>
      </c>
      <c r="U272" s="64"/>
      <c r="V272" s="18">
        <f t="shared" si="75"/>
        <v>45.5</v>
      </c>
      <c r="W272" s="64"/>
      <c r="X272" s="18">
        <f t="shared" si="76"/>
        <v>45.5</v>
      </c>
      <c r="Z272" s="43">
        <f t="shared" si="81"/>
        <v>45.5</v>
      </c>
      <c r="AA272" s="43"/>
    </row>
    <row r="273" spans="1:27" x14ac:dyDescent="0.25">
      <c r="A273" s="7" t="s">
        <v>54</v>
      </c>
      <c r="B273" s="25" t="s">
        <v>379</v>
      </c>
      <c r="C273" s="25" t="s">
        <v>34</v>
      </c>
      <c r="D273" s="19">
        <v>865</v>
      </c>
      <c r="E273" s="19"/>
      <c r="F273" s="18">
        <f t="shared" si="67"/>
        <v>865</v>
      </c>
      <c r="G273" s="19"/>
      <c r="H273" s="18">
        <f t="shared" si="68"/>
        <v>865</v>
      </c>
      <c r="I273" s="19"/>
      <c r="J273" s="18">
        <f t="shared" si="69"/>
        <v>865</v>
      </c>
      <c r="K273" s="19"/>
      <c r="L273" s="18">
        <f t="shared" si="70"/>
        <v>865</v>
      </c>
      <c r="M273" s="62">
        <v>-40.200000000000003</v>
      </c>
      <c r="N273" s="18">
        <f t="shared" si="71"/>
        <v>824.8</v>
      </c>
      <c r="O273" s="96">
        <v>-50</v>
      </c>
      <c r="P273" s="18">
        <f t="shared" si="72"/>
        <v>774.8</v>
      </c>
      <c r="Q273" s="44">
        <v>-6.1</v>
      </c>
      <c r="R273" s="18">
        <f t="shared" si="73"/>
        <v>768.69999999999993</v>
      </c>
      <c r="S273" s="64"/>
      <c r="T273" s="18">
        <f t="shared" si="74"/>
        <v>768.69999999999993</v>
      </c>
      <c r="U273" s="96">
        <v>-78</v>
      </c>
      <c r="V273" s="18">
        <f t="shared" si="75"/>
        <v>690.69999999999993</v>
      </c>
      <c r="W273" s="64"/>
      <c r="X273" s="18">
        <f t="shared" si="76"/>
        <v>690.69999999999993</v>
      </c>
      <c r="Z273" s="43">
        <f t="shared" si="81"/>
        <v>690.69999999999993</v>
      </c>
      <c r="AA273" s="43"/>
    </row>
    <row r="274" spans="1:27" x14ac:dyDescent="0.25">
      <c r="A274" s="101" t="s">
        <v>734</v>
      </c>
      <c r="B274" s="26" t="s">
        <v>1286</v>
      </c>
      <c r="C274" s="26" t="s">
        <v>2</v>
      </c>
      <c r="D274" s="19"/>
      <c r="E274" s="19"/>
      <c r="F274" s="18"/>
      <c r="G274" s="19"/>
      <c r="H274" s="18"/>
      <c r="I274" s="19"/>
      <c r="J274" s="18"/>
      <c r="K274" s="19"/>
      <c r="L274" s="18"/>
      <c r="M274" s="62"/>
      <c r="N274" s="18"/>
      <c r="O274" s="96"/>
      <c r="P274" s="18"/>
      <c r="Q274" s="44"/>
      <c r="R274" s="18"/>
      <c r="S274" s="64"/>
      <c r="T274" s="18"/>
      <c r="U274" s="47">
        <f>U275+U276</f>
        <v>34.799999999999997</v>
      </c>
      <c r="V274" s="18">
        <f t="shared" si="75"/>
        <v>34.799999999999997</v>
      </c>
      <c r="W274" s="47">
        <f>W275+W276</f>
        <v>-7.7</v>
      </c>
      <c r="X274" s="18">
        <f t="shared" si="76"/>
        <v>27.099999999999998</v>
      </c>
    </row>
    <row r="275" spans="1:27" x14ac:dyDescent="0.25">
      <c r="A275" s="8" t="s">
        <v>498</v>
      </c>
      <c r="B275" s="27" t="s">
        <v>1286</v>
      </c>
      <c r="C275" s="27" t="s">
        <v>8</v>
      </c>
      <c r="D275" s="19"/>
      <c r="E275" s="19"/>
      <c r="F275" s="18"/>
      <c r="G275" s="19"/>
      <c r="H275" s="18"/>
      <c r="I275" s="19"/>
      <c r="J275" s="18"/>
      <c r="K275" s="19"/>
      <c r="L275" s="18"/>
      <c r="M275" s="62"/>
      <c r="N275" s="18"/>
      <c r="O275" s="96"/>
      <c r="P275" s="18"/>
      <c r="Q275" s="44"/>
      <c r="R275" s="18"/>
      <c r="S275" s="64"/>
      <c r="T275" s="18"/>
      <c r="U275" s="151">
        <v>26.7</v>
      </c>
      <c r="V275" s="18">
        <f t="shared" si="75"/>
        <v>26.7</v>
      </c>
      <c r="W275" s="44">
        <v>-5.9</v>
      </c>
      <c r="X275" s="18">
        <f t="shared" si="76"/>
        <v>20.799999999999997</v>
      </c>
      <c r="Z275" s="43">
        <f t="shared" ref="Z275:Z276" si="82">X275+Y275</f>
        <v>20.799999999999997</v>
      </c>
      <c r="AA275" s="43"/>
    </row>
    <row r="276" spans="1:27" ht="36.75" x14ac:dyDescent="0.25">
      <c r="A276" s="8" t="s">
        <v>500</v>
      </c>
      <c r="B276" s="27" t="s">
        <v>1286</v>
      </c>
      <c r="C276" s="27" t="s">
        <v>9</v>
      </c>
      <c r="D276" s="19"/>
      <c r="E276" s="19"/>
      <c r="F276" s="18"/>
      <c r="G276" s="19"/>
      <c r="H276" s="18"/>
      <c r="I276" s="19"/>
      <c r="J276" s="18"/>
      <c r="K276" s="19"/>
      <c r="L276" s="18"/>
      <c r="M276" s="62"/>
      <c r="N276" s="18"/>
      <c r="O276" s="96"/>
      <c r="P276" s="18"/>
      <c r="Q276" s="44"/>
      <c r="R276" s="18"/>
      <c r="S276" s="64"/>
      <c r="T276" s="18"/>
      <c r="U276" s="151">
        <v>8.1</v>
      </c>
      <c r="V276" s="18">
        <f t="shared" si="75"/>
        <v>8.1</v>
      </c>
      <c r="W276" s="44">
        <v>-1.8</v>
      </c>
      <c r="X276" s="18">
        <f t="shared" si="76"/>
        <v>6.3</v>
      </c>
      <c r="Z276" s="43">
        <f t="shared" si="82"/>
        <v>6.3</v>
      </c>
      <c r="AA276" s="43"/>
    </row>
    <row r="277" spans="1:27" ht="24.75" x14ac:dyDescent="0.25">
      <c r="A277" s="13" t="s">
        <v>69</v>
      </c>
      <c r="B277" s="24" t="s">
        <v>380</v>
      </c>
      <c r="C277" s="24" t="s">
        <v>2</v>
      </c>
      <c r="D277" s="18">
        <f>D278+D279</f>
        <v>5767.0000000000009</v>
      </c>
      <c r="E277" s="18">
        <f>E278+E279</f>
        <v>0</v>
      </c>
      <c r="F277" s="18">
        <f t="shared" si="67"/>
        <v>5767.0000000000009</v>
      </c>
      <c r="G277" s="18">
        <f>G278+G279</f>
        <v>0</v>
      </c>
      <c r="H277" s="18">
        <f t="shared" si="68"/>
        <v>5767.0000000000009</v>
      </c>
      <c r="I277" s="18">
        <f>I278+I279</f>
        <v>0</v>
      </c>
      <c r="J277" s="18">
        <f t="shared" si="69"/>
        <v>5767.0000000000009</v>
      </c>
      <c r="K277" s="18">
        <f>K278+K279</f>
        <v>0</v>
      </c>
      <c r="L277" s="18">
        <f t="shared" si="70"/>
        <v>5767.0000000000009</v>
      </c>
      <c r="M277" s="18">
        <f>M278+M279</f>
        <v>0</v>
      </c>
      <c r="N277" s="18">
        <f t="shared" si="71"/>
        <v>5767.0000000000009</v>
      </c>
      <c r="O277" s="18">
        <f>O278+O279</f>
        <v>-50</v>
      </c>
      <c r="P277" s="18">
        <f t="shared" si="72"/>
        <v>5717.0000000000009</v>
      </c>
      <c r="Q277" s="18">
        <f>Q278+Q279</f>
        <v>0</v>
      </c>
      <c r="R277" s="18">
        <f t="shared" si="73"/>
        <v>5717.0000000000009</v>
      </c>
      <c r="S277" s="18">
        <f>S278+S279</f>
        <v>0</v>
      </c>
      <c r="T277" s="18">
        <f t="shared" si="74"/>
        <v>5717.0000000000009</v>
      </c>
      <c r="U277" s="18">
        <f>U278+U279</f>
        <v>0</v>
      </c>
      <c r="V277" s="18">
        <f t="shared" si="75"/>
        <v>5717.0000000000009</v>
      </c>
      <c r="W277" s="18">
        <f>W278+W279</f>
        <v>0</v>
      </c>
      <c r="X277" s="18">
        <f t="shared" si="76"/>
        <v>5717.0000000000009</v>
      </c>
    </row>
    <row r="278" spans="1:27" ht="36.75" x14ac:dyDescent="0.25">
      <c r="A278" s="9" t="s">
        <v>510</v>
      </c>
      <c r="B278" s="25" t="s">
        <v>380</v>
      </c>
      <c r="C278" s="25" t="s">
        <v>68</v>
      </c>
      <c r="D278" s="19">
        <v>5717.0000000000009</v>
      </c>
      <c r="E278" s="19"/>
      <c r="F278" s="18">
        <f t="shared" si="67"/>
        <v>5717.0000000000009</v>
      </c>
      <c r="G278" s="19"/>
      <c r="H278" s="18">
        <f t="shared" si="68"/>
        <v>5717.0000000000009</v>
      </c>
      <c r="I278" s="19"/>
      <c r="J278" s="18">
        <f t="shared" si="69"/>
        <v>5717.0000000000009</v>
      </c>
      <c r="K278" s="19"/>
      <c r="L278" s="18">
        <f t="shared" si="70"/>
        <v>5717.0000000000009</v>
      </c>
      <c r="M278" s="19"/>
      <c r="N278" s="18">
        <f t="shared" si="71"/>
        <v>5717.0000000000009</v>
      </c>
      <c r="O278" s="19"/>
      <c r="P278" s="18">
        <f t="shared" si="72"/>
        <v>5717.0000000000009</v>
      </c>
      <c r="Q278" s="19"/>
      <c r="R278" s="18">
        <f t="shared" si="73"/>
        <v>5717.0000000000009</v>
      </c>
      <c r="S278" s="64"/>
      <c r="T278" s="18">
        <f t="shared" si="74"/>
        <v>5717.0000000000009</v>
      </c>
      <c r="U278" s="64"/>
      <c r="V278" s="18">
        <f t="shared" si="75"/>
        <v>5717.0000000000009</v>
      </c>
      <c r="W278" s="64"/>
      <c r="X278" s="18">
        <f t="shared" si="76"/>
        <v>5717.0000000000009</v>
      </c>
      <c r="Z278" s="43">
        <f t="shared" ref="Z278:Z279" si="83">X278+Y278</f>
        <v>5717.0000000000009</v>
      </c>
      <c r="AA278" s="43"/>
    </row>
    <row r="279" spans="1:27" hidden="1" x14ac:dyDescent="0.25">
      <c r="A279" s="9" t="s">
        <v>511</v>
      </c>
      <c r="B279" s="25" t="s">
        <v>382</v>
      </c>
      <c r="C279" s="25" t="s">
        <v>66</v>
      </c>
      <c r="D279" s="19">
        <v>50</v>
      </c>
      <c r="E279" s="19"/>
      <c r="F279" s="18">
        <f t="shared" si="67"/>
        <v>50</v>
      </c>
      <c r="G279" s="19"/>
      <c r="H279" s="18">
        <f t="shared" si="68"/>
        <v>50</v>
      </c>
      <c r="I279" s="19"/>
      <c r="J279" s="18">
        <f t="shared" si="69"/>
        <v>50</v>
      </c>
      <c r="K279" s="19"/>
      <c r="L279" s="18">
        <f t="shared" si="70"/>
        <v>50</v>
      </c>
      <c r="M279" s="19"/>
      <c r="N279" s="18">
        <f t="shared" si="71"/>
        <v>50</v>
      </c>
      <c r="O279" s="96">
        <v>-50</v>
      </c>
      <c r="P279" s="18">
        <f t="shared" si="72"/>
        <v>0</v>
      </c>
      <c r="Q279" s="64"/>
      <c r="R279" s="18">
        <f t="shared" si="73"/>
        <v>0</v>
      </c>
      <c r="S279" s="64"/>
      <c r="T279" s="18">
        <f t="shared" si="74"/>
        <v>0</v>
      </c>
      <c r="U279" s="64"/>
      <c r="V279" s="18">
        <f t="shared" si="75"/>
        <v>0</v>
      </c>
      <c r="W279" s="64"/>
      <c r="X279" s="18">
        <f t="shared" si="76"/>
        <v>0</v>
      </c>
      <c r="Z279" s="43">
        <f t="shared" si="83"/>
        <v>0</v>
      </c>
      <c r="AA279" s="43"/>
    </row>
    <row r="280" spans="1:27" ht="24.75" x14ac:dyDescent="0.25">
      <c r="A280" s="13" t="s">
        <v>258</v>
      </c>
      <c r="B280" s="24" t="s">
        <v>378</v>
      </c>
      <c r="C280" s="24" t="s">
        <v>2</v>
      </c>
      <c r="D280" s="18">
        <f>D281</f>
        <v>370.9</v>
      </c>
      <c r="E280" s="18">
        <f>E281</f>
        <v>0</v>
      </c>
      <c r="F280" s="18">
        <f t="shared" si="67"/>
        <v>370.9</v>
      </c>
      <c r="G280" s="18">
        <f>G281</f>
        <v>0</v>
      </c>
      <c r="H280" s="18">
        <f t="shared" si="68"/>
        <v>370.9</v>
      </c>
      <c r="I280" s="18">
        <f>I281</f>
        <v>0</v>
      </c>
      <c r="J280" s="18">
        <f t="shared" si="69"/>
        <v>370.9</v>
      </c>
      <c r="K280" s="18">
        <f>K281</f>
        <v>0</v>
      </c>
      <c r="L280" s="18">
        <f t="shared" si="70"/>
        <v>370.9</v>
      </c>
      <c r="M280" s="18">
        <f>M281</f>
        <v>0</v>
      </c>
      <c r="N280" s="18">
        <f t="shared" si="71"/>
        <v>370.9</v>
      </c>
      <c r="O280" s="18">
        <f>O281</f>
        <v>0</v>
      </c>
      <c r="P280" s="18">
        <f t="shared" si="72"/>
        <v>370.9</v>
      </c>
      <c r="Q280" s="18">
        <f>Q281</f>
        <v>0</v>
      </c>
      <c r="R280" s="18">
        <f t="shared" si="73"/>
        <v>370.9</v>
      </c>
      <c r="S280" s="18">
        <f>S281</f>
        <v>0</v>
      </c>
      <c r="T280" s="18">
        <f t="shared" si="74"/>
        <v>370.9</v>
      </c>
      <c r="U280" s="18">
        <f>U281</f>
        <v>0</v>
      </c>
      <c r="V280" s="18">
        <f t="shared" si="75"/>
        <v>370.9</v>
      </c>
      <c r="W280" s="18">
        <f>W281</f>
        <v>-60</v>
      </c>
      <c r="X280" s="18">
        <f t="shared" si="76"/>
        <v>310.89999999999998</v>
      </c>
    </row>
    <row r="281" spans="1:27" ht="24.75" x14ac:dyDescent="0.25">
      <c r="A281" s="9" t="s">
        <v>505</v>
      </c>
      <c r="B281" s="25" t="s">
        <v>378</v>
      </c>
      <c r="C281" s="25" t="s">
        <v>260</v>
      </c>
      <c r="D281" s="19">
        <v>370.9</v>
      </c>
      <c r="E281" s="19"/>
      <c r="F281" s="18">
        <f t="shared" si="67"/>
        <v>370.9</v>
      </c>
      <c r="G281" s="19"/>
      <c r="H281" s="18">
        <f t="shared" si="68"/>
        <v>370.9</v>
      </c>
      <c r="I281" s="19"/>
      <c r="J281" s="18">
        <f t="shared" si="69"/>
        <v>370.9</v>
      </c>
      <c r="K281" s="19"/>
      <c r="L281" s="18">
        <f t="shared" si="70"/>
        <v>370.9</v>
      </c>
      <c r="M281" s="19"/>
      <c r="N281" s="18">
        <f t="shared" si="71"/>
        <v>370.9</v>
      </c>
      <c r="O281" s="19"/>
      <c r="P281" s="18">
        <f t="shared" si="72"/>
        <v>370.9</v>
      </c>
      <c r="Q281" s="19"/>
      <c r="R281" s="18">
        <f t="shared" si="73"/>
        <v>370.9</v>
      </c>
      <c r="S281" s="64"/>
      <c r="T281" s="18">
        <f t="shared" si="74"/>
        <v>370.9</v>
      </c>
      <c r="U281" s="64"/>
      <c r="V281" s="18">
        <f t="shared" si="75"/>
        <v>370.9</v>
      </c>
      <c r="W281" s="44">
        <v>-60</v>
      </c>
      <c r="X281" s="18">
        <f t="shared" si="76"/>
        <v>310.89999999999998</v>
      </c>
      <c r="Z281" s="43">
        <f>X281+Y281</f>
        <v>310.89999999999998</v>
      </c>
      <c r="AA281" s="43"/>
    </row>
    <row r="282" spans="1:27" ht="24.75" x14ac:dyDescent="0.25">
      <c r="A282" s="13" t="s">
        <v>381</v>
      </c>
      <c r="B282" s="24" t="s">
        <v>382</v>
      </c>
      <c r="C282" s="24" t="s">
        <v>2</v>
      </c>
      <c r="D282" s="18">
        <f>D283</f>
        <v>1752.8000000000002</v>
      </c>
      <c r="E282" s="18">
        <f>E283</f>
        <v>0</v>
      </c>
      <c r="F282" s="18">
        <f t="shared" si="67"/>
        <v>1752.8000000000002</v>
      </c>
      <c r="G282" s="18">
        <f>G283</f>
        <v>0</v>
      </c>
      <c r="H282" s="18">
        <f t="shared" si="68"/>
        <v>1752.8000000000002</v>
      </c>
      <c r="I282" s="18">
        <f>I283</f>
        <v>0</v>
      </c>
      <c r="J282" s="18">
        <f t="shared" si="69"/>
        <v>1752.8000000000002</v>
      </c>
      <c r="K282" s="18">
        <f>K283</f>
        <v>0</v>
      </c>
      <c r="L282" s="18">
        <f t="shared" si="70"/>
        <v>1752.8000000000002</v>
      </c>
      <c r="M282" s="18">
        <f>M283</f>
        <v>0</v>
      </c>
      <c r="N282" s="18">
        <f t="shared" si="71"/>
        <v>1752.8000000000002</v>
      </c>
      <c r="O282" s="18">
        <f>O283</f>
        <v>0</v>
      </c>
      <c r="P282" s="18">
        <f t="shared" si="72"/>
        <v>1752.8000000000002</v>
      </c>
      <c r="Q282" s="18">
        <f>Q283</f>
        <v>0</v>
      </c>
      <c r="R282" s="18">
        <f t="shared" si="73"/>
        <v>1752.8000000000002</v>
      </c>
      <c r="S282" s="18">
        <f>S283</f>
        <v>0</v>
      </c>
      <c r="T282" s="18">
        <f t="shared" si="74"/>
        <v>1752.8000000000002</v>
      </c>
      <c r="U282" s="18">
        <f>U283</f>
        <v>0</v>
      </c>
      <c r="V282" s="18">
        <f t="shared" si="75"/>
        <v>1752.8000000000002</v>
      </c>
      <c r="W282" s="18">
        <f>W283</f>
        <v>1100</v>
      </c>
      <c r="X282" s="18">
        <f t="shared" si="76"/>
        <v>2852.8</v>
      </c>
    </row>
    <row r="283" spans="1:27" ht="36.75" x14ac:dyDescent="0.25">
      <c r="A283" s="9" t="s">
        <v>510</v>
      </c>
      <c r="B283" s="25" t="s">
        <v>382</v>
      </c>
      <c r="C283" s="25" t="s">
        <v>68</v>
      </c>
      <c r="D283" s="19">
        <v>1752.8000000000002</v>
      </c>
      <c r="E283" s="19"/>
      <c r="F283" s="18">
        <f t="shared" si="67"/>
        <v>1752.8000000000002</v>
      </c>
      <c r="G283" s="19"/>
      <c r="H283" s="18">
        <f t="shared" si="68"/>
        <v>1752.8000000000002</v>
      </c>
      <c r="I283" s="19"/>
      <c r="J283" s="18">
        <f t="shared" si="69"/>
        <v>1752.8000000000002</v>
      </c>
      <c r="K283" s="19"/>
      <c r="L283" s="18">
        <f t="shared" si="70"/>
        <v>1752.8000000000002</v>
      </c>
      <c r="M283" s="19"/>
      <c r="N283" s="18">
        <f t="shared" si="71"/>
        <v>1752.8000000000002</v>
      </c>
      <c r="O283" s="19"/>
      <c r="P283" s="18">
        <f t="shared" si="72"/>
        <v>1752.8000000000002</v>
      </c>
      <c r="Q283" s="19"/>
      <c r="R283" s="18">
        <f t="shared" si="73"/>
        <v>1752.8000000000002</v>
      </c>
      <c r="S283" s="64"/>
      <c r="T283" s="18">
        <f t="shared" si="74"/>
        <v>1752.8000000000002</v>
      </c>
      <c r="U283" s="64"/>
      <c r="V283" s="18">
        <f t="shared" si="75"/>
        <v>1752.8000000000002</v>
      </c>
      <c r="W283" s="44">
        <v>1100</v>
      </c>
      <c r="X283" s="18">
        <f t="shared" si="76"/>
        <v>2852.8</v>
      </c>
      <c r="Y283" s="43">
        <v>1100</v>
      </c>
      <c r="Z283" s="43">
        <f>X283+Y283</f>
        <v>3952.8</v>
      </c>
      <c r="AA283" s="43"/>
    </row>
    <row r="284" spans="1:27" x14ac:dyDescent="0.25">
      <c r="A284" s="13" t="s">
        <v>103</v>
      </c>
      <c r="B284" s="24" t="s">
        <v>383</v>
      </c>
      <c r="C284" s="24" t="s">
        <v>2</v>
      </c>
      <c r="D284" s="18">
        <f>D285</f>
        <v>4357.2</v>
      </c>
      <c r="E284" s="18">
        <f>E285</f>
        <v>0</v>
      </c>
      <c r="F284" s="18">
        <f t="shared" si="67"/>
        <v>4357.2</v>
      </c>
      <c r="G284" s="18">
        <f>G285</f>
        <v>0</v>
      </c>
      <c r="H284" s="18">
        <f t="shared" si="68"/>
        <v>4357.2</v>
      </c>
      <c r="I284" s="18">
        <f>I285</f>
        <v>0</v>
      </c>
      <c r="J284" s="18">
        <f t="shared" si="69"/>
        <v>4357.2</v>
      </c>
      <c r="K284" s="18">
        <f>K285</f>
        <v>0</v>
      </c>
      <c r="L284" s="18">
        <f t="shared" si="70"/>
        <v>4357.2</v>
      </c>
      <c r="M284" s="18">
        <f>M285</f>
        <v>0</v>
      </c>
      <c r="N284" s="18">
        <f t="shared" si="71"/>
        <v>4357.2</v>
      </c>
      <c r="O284" s="18">
        <f>O285</f>
        <v>0</v>
      </c>
      <c r="P284" s="18">
        <f t="shared" si="72"/>
        <v>4357.2</v>
      </c>
      <c r="Q284" s="18">
        <f>Q285</f>
        <v>0</v>
      </c>
      <c r="R284" s="18">
        <f t="shared" si="73"/>
        <v>4357.2</v>
      </c>
      <c r="S284" s="18">
        <f>S285</f>
        <v>0</v>
      </c>
      <c r="T284" s="18">
        <f t="shared" si="74"/>
        <v>4357.2</v>
      </c>
      <c r="U284" s="18">
        <f>U285</f>
        <v>0</v>
      </c>
      <c r="V284" s="18">
        <f t="shared" si="75"/>
        <v>4357.2</v>
      </c>
      <c r="W284" s="18">
        <f>W285</f>
        <v>0</v>
      </c>
      <c r="X284" s="18">
        <f t="shared" si="76"/>
        <v>4357.2</v>
      </c>
    </row>
    <row r="285" spans="1:27" ht="15.75" customHeight="1" x14ac:dyDescent="0.25">
      <c r="A285" s="8" t="s">
        <v>512</v>
      </c>
      <c r="B285" s="25" t="s">
        <v>383</v>
      </c>
      <c r="C285" s="25" t="s">
        <v>384</v>
      </c>
      <c r="D285" s="19">
        <v>4357.2</v>
      </c>
      <c r="E285" s="19"/>
      <c r="F285" s="18">
        <f t="shared" si="67"/>
        <v>4357.2</v>
      </c>
      <c r="G285" s="19"/>
      <c r="H285" s="18">
        <f t="shared" si="68"/>
        <v>4357.2</v>
      </c>
      <c r="I285" s="19"/>
      <c r="J285" s="18">
        <f t="shared" si="69"/>
        <v>4357.2</v>
      </c>
      <c r="K285" s="19"/>
      <c r="L285" s="18">
        <f t="shared" si="70"/>
        <v>4357.2</v>
      </c>
      <c r="M285" s="19"/>
      <c r="N285" s="18">
        <f t="shared" si="71"/>
        <v>4357.2</v>
      </c>
      <c r="O285" s="19"/>
      <c r="P285" s="18">
        <f t="shared" si="72"/>
        <v>4357.2</v>
      </c>
      <c r="Q285" s="19"/>
      <c r="R285" s="18">
        <f t="shared" si="73"/>
        <v>4357.2</v>
      </c>
      <c r="S285" s="64"/>
      <c r="T285" s="18">
        <f t="shared" si="74"/>
        <v>4357.2</v>
      </c>
      <c r="U285" s="64"/>
      <c r="V285" s="18">
        <f t="shared" si="75"/>
        <v>4357.2</v>
      </c>
      <c r="W285" s="64"/>
      <c r="X285" s="18">
        <f t="shared" si="76"/>
        <v>4357.2</v>
      </c>
      <c r="Z285" s="43">
        <f>X285+Y285</f>
        <v>4357.2</v>
      </c>
      <c r="AA285" s="43"/>
    </row>
    <row r="286" spans="1:27" ht="15.75" customHeight="1" x14ac:dyDescent="0.25">
      <c r="A286" s="33" t="s">
        <v>693</v>
      </c>
      <c r="B286" s="26" t="s">
        <v>694</v>
      </c>
      <c r="C286" s="27"/>
      <c r="D286" s="19"/>
      <c r="E286" s="19"/>
      <c r="F286" s="18"/>
      <c r="G286" s="19"/>
      <c r="H286" s="18"/>
      <c r="I286" s="19"/>
      <c r="J286" s="18"/>
      <c r="K286" s="20">
        <f>K287+K288</f>
        <v>1317.1</v>
      </c>
      <c r="L286" s="18">
        <f t="shared" si="70"/>
        <v>1317.1</v>
      </c>
      <c r="M286" s="20">
        <f>M287+M288</f>
        <v>0</v>
      </c>
      <c r="N286" s="18">
        <f t="shared" si="71"/>
        <v>1317.1</v>
      </c>
      <c r="O286" s="20">
        <f>O287+O288</f>
        <v>0</v>
      </c>
      <c r="P286" s="18">
        <f t="shared" si="72"/>
        <v>1317.1</v>
      </c>
      <c r="Q286" s="20">
        <f>Q287+Q288</f>
        <v>0</v>
      </c>
      <c r="R286" s="18">
        <f t="shared" si="73"/>
        <v>1317.1</v>
      </c>
      <c r="S286" s="20">
        <f>S287+S288</f>
        <v>0</v>
      </c>
      <c r="T286" s="18">
        <f t="shared" si="74"/>
        <v>1317.1</v>
      </c>
      <c r="U286" s="20">
        <f>U287+U288</f>
        <v>0</v>
      </c>
      <c r="V286" s="18">
        <f t="shared" si="75"/>
        <v>1317.1</v>
      </c>
      <c r="W286" s="20">
        <f>W287+W288</f>
        <v>0</v>
      </c>
      <c r="X286" s="18">
        <f t="shared" si="76"/>
        <v>1317.1</v>
      </c>
    </row>
    <row r="287" spans="1:27" ht="15.75" customHeight="1" x14ac:dyDescent="0.25">
      <c r="A287" s="8" t="s">
        <v>511</v>
      </c>
      <c r="B287" s="27" t="s">
        <v>694</v>
      </c>
      <c r="C287" s="27" t="s">
        <v>66</v>
      </c>
      <c r="D287" s="19"/>
      <c r="E287" s="19"/>
      <c r="F287" s="18"/>
      <c r="G287" s="19"/>
      <c r="H287" s="18"/>
      <c r="I287" s="19"/>
      <c r="J287" s="18"/>
      <c r="K287" s="45">
        <v>1304</v>
      </c>
      <c r="L287" s="18">
        <f t="shared" si="70"/>
        <v>1304</v>
      </c>
      <c r="M287" s="64"/>
      <c r="N287" s="18">
        <f t="shared" si="71"/>
        <v>1304</v>
      </c>
      <c r="O287" s="64"/>
      <c r="P287" s="18">
        <f t="shared" si="72"/>
        <v>1304</v>
      </c>
      <c r="Q287" s="64"/>
      <c r="R287" s="18">
        <f t="shared" si="73"/>
        <v>1304</v>
      </c>
      <c r="S287" s="64"/>
      <c r="T287" s="18">
        <f t="shared" si="74"/>
        <v>1304</v>
      </c>
      <c r="U287" s="64"/>
      <c r="V287" s="18">
        <f t="shared" si="75"/>
        <v>1304</v>
      </c>
      <c r="W287" s="64"/>
      <c r="X287" s="18">
        <f t="shared" si="76"/>
        <v>1304</v>
      </c>
      <c r="Z287" s="43">
        <f t="shared" ref="Z287:Z288" si="84">X287+Y287</f>
        <v>1304</v>
      </c>
      <c r="AA287" s="43"/>
    </row>
    <row r="288" spans="1:27" ht="15.75" customHeight="1" x14ac:dyDescent="0.25">
      <c r="A288" s="8" t="s">
        <v>511</v>
      </c>
      <c r="B288" s="27" t="s">
        <v>694</v>
      </c>
      <c r="C288" s="27" t="s">
        <v>66</v>
      </c>
      <c r="D288" s="19"/>
      <c r="E288" s="19"/>
      <c r="F288" s="18"/>
      <c r="G288" s="19"/>
      <c r="H288" s="18"/>
      <c r="I288" s="19"/>
      <c r="J288" s="18"/>
      <c r="K288" s="44">
        <v>13.1</v>
      </c>
      <c r="L288" s="18">
        <f t="shared" si="70"/>
        <v>13.1</v>
      </c>
      <c r="M288" s="64"/>
      <c r="N288" s="18">
        <f t="shared" si="71"/>
        <v>13.1</v>
      </c>
      <c r="O288" s="64"/>
      <c r="P288" s="18">
        <f t="shared" si="72"/>
        <v>13.1</v>
      </c>
      <c r="Q288" s="64"/>
      <c r="R288" s="18">
        <f t="shared" si="73"/>
        <v>13.1</v>
      </c>
      <c r="S288" s="64"/>
      <c r="T288" s="18">
        <f t="shared" si="74"/>
        <v>13.1</v>
      </c>
      <c r="U288" s="64"/>
      <c r="V288" s="18">
        <f t="shared" si="75"/>
        <v>13.1</v>
      </c>
      <c r="W288" s="64"/>
      <c r="X288" s="18">
        <f t="shared" si="76"/>
        <v>13.1</v>
      </c>
      <c r="Z288" s="43">
        <f t="shared" si="84"/>
        <v>13.1</v>
      </c>
      <c r="AA288" s="43"/>
    </row>
    <row r="289" spans="1:27" ht="15.75" customHeight="1" x14ac:dyDescent="0.25">
      <c r="A289" s="33" t="s">
        <v>704</v>
      </c>
      <c r="B289" s="26" t="s">
        <v>705</v>
      </c>
      <c r="C289" s="27"/>
      <c r="D289" s="19"/>
      <c r="E289" s="19"/>
      <c r="F289" s="18"/>
      <c r="G289" s="19"/>
      <c r="H289" s="18"/>
      <c r="I289" s="19"/>
      <c r="J289" s="18"/>
      <c r="K289" s="47">
        <f>K290+K291</f>
        <v>106.1</v>
      </c>
      <c r="L289" s="18">
        <f t="shared" si="70"/>
        <v>106.1</v>
      </c>
      <c r="M289" s="47">
        <f>M290+M291</f>
        <v>0</v>
      </c>
      <c r="N289" s="18">
        <f t="shared" si="71"/>
        <v>106.1</v>
      </c>
      <c r="O289" s="47">
        <f>O290+O291</f>
        <v>0</v>
      </c>
      <c r="P289" s="18">
        <f t="shared" si="72"/>
        <v>106.1</v>
      </c>
      <c r="Q289" s="47">
        <f>Q290+Q291</f>
        <v>0</v>
      </c>
      <c r="R289" s="18">
        <f t="shared" si="73"/>
        <v>106.1</v>
      </c>
      <c r="S289" s="47">
        <f>S290+S291</f>
        <v>0</v>
      </c>
      <c r="T289" s="18">
        <f t="shared" si="74"/>
        <v>106.1</v>
      </c>
      <c r="U289" s="47">
        <f>U290+U291</f>
        <v>0</v>
      </c>
      <c r="V289" s="18">
        <f t="shared" si="75"/>
        <v>106.1</v>
      </c>
      <c r="W289" s="47">
        <f>W290+W291</f>
        <v>0</v>
      </c>
      <c r="X289" s="18">
        <f t="shared" si="76"/>
        <v>106.1</v>
      </c>
    </row>
    <row r="290" spans="1:27" ht="15.75" customHeight="1" x14ac:dyDescent="0.25">
      <c r="A290" s="8" t="s">
        <v>511</v>
      </c>
      <c r="B290" s="27" t="s">
        <v>705</v>
      </c>
      <c r="C290" s="27" t="s">
        <v>66</v>
      </c>
      <c r="D290" s="19"/>
      <c r="E290" s="19"/>
      <c r="F290" s="18"/>
      <c r="G290" s="19"/>
      <c r="H290" s="18"/>
      <c r="I290" s="19"/>
      <c r="J290" s="18"/>
      <c r="K290" s="45">
        <v>105</v>
      </c>
      <c r="L290" s="18">
        <f t="shared" si="70"/>
        <v>105</v>
      </c>
      <c r="M290" s="64"/>
      <c r="N290" s="18">
        <f t="shared" si="71"/>
        <v>105</v>
      </c>
      <c r="O290" s="64"/>
      <c r="P290" s="18">
        <f t="shared" si="72"/>
        <v>105</v>
      </c>
      <c r="Q290" s="64"/>
      <c r="R290" s="18">
        <f t="shared" si="73"/>
        <v>105</v>
      </c>
      <c r="S290" s="64"/>
      <c r="T290" s="18">
        <f t="shared" si="74"/>
        <v>105</v>
      </c>
      <c r="U290" s="64"/>
      <c r="V290" s="18">
        <f t="shared" si="75"/>
        <v>105</v>
      </c>
      <c r="W290" s="64"/>
      <c r="X290" s="18">
        <f t="shared" si="76"/>
        <v>105</v>
      </c>
      <c r="Z290" s="43">
        <f t="shared" ref="Z290:Z291" si="85">X290+Y290</f>
        <v>105</v>
      </c>
      <c r="AA290" s="43"/>
    </row>
    <row r="291" spans="1:27" ht="15.75" customHeight="1" x14ac:dyDescent="0.25">
      <c r="A291" s="8" t="s">
        <v>511</v>
      </c>
      <c r="B291" s="27" t="s">
        <v>705</v>
      </c>
      <c r="C291" s="27" t="s">
        <v>66</v>
      </c>
      <c r="D291" s="19"/>
      <c r="E291" s="19"/>
      <c r="F291" s="18"/>
      <c r="G291" s="19"/>
      <c r="H291" s="18"/>
      <c r="I291" s="19"/>
      <c r="J291" s="18"/>
      <c r="K291" s="44">
        <v>1.1000000000000001</v>
      </c>
      <c r="L291" s="18">
        <f t="shared" si="70"/>
        <v>1.1000000000000001</v>
      </c>
      <c r="M291" s="64"/>
      <c r="N291" s="18">
        <f t="shared" si="71"/>
        <v>1.1000000000000001</v>
      </c>
      <c r="O291" s="64"/>
      <c r="P291" s="18">
        <f t="shared" si="72"/>
        <v>1.1000000000000001</v>
      </c>
      <c r="Q291" s="64"/>
      <c r="R291" s="18">
        <f t="shared" si="73"/>
        <v>1.1000000000000001</v>
      </c>
      <c r="S291" s="64"/>
      <c r="T291" s="18">
        <f t="shared" si="74"/>
        <v>1.1000000000000001</v>
      </c>
      <c r="U291" s="64"/>
      <c r="V291" s="18">
        <f t="shared" si="75"/>
        <v>1.1000000000000001</v>
      </c>
      <c r="W291" s="64"/>
      <c r="X291" s="18">
        <f t="shared" si="76"/>
        <v>1.1000000000000001</v>
      </c>
      <c r="Z291" s="43">
        <f t="shared" si="85"/>
        <v>1.1000000000000001</v>
      </c>
      <c r="AA291" s="43"/>
    </row>
    <row r="292" spans="1:27" ht="24.75" x14ac:dyDescent="0.25">
      <c r="A292" s="16" t="s">
        <v>471</v>
      </c>
      <c r="B292" s="22" t="s">
        <v>315</v>
      </c>
      <c r="C292" s="22" t="s">
        <v>2</v>
      </c>
      <c r="D292" s="17">
        <f>D293+D296</f>
        <v>10627.7</v>
      </c>
      <c r="E292" s="17">
        <f>E293+E296</f>
        <v>0</v>
      </c>
      <c r="F292" s="17">
        <f t="shared" si="67"/>
        <v>10627.7</v>
      </c>
      <c r="G292" s="17">
        <f>G293+G296</f>
        <v>0</v>
      </c>
      <c r="H292" s="17">
        <f t="shared" si="68"/>
        <v>10627.7</v>
      </c>
      <c r="I292" s="17">
        <f>I293+I296</f>
        <v>0</v>
      </c>
      <c r="J292" s="17">
        <f t="shared" si="69"/>
        <v>10627.7</v>
      </c>
      <c r="K292" s="17">
        <f>K293+K296</f>
        <v>0</v>
      </c>
      <c r="L292" s="17">
        <f t="shared" si="70"/>
        <v>10627.7</v>
      </c>
      <c r="M292" s="17">
        <f>M293+M296</f>
        <v>1035.9000000000001</v>
      </c>
      <c r="N292" s="17">
        <f t="shared" si="71"/>
        <v>11663.6</v>
      </c>
      <c r="O292" s="17">
        <f>O293+O296</f>
        <v>0</v>
      </c>
      <c r="P292" s="17">
        <f t="shared" si="72"/>
        <v>11663.6</v>
      </c>
      <c r="Q292" s="17">
        <f>Q293+Q296</f>
        <v>0</v>
      </c>
      <c r="R292" s="17">
        <f t="shared" si="73"/>
        <v>11663.6</v>
      </c>
      <c r="S292" s="17">
        <f>S293+S296</f>
        <v>0</v>
      </c>
      <c r="T292" s="17">
        <f t="shared" si="74"/>
        <v>11663.6</v>
      </c>
      <c r="U292" s="17">
        <f>U293+U296</f>
        <v>0</v>
      </c>
      <c r="V292" s="17">
        <f t="shared" si="75"/>
        <v>11663.6</v>
      </c>
      <c r="W292" s="17">
        <f>W293+W296</f>
        <v>0</v>
      </c>
      <c r="X292" s="17">
        <f t="shared" si="76"/>
        <v>11663.6</v>
      </c>
    </row>
    <row r="293" spans="1:27" ht="24.75" x14ac:dyDescent="0.25">
      <c r="A293" s="13" t="s">
        <v>472</v>
      </c>
      <c r="B293" s="24" t="s">
        <v>316</v>
      </c>
      <c r="C293" s="24" t="s">
        <v>2</v>
      </c>
      <c r="D293" s="18">
        <f>D294</f>
        <v>10055.6</v>
      </c>
      <c r="E293" s="18">
        <f>E294</f>
        <v>0</v>
      </c>
      <c r="F293" s="18">
        <f t="shared" si="67"/>
        <v>10055.6</v>
      </c>
      <c r="G293" s="18">
        <f>G294</f>
        <v>0</v>
      </c>
      <c r="H293" s="18">
        <f t="shared" si="68"/>
        <v>10055.6</v>
      </c>
      <c r="I293" s="18">
        <f>I294</f>
        <v>0</v>
      </c>
      <c r="J293" s="18">
        <f t="shared" si="69"/>
        <v>10055.6</v>
      </c>
      <c r="K293" s="18">
        <f>K294</f>
        <v>0</v>
      </c>
      <c r="L293" s="18">
        <f t="shared" si="70"/>
        <v>10055.6</v>
      </c>
      <c r="M293" s="18">
        <f>M294</f>
        <v>0</v>
      </c>
      <c r="N293" s="18">
        <f t="shared" si="71"/>
        <v>10055.6</v>
      </c>
      <c r="O293" s="18">
        <f>O294</f>
        <v>0</v>
      </c>
      <c r="P293" s="18">
        <f t="shared" si="72"/>
        <v>10055.6</v>
      </c>
      <c r="Q293" s="18">
        <f>Q294</f>
        <v>0</v>
      </c>
      <c r="R293" s="18">
        <f t="shared" si="73"/>
        <v>10055.6</v>
      </c>
      <c r="S293" s="18">
        <f>S294</f>
        <v>0</v>
      </c>
      <c r="T293" s="18">
        <f t="shared" si="74"/>
        <v>10055.6</v>
      </c>
      <c r="U293" s="18">
        <f>U294</f>
        <v>0</v>
      </c>
      <c r="V293" s="18">
        <f t="shared" si="75"/>
        <v>10055.6</v>
      </c>
      <c r="W293" s="18">
        <f>W294</f>
        <v>0</v>
      </c>
      <c r="X293" s="18">
        <f t="shared" si="76"/>
        <v>10055.6</v>
      </c>
    </row>
    <row r="294" spans="1:27" ht="27" customHeight="1" x14ac:dyDescent="0.25">
      <c r="A294" s="13" t="s">
        <v>30</v>
      </c>
      <c r="B294" s="24" t="s">
        <v>317</v>
      </c>
      <c r="C294" s="24" t="s">
        <v>2</v>
      </c>
      <c r="D294" s="18">
        <f>D295</f>
        <v>10055.6</v>
      </c>
      <c r="E294" s="18">
        <f>E295</f>
        <v>0</v>
      </c>
      <c r="F294" s="18">
        <f t="shared" si="67"/>
        <v>10055.6</v>
      </c>
      <c r="G294" s="18">
        <f>G295</f>
        <v>0</v>
      </c>
      <c r="H294" s="18">
        <f t="shared" si="68"/>
        <v>10055.6</v>
      </c>
      <c r="I294" s="18">
        <f>I295</f>
        <v>0</v>
      </c>
      <c r="J294" s="18">
        <f t="shared" si="69"/>
        <v>10055.6</v>
      </c>
      <c r="K294" s="18">
        <f>K295</f>
        <v>0</v>
      </c>
      <c r="L294" s="18">
        <f t="shared" si="70"/>
        <v>10055.6</v>
      </c>
      <c r="M294" s="18">
        <f>M295</f>
        <v>0</v>
      </c>
      <c r="N294" s="18">
        <f t="shared" si="71"/>
        <v>10055.6</v>
      </c>
      <c r="O294" s="18">
        <f>O295</f>
        <v>0</v>
      </c>
      <c r="P294" s="18">
        <f t="shared" si="72"/>
        <v>10055.6</v>
      </c>
      <c r="Q294" s="18">
        <f>Q295</f>
        <v>0</v>
      </c>
      <c r="R294" s="18">
        <f t="shared" si="73"/>
        <v>10055.6</v>
      </c>
      <c r="S294" s="18">
        <f>S295</f>
        <v>0</v>
      </c>
      <c r="T294" s="18">
        <f t="shared" si="74"/>
        <v>10055.6</v>
      </c>
      <c r="U294" s="18">
        <f>U295</f>
        <v>0</v>
      </c>
      <c r="V294" s="18">
        <f t="shared" si="75"/>
        <v>10055.6</v>
      </c>
      <c r="W294" s="18">
        <f>W295</f>
        <v>0</v>
      </c>
      <c r="X294" s="18">
        <f t="shared" si="76"/>
        <v>10055.6</v>
      </c>
    </row>
    <row r="295" spans="1:27" ht="36.75" x14ac:dyDescent="0.25">
      <c r="A295" s="9" t="s">
        <v>510</v>
      </c>
      <c r="B295" s="25" t="s">
        <v>317</v>
      </c>
      <c r="C295" s="25" t="s">
        <v>68</v>
      </c>
      <c r="D295" s="19">
        <v>10055.6</v>
      </c>
      <c r="E295" s="19"/>
      <c r="F295" s="18">
        <f t="shared" si="67"/>
        <v>10055.6</v>
      </c>
      <c r="G295" s="19"/>
      <c r="H295" s="18">
        <f t="shared" si="68"/>
        <v>10055.6</v>
      </c>
      <c r="I295" s="19"/>
      <c r="J295" s="18">
        <f t="shared" si="69"/>
        <v>10055.6</v>
      </c>
      <c r="K295" s="19"/>
      <c r="L295" s="18">
        <f t="shared" si="70"/>
        <v>10055.6</v>
      </c>
      <c r="M295" s="19"/>
      <c r="N295" s="18">
        <f t="shared" si="71"/>
        <v>10055.6</v>
      </c>
      <c r="O295" s="19"/>
      <c r="P295" s="18">
        <f t="shared" si="72"/>
        <v>10055.6</v>
      </c>
      <c r="Q295" s="19"/>
      <c r="R295" s="18">
        <f t="shared" si="73"/>
        <v>10055.6</v>
      </c>
      <c r="S295" s="64"/>
      <c r="T295" s="18">
        <f t="shared" si="74"/>
        <v>10055.6</v>
      </c>
      <c r="U295" s="64"/>
      <c r="V295" s="18">
        <f t="shared" si="75"/>
        <v>10055.6</v>
      </c>
      <c r="W295" s="64"/>
      <c r="X295" s="18">
        <f t="shared" si="76"/>
        <v>10055.6</v>
      </c>
      <c r="Z295" s="43">
        <f>X295+Y295</f>
        <v>10055.6</v>
      </c>
      <c r="AA295" s="43"/>
    </row>
    <row r="296" spans="1:27" ht="24.75" x14ac:dyDescent="0.25">
      <c r="A296" s="13" t="s">
        <v>318</v>
      </c>
      <c r="B296" s="24" t="s">
        <v>319</v>
      </c>
      <c r="C296" s="24" t="s">
        <v>2</v>
      </c>
      <c r="D296" s="18">
        <f>D299</f>
        <v>572.1</v>
      </c>
      <c r="E296" s="18">
        <f>E299</f>
        <v>0</v>
      </c>
      <c r="F296" s="18">
        <f t="shared" si="67"/>
        <v>572.1</v>
      </c>
      <c r="G296" s="18">
        <f>G299</f>
        <v>0</v>
      </c>
      <c r="H296" s="18">
        <f t="shared" si="68"/>
        <v>572.1</v>
      </c>
      <c r="I296" s="18">
        <f>I299</f>
        <v>0</v>
      </c>
      <c r="J296" s="18">
        <f t="shared" si="69"/>
        <v>572.1</v>
      </c>
      <c r="K296" s="18">
        <f>K299</f>
        <v>0</v>
      </c>
      <c r="L296" s="18">
        <f t="shared" si="70"/>
        <v>572.1</v>
      </c>
      <c r="M296" s="18">
        <f>M299+M297</f>
        <v>1035.9000000000001</v>
      </c>
      <c r="N296" s="18">
        <f t="shared" si="71"/>
        <v>1608</v>
      </c>
      <c r="O296" s="18">
        <f>O299+O297</f>
        <v>0</v>
      </c>
      <c r="P296" s="18">
        <f t="shared" si="72"/>
        <v>1608</v>
      </c>
      <c r="Q296" s="18">
        <f>Q299+Q297</f>
        <v>0</v>
      </c>
      <c r="R296" s="18">
        <f t="shared" si="73"/>
        <v>1608</v>
      </c>
      <c r="S296" s="18">
        <f>S299+S297</f>
        <v>0</v>
      </c>
      <c r="T296" s="18">
        <f t="shared" si="74"/>
        <v>1608</v>
      </c>
      <c r="U296" s="18">
        <f>U299+U297</f>
        <v>0</v>
      </c>
      <c r="V296" s="18">
        <f t="shared" si="75"/>
        <v>1608</v>
      </c>
      <c r="W296" s="18">
        <f>W299+W297</f>
        <v>0</v>
      </c>
      <c r="X296" s="18">
        <f t="shared" si="76"/>
        <v>1608</v>
      </c>
    </row>
    <row r="297" spans="1:27" ht="24.75" x14ac:dyDescent="0.25">
      <c r="A297" s="13" t="s">
        <v>740</v>
      </c>
      <c r="B297" s="24" t="s">
        <v>741</v>
      </c>
      <c r="C297" s="24"/>
      <c r="D297" s="18"/>
      <c r="E297" s="18"/>
      <c r="F297" s="18"/>
      <c r="G297" s="18"/>
      <c r="H297" s="18"/>
      <c r="I297" s="18"/>
      <c r="J297" s="18"/>
      <c r="K297" s="18"/>
      <c r="L297" s="18"/>
      <c r="M297" s="18">
        <f>M298</f>
        <v>1035.9000000000001</v>
      </c>
      <c r="N297" s="18">
        <f t="shared" si="71"/>
        <v>1035.9000000000001</v>
      </c>
      <c r="O297" s="18">
        <f>O298</f>
        <v>0</v>
      </c>
      <c r="P297" s="18">
        <f t="shared" si="72"/>
        <v>1035.9000000000001</v>
      </c>
      <c r="Q297" s="18">
        <f>Q298</f>
        <v>0</v>
      </c>
      <c r="R297" s="18">
        <f t="shared" si="73"/>
        <v>1035.9000000000001</v>
      </c>
      <c r="S297" s="18">
        <f>S298</f>
        <v>0</v>
      </c>
      <c r="T297" s="18">
        <f t="shared" si="74"/>
        <v>1035.9000000000001</v>
      </c>
      <c r="U297" s="18">
        <f>U298</f>
        <v>0</v>
      </c>
      <c r="V297" s="18">
        <f t="shared" si="75"/>
        <v>1035.9000000000001</v>
      </c>
      <c r="W297" s="18">
        <f>W298</f>
        <v>0</v>
      </c>
      <c r="X297" s="18">
        <f t="shared" si="76"/>
        <v>1035.9000000000001</v>
      </c>
    </row>
    <row r="298" spans="1:27" x14ac:dyDescent="0.25">
      <c r="A298" s="51" t="s">
        <v>511</v>
      </c>
      <c r="B298" s="25" t="s">
        <v>741</v>
      </c>
      <c r="C298" s="25" t="s">
        <v>66</v>
      </c>
      <c r="D298" s="18"/>
      <c r="E298" s="18"/>
      <c r="F298" s="18"/>
      <c r="G298" s="18"/>
      <c r="H298" s="18"/>
      <c r="I298" s="18"/>
      <c r="J298" s="18"/>
      <c r="K298" s="18"/>
      <c r="L298" s="18"/>
      <c r="M298" s="45">
        <v>1035.9000000000001</v>
      </c>
      <c r="N298" s="18">
        <f t="shared" si="71"/>
        <v>1035.9000000000001</v>
      </c>
      <c r="O298" s="64"/>
      <c r="P298" s="18">
        <f t="shared" si="72"/>
        <v>1035.9000000000001</v>
      </c>
      <c r="Q298" s="64"/>
      <c r="R298" s="18">
        <f t="shared" si="73"/>
        <v>1035.9000000000001</v>
      </c>
      <c r="S298" s="64"/>
      <c r="T298" s="18">
        <f t="shared" si="74"/>
        <v>1035.9000000000001</v>
      </c>
      <c r="U298" s="64"/>
      <c r="V298" s="18">
        <f t="shared" si="75"/>
        <v>1035.9000000000001</v>
      </c>
      <c r="W298" s="64"/>
      <c r="X298" s="18">
        <f t="shared" si="76"/>
        <v>1035.9000000000001</v>
      </c>
      <c r="Z298" s="43">
        <f>X298+Y298</f>
        <v>1035.9000000000001</v>
      </c>
      <c r="AA298" s="43"/>
    </row>
    <row r="299" spans="1:27" ht="24.75" x14ac:dyDescent="0.25">
      <c r="A299" s="13" t="s">
        <v>320</v>
      </c>
      <c r="B299" s="24" t="s">
        <v>321</v>
      </c>
      <c r="C299" s="24" t="s">
        <v>2</v>
      </c>
      <c r="D299" s="18">
        <f>D300</f>
        <v>572.1</v>
      </c>
      <c r="E299" s="18">
        <f>E300</f>
        <v>0</v>
      </c>
      <c r="F299" s="18">
        <f t="shared" si="67"/>
        <v>572.1</v>
      </c>
      <c r="G299" s="18">
        <f>G300</f>
        <v>0</v>
      </c>
      <c r="H299" s="18">
        <f t="shared" si="68"/>
        <v>572.1</v>
      </c>
      <c r="I299" s="18">
        <f>I300</f>
        <v>0</v>
      </c>
      <c r="J299" s="18">
        <f t="shared" si="69"/>
        <v>572.1</v>
      </c>
      <c r="K299" s="18">
        <f>K300</f>
        <v>0</v>
      </c>
      <c r="L299" s="18">
        <f t="shared" si="70"/>
        <v>572.1</v>
      </c>
      <c r="M299" s="18">
        <f>M300</f>
        <v>0</v>
      </c>
      <c r="N299" s="18">
        <f t="shared" si="71"/>
        <v>572.1</v>
      </c>
      <c r="O299" s="18">
        <f>O300</f>
        <v>0</v>
      </c>
      <c r="P299" s="18">
        <f t="shared" si="72"/>
        <v>572.1</v>
      </c>
      <c r="Q299" s="18">
        <f>Q300</f>
        <v>0</v>
      </c>
      <c r="R299" s="18">
        <f t="shared" si="73"/>
        <v>572.1</v>
      </c>
      <c r="S299" s="18">
        <f>S300</f>
        <v>0</v>
      </c>
      <c r="T299" s="18">
        <f t="shared" si="74"/>
        <v>572.1</v>
      </c>
      <c r="U299" s="18">
        <f>U300</f>
        <v>0</v>
      </c>
      <c r="V299" s="18">
        <f t="shared" si="75"/>
        <v>572.1</v>
      </c>
      <c r="W299" s="18">
        <f>W300</f>
        <v>0</v>
      </c>
      <c r="X299" s="18">
        <f t="shared" si="76"/>
        <v>572.1</v>
      </c>
    </row>
    <row r="300" spans="1:27" x14ac:dyDescent="0.25">
      <c r="A300" s="9" t="s">
        <v>511</v>
      </c>
      <c r="B300" s="25" t="s">
        <v>321</v>
      </c>
      <c r="C300" s="25" t="s">
        <v>66</v>
      </c>
      <c r="D300" s="19">
        <v>572.1</v>
      </c>
      <c r="E300" s="19"/>
      <c r="F300" s="18">
        <f t="shared" si="67"/>
        <v>572.1</v>
      </c>
      <c r="G300" s="19"/>
      <c r="H300" s="18">
        <f t="shared" si="68"/>
        <v>572.1</v>
      </c>
      <c r="I300" s="19"/>
      <c r="J300" s="18">
        <f t="shared" si="69"/>
        <v>572.1</v>
      </c>
      <c r="K300" s="19"/>
      <c r="L300" s="18">
        <f t="shared" si="70"/>
        <v>572.1</v>
      </c>
      <c r="M300" s="19"/>
      <c r="N300" s="18">
        <f t="shared" si="71"/>
        <v>572.1</v>
      </c>
      <c r="O300" s="19"/>
      <c r="P300" s="18">
        <f t="shared" si="72"/>
        <v>572.1</v>
      </c>
      <c r="Q300" s="19"/>
      <c r="R300" s="18">
        <f t="shared" si="73"/>
        <v>572.1</v>
      </c>
      <c r="S300" s="64"/>
      <c r="T300" s="18">
        <f t="shared" si="74"/>
        <v>572.1</v>
      </c>
      <c r="U300" s="64"/>
      <c r="V300" s="18">
        <f t="shared" si="75"/>
        <v>572.1</v>
      </c>
      <c r="W300" s="64"/>
      <c r="X300" s="18">
        <f t="shared" si="76"/>
        <v>572.1</v>
      </c>
      <c r="Z300" s="43">
        <f>X300+Y300</f>
        <v>572.1</v>
      </c>
      <c r="AA300" s="43"/>
    </row>
    <row r="301" spans="1:27" ht="24.75" x14ac:dyDescent="0.25">
      <c r="A301" s="16" t="s">
        <v>473</v>
      </c>
      <c r="B301" s="22" t="s">
        <v>450</v>
      </c>
      <c r="C301" s="22" t="s">
        <v>2</v>
      </c>
      <c r="D301" s="17">
        <f>D302</f>
        <v>35662.800000000003</v>
      </c>
      <c r="E301" s="17">
        <f>E302</f>
        <v>66782</v>
      </c>
      <c r="F301" s="17">
        <f t="shared" si="67"/>
        <v>102444.8</v>
      </c>
      <c r="G301" s="17">
        <f>G302</f>
        <v>-66782</v>
      </c>
      <c r="H301" s="17">
        <f t="shared" si="68"/>
        <v>35662.800000000003</v>
      </c>
      <c r="I301" s="17">
        <f>I302</f>
        <v>13125</v>
      </c>
      <c r="J301" s="17">
        <f t="shared" si="69"/>
        <v>48787.8</v>
      </c>
      <c r="K301" s="17">
        <f>K302</f>
        <v>12732.1</v>
      </c>
      <c r="L301" s="17">
        <f t="shared" si="70"/>
        <v>61519.9</v>
      </c>
      <c r="M301" s="17">
        <f>M302</f>
        <v>1802.3000000000004</v>
      </c>
      <c r="N301" s="17">
        <f t="shared" si="71"/>
        <v>63322.200000000004</v>
      </c>
      <c r="O301" s="17">
        <f>O302</f>
        <v>-750</v>
      </c>
      <c r="P301" s="17">
        <f t="shared" si="72"/>
        <v>62572.200000000004</v>
      </c>
      <c r="Q301" s="17">
        <f>Q302</f>
        <v>-619.80000000000007</v>
      </c>
      <c r="R301" s="17">
        <f t="shared" si="73"/>
        <v>61952.4</v>
      </c>
      <c r="S301" s="17">
        <f>S302</f>
        <v>253.70000000000002</v>
      </c>
      <c r="T301" s="17">
        <f t="shared" si="74"/>
        <v>62206.1</v>
      </c>
      <c r="U301" s="17">
        <f>U302</f>
        <v>-1196.0999999999999</v>
      </c>
      <c r="V301" s="17">
        <f t="shared" si="75"/>
        <v>61010</v>
      </c>
      <c r="W301" s="17">
        <f>W302</f>
        <v>-1900</v>
      </c>
      <c r="X301" s="17">
        <f t="shared" si="76"/>
        <v>59110</v>
      </c>
    </row>
    <row r="302" spans="1:27" x14ac:dyDescent="0.25">
      <c r="A302" s="13" t="s">
        <v>451</v>
      </c>
      <c r="B302" s="24" t="s">
        <v>452</v>
      </c>
      <c r="C302" s="24" t="s">
        <v>2</v>
      </c>
      <c r="D302" s="18">
        <f>D310+D320+D324+D328+D330+D318</f>
        <v>35662.800000000003</v>
      </c>
      <c r="E302" s="18">
        <f>E310+E320+E324+E328+E330+E318+E303</f>
        <v>66782</v>
      </c>
      <c r="F302" s="18">
        <f t="shared" si="67"/>
        <v>102444.8</v>
      </c>
      <c r="G302" s="18">
        <f>G310+G320+G324+G328+G330+G318+G303+G313</f>
        <v>-66782</v>
      </c>
      <c r="H302" s="18">
        <f t="shared" si="68"/>
        <v>35662.800000000003</v>
      </c>
      <c r="I302" s="18">
        <f>I310+I320+I324+I328+I330+I318+I303+I313+I322</f>
        <v>13125</v>
      </c>
      <c r="J302" s="18">
        <f t="shared" si="69"/>
        <v>48787.8</v>
      </c>
      <c r="K302" s="18">
        <f>K310+K320+K324+K328+K330+K318+K303+K313+K322+K316+K306</f>
        <v>12732.1</v>
      </c>
      <c r="L302" s="18">
        <f t="shared" si="70"/>
        <v>61519.9</v>
      </c>
      <c r="M302" s="18">
        <f>M310+M320+M324+M328+M330+M318+M303+M313+M322+M316+M306</f>
        <v>1802.3000000000004</v>
      </c>
      <c r="N302" s="18">
        <f t="shared" si="71"/>
        <v>63322.200000000004</v>
      </c>
      <c r="O302" s="18">
        <f>O310+O320+O324+O328+O330+O318+O303+O313+O322+O316+O306</f>
        <v>-750</v>
      </c>
      <c r="P302" s="18">
        <f t="shared" si="72"/>
        <v>62572.200000000004</v>
      </c>
      <c r="Q302" s="18">
        <f>Q310+Q320+Q324+Q328+Q330+Q318+Q303+Q313+Q322+Q316+Q306+Q308</f>
        <v>-619.80000000000007</v>
      </c>
      <c r="R302" s="18">
        <f t="shared" si="73"/>
        <v>61952.4</v>
      </c>
      <c r="S302" s="18">
        <f>S310+S320+S324+S328+S330+S318+S303+S313+S322+S316+S306+S308</f>
        <v>253.70000000000002</v>
      </c>
      <c r="T302" s="18">
        <f t="shared" si="74"/>
        <v>62206.1</v>
      </c>
      <c r="U302" s="18">
        <f>U310+U320+U324+U328+U330+U318+U303+U313+U322+U316+U306+U308</f>
        <v>-1196.0999999999999</v>
      </c>
      <c r="V302" s="18">
        <f t="shared" si="75"/>
        <v>61010</v>
      </c>
      <c r="W302" s="18">
        <f>W310+W320+W324+W328+W330+W318+W303+W313+W322+W316+W306+W308</f>
        <v>-1900</v>
      </c>
      <c r="X302" s="18">
        <f t="shared" si="76"/>
        <v>59110</v>
      </c>
    </row>
    <row r="303" spans="1:27" ht="24.75" x14ac:dyDescent="0.25">
      <c r="A303" s="28" t="s">
        <v>205</v>
      </c>
      <c r="B303" s="29" t="s">
        <v>573</v>
      </c>
      <c r="C303" s="29" t="s">
        <v>2</v>
      </c>
      <c r="D303" s="18"/>
      <c r="E303" s="20">
        <f>E305</f>
        <v>66782</v>
      </c>
      <c r="F303" s="18">
        <f t="shared" si="67"/>
        <v>66782</v>
      </c>
      <c r="G303" s="20">
        <f>G305</f>
        <v>-66782</v>
      </c>
      <c r="H303" s="18">
        <f t="shared" si="68"/>
        <v>0</v>
      </c>
      <c r="I303" s="47">
        <f>I305</f>
        <v>0</v>
      </c>
      <c r="J303" s="18">
        <f t="shared" si="69"/>
        <v>0</v>
      </c>
      <c r="K303" s="47">
        <f>K304+K305</f>
        <v>6438.4</v>
      </c>
      <c r="L303" s="18">
        <f t="shared" si="70"/>
        <v>6438.4</v>
      </c>
      <c r="M303" s="47">
        <f>M304+M305</f>
        <v>0</v>
      </c>
      <c r="N303" s="18">
        <f t="shared" si="71"/>
        <v>6438.4</v>
      </c>
      <c r="O303" s="47">
        <f>O304+O305</f>
        <v>0</v>
      </c>
      <c r="P303" s="18">
        <f t="shared" si="72"/>
        <v>6438.4</v>
      </c>
      <c r="Q303" s="47">
        <f>Q304+Q305</f>
        <v>0</v>
      </c>
      <c r="R303" s="18">
        <f t="shared" si="73"/>
        <v>6438.4</v>
      </c>
      <c r="S303" s="47">
        <f>S304+S305</f>
        <v>0</v>
      </c>
      <c r="T303" s="18">
        <f t="shared" si="74"/>
        <v>6438.4</v>
      </c>
      <c r="U303" s="47">
        <f>U304+U305</f>
        <v>0</v>
      </c>
      <c r="V303" s="18">
        <f t="shared" si="75"/>
        <v>6438.4</v>
      </c>
      <c r="W303" s="47">
        <f>W304+W305</f>
        <v>0</v>
      </c>
      <c r="X303" s="18">
        <f t="shared" si="76"/>
        <v>6438.4</v>
      </c>
    </row>
    <row r="304" spans="1:27" x14ac:dyDescent="0.25">
      <c r="A304" s="7" t="s">
        <v>54</v>
      </c>
      <c r="B304" s="31" t="s">
        <v>573</v>
      </c>
      <c r="C304" s="31" t="s">
        <v>34</v>
      </c>
      <c r="D304" s="18"/>
      <c r="E304" s="20"/>
      <c r="F304" s="18"/>
      <c r="G304" s="20"/>
      <c r="H304" s="18"/>
      <c r="I304" s="47"/>
      <c r="J304" s="18"/>
      <c r="K304" s="45">
        <v>6438.4</v>
      </c>
      <c r="L304" s="18">
        <f t="shared" si="70"/>
        <v>6438.4</v>
      </c>
      <c r="M304" s="64"/>
      <c r="N304" s="18">
        <f t="shared" si="71"/>
        <v>6438.4</v>
      </c>
      <c r="O304" s="64"/>
      <c r="P304" s="18">
        <f t="shared" si="72"/>
        <v>6438.4</v>
      </c>
      <c r="Q304" s="64"/>
      <c r="R304" s="18">
        <f t="shared" si="73"/>
        <v>6438.4</v>
      </c>
      <c r="S304" s="64"/>
      <c r="T304" s="18">
        <f t="shared" si="74"/>
        <v>6438.4</v>
      </c>
      <c r="U304" s="64"/>
      <c r="V304" s="18">
        <f t="shared" si="75"/>
        <v>6438.4</v>
      </c>
      <c r="W304" s="64"/>
      <c r="X304" s="18">
        <f t="shared" si="76"/>
        <v>6438.4</v>
      </c>
      <c r="Z304" s="43">
        <f t="shared" ref="Z304:Z305" si="86">X304+Y304</f>
        <v>6438.4</v>
      </c>
      <c r="AA304" s="43"/>
    </row>
    <row r="305" spans="1:27" ht="24.75" hidden="1" x14ac:dyDescent="0.25">
      <c r="A305" s="7" t="s">
        <v>509</v>
      </c>
      <c r="B305" s="31" t="s">
        <v>573</v>
      </c>
      <c r="C305" s="31" t="s">
        <v>201</v>
      </c>
      <c r="D305" s="103"/>
      <c r="E305" s="55">
        <v>66782</v>
      </c>
      <c r="F305" s="103">
        <f t="shared" si="67"/>
        <v>66782</v>
      </c>
      <c r="G305" s="55">
        <v>-66782</v>
      </c>
      <c r="H305" s="103">
        <f t="shared" si="68"/>
        <v>0</v>
      </c>
      <c r="I305" s="77"/>
      <c r="J305" s="103">
        <f t="shared" si="69"/>
        <v>0</v>
      </c>
      <c r="K305" s="77"/>
      <c r="L305" s="103">
        <f t="shared" si="70"/>
        <v>0</v>
      </c>
      <c r="M305" s="77"/>
      <c r="N305" s="103">
        <f t="shared" si="71"/>
        <v>0</v>
      </c>
      <c r="O305" s="77"/>
      <c r="P305" s="103">
        <f t="shared" si="72"/>
        <v>0</v>
      </c>
      <c r="Q305" s="77"/>
      <c r="R305" s="103">
        <f t="shared" si="73"/>
        <v>0</v>
      </c>
      <c r="S305" s="77"/>
      <c r="T305" s="103">
        <f t="shared" si="74"/>
        <v>0</v>
      </c>
      <c r="U305" s="77"/>
      <c r="V305" s="103">
        <f t="shared" si="75"/>
        <v>0</v>
      </c>
      <c r="W305" s="77"/>
      <c r="X305" s="103">
        <f t="shared" si="76"/>
        <v>0</v>
      </c>
      <c r="Z305" s="43">
        <f t="shared" si="86"/>
        <v>0</v>
      </c>
      <c r="AA305" s="43"/>
    </row>
    <row r="306" spans="1:27" ht="24.75" x14ac:dyDescent="0.25">
      <c r="A306" s="33" t="s">
        <v>730</v>
      </c>
      <c r="B306" s="24" t="s">
        <v>731</v>
      </c>
      <c r="C306" s="26"/>
      <c r="D306" s="18"/>
      <c r="E306" s="45"/>
      <c r="F306" s="18"/>
      <c r="G306" s="45"/>
      <c r="H306" s="18"/>
      <c r="I306" s="64"/>
      <c r="J306" s="18"/>
      <c r="K306" s="20">
        <f>K307</f>
        <v>1200</v>
      </c>
      <c r="L306" s="18">
        <f t="shared" si="70"/>
        <v>1200</v>
      </c>
      <c r="M306" s="20">
        <f>M307</f>
        <v>0</v>
      </c>
      <c r="N306" s="18">
        <f t="shared" si="71"/>
        <v>1200</v>
      </c>
      <c r="O306" s="20">
        <f>O307</f>
        <v>0</v>
      </c>
      <c r="P306" s="18">
        <f t="shared" si="72"/>
        <v>1200</v>
      </c>
      <c r="Q306" s="20">
        <f>Q307</f>
        <v>0</v>
      </c>
      <c r="R306" s="18">
        <f t="shared" si="73"/>
        <v>1200</v>
      </c>
      <c r="S306" s="20">
        <f>S307</f>
        <v>0</v>
      </c>
      <c r="T306" s="18">
        <f t="shared" si="74"/>
        <v>1200</v>
      </c>
      <c r="U306" s="20">
        <f>U307</f>
        <v>0</v>
      </c>
      <c r="V306" s="18">
        <f t="shared" si="75"/>
        <v>1200</v>
      </c>
      <c r="W306" s="20">
        <f>W307</f>
        <v>0</v>
      </c>
      <c r="X306" s="18">
        <f t="shared" si="76"/>
        <v>1200</v>
      </c>
    </row>
    <row r="307" spans="1:27" x14ac:dyDescent="0.25">
      <c r="A307" s="8" t="s">
        <v>266</v>
      </c>
      <c r="B307" s="25" t="s">
        <v>731</v>
      </c>
      <c r="C307" s="27" t="s">
        <v>267</v>
      </c>
      <c r="D307" s="18"/>
      <c r="E307" s="45"/>
      <c r="F307" s="18"/>
      <c r="G307" s="45"/>
      <c r="H307" s="18"/>
      <c r="I307" s="64"/>
      <c r="J307" s="18"/>
      <c r="K307" s="45">
        <v>1200</v>
      </c>
      <c r="L307" s="18">
        <f t="shared" si="70"/>
        <v>1200</v>
      </c>
      <c r="M307" s="64"/>
      <c r="N307" s="18">
        <f t="shared" si="71"/>
        <v>1200</v>
      </c>
      <c r="O307" s="64"/>
      <c r="P307" s="18">
        <f t="shared" si="72"/>
        <v>1200</v>
      </c>
      <c r="Q307" s="64"/>
      <c r="R307" s="18">
        <f t="shared" si="73"/>
        <v>1200</v>
      </c>
      <c r="S307" s="64"/>
      <c r="T307" s="18">
        <f t="shared" si="74"/>
        <v>1200</v>
      </c>
      <c r="U307" s="64"/>
      <c r="V307" s="18">
        <f t="shared" si="75"/>
        <v>1200</v>
      </c>
      <c r="W307" s="64"/>
      <c r="X307" s="18">
        <f t="shared" si="76"/>
        <v>1200</v>
      </c>
      <c r="Z307" s="43">
        <f>X307+Y307</f>
        <v>1200</v>
      </c>
      <c r="AA307" s="43"/>
    </row>
    <row r="308" spans="1:27" ht="24.75" customHeight="1" x14ac:dyDescent="0.25">
      <c r="A308" s="33" t="s">
        <v>1124</v>
      </c>
      <c r="B308" s="24" t="s">
        <v>1125</v>
      </c>
      <c r="C308" s="27"/>
      <c r="D308" s="18"/>
      <c r="E308" s="45"/>
      <c r="F308" s="18"/>
      <c r="G308" s="45"/>
      <c r="H308" s="18"/>
      <c r="I308" s="64"/>
      <c r="J308" s="18"/>
      <c r="K308" s="45"/>
      <c r="L308" s="18"/>
      <c r="M308" s="64"/>
      <c r="N308" s="18"/>
      <c r="O308" s="64"/>
      <c r="P308" s="18"/>
      <c r="Q308" s="47">
        <f>Q309</f>
        <v>35.6</v>
      </c>
      <c r="R308" s="18">
        <f t="shared" si="73"/>
        <v>35.6</v>
      </c>
      <c r="S308" s="47">
        <f>S309</f>
        <v>0</v>
      </c>
      <c r="T308" s="18">
        <f t="shared" si="74"/>
        <v>35.6</v>
      </c>
      <c r="U308" s="47">
        <f>U309</f>
        <v>0</v>
      </c>
      <c r="V308" s="18">
        <f t="shared" si="75"/>
        <v>35.6</v>
      </c>
      <c r="W308" s="47">
        <f>W309</f>
        <v>0</v>
      </c>
      <c r="X308" s="18">
        <f t="shared" si="76"/>
        <v>35.6</v>
      </c>
    </row>
    <row r="309" spans="1:27" x14ac:dyDescent="0.25">
      <c r="A309" s="8" t="s">
        <v>266</v>
      </c>
      <c r="B309" s="25" t="s">
        <v>1125</v>
      </c>
      <c r="C309" s="27" t="s">
        <v>267</v>
      </c>
      <c r="D309" s="18"/>
      <c r="E309" s="45"/>
      <c r="F309" s="18"/>
      <c r="G309" s="45"/>
      <c r="H309" s="18"/>
      <c r="I309" s="64"/>
      <c r="J309" s="18"/>
      <c r="K309" s="45"/>
      <c r="L309" s="18"/>
      <c r="M309" s="64"/>
      <c r="N309" s="18"/>
      <c r="O309" s="64"/>
      <c r="P309" s="18"/>
      <c r="Q309" s="45">
        <v>35.6</v>
      </c>
      <c r="R309" s="18">
        <f t="shared" si="73"/>
        <v>35.6</v>
      </c>
      <c r="S309" s="64"/>
      <c r="T309" s="18">
        <f t="shared" si="74"/>
        <v>35.6</v>
      </c>
      <c r="U309" s="64"/>
      <c r="V309" s="18">
        <f t="shared" si="75"/>
        <v>35.6</v>
      </c>
      <c r="W309" s="64"/>
      <c r="X309" s="18">
        <f t="shared" si="76"/>
        <v>35.6</v>
      </c>
      <c r="Z309" s="43">
        <f>X309+Y309</f>
        <v>35.6</v>
      </c>
      <c r="AA309" s="43"/>
    </row>
    <row r="310" spans="1:27" x14ac:dyDescent="0.25">
      <c r="A310" s="13" t="s">
        <v>195</v>
      </c>
      <c r="B310" s="24" t="s">
        <v>453</v>
      </c>
      <c r="C310" s="24" t="s">
        <v>2</v>
      </c>
      <c r="D310" s="18">
        <f>D311+D312</f>
        <v>11100</v>
      </c>
      <c r="E310" s="18">
        <f>E311+E312</f>
        <v>0</v>
      </c>
      <c r="F310" s="18">
        <f t="shared" si="67"/>
        <v>11100</v>
      </c>
      <c r="G310" s="18">
        <f>G311+G312</f>
        <v>0</v>
      </c>
      <c r="H310" s="18">
        <f t="shared" si="68"/>
        <v>11100</v>
      </c>
      <c r="I310" s="47">
        <f>I311+I312</f>
        <v>0</v>
      </c>
      <c r="J310" s="18">
        <f t="shared" si="69"/>
        <v>11100</v>
      </c>
      <c r="K310" s="47">
        <f>K311+K312</f>
        <v>0</v>
      </c>
      <c r="L310" s="18">
        <f t="shared" si="70"/>
        <v>11100</v>
      </c>
      <c r="M310" s="47">
        <f>M311+M312</f>
        <v>3050</v>
      </c>
      <c r="N310" s="18">
        <f t="shared" si="71"/>
        <v>14150</v>
      </c>
      <c r="O310" s="47">
        <f>O311+O312</f>
        <v>0</v>
      </c>
      <c r="P310" s="18">
        <f t="shared" si="72"/>
        <v>14150</v>
      </c>
      <c r="Q310" s="47">
        <f>Q311+Q312</f>
        <v>0</v>
      </c>
      <c r="R310" s="18">
        <f t="shared" si="73"/>
        <v>14150</v>
      </c>
      <c r="S310" s="47">
        <f>S311+S312</f>
        <v>-33.4</v>
      </c>
      <c r="T310" s="18">
        <f t="shared" si="74"/>
        <v>14116.6</v>
      </c>
      <c r="U310" s="47">
        <f>U311+U312</f>
        <v>0</v>
      </c>
      <c r="V310" s="18">
        <f t="shared" si="75"/>
        <v>14116.6</v>
      </c>
      <c r="W310" s="47">
        <f>W311+W312</f>
        <v>-1900</v>
      </c>
      <c r="X310" s="18">
        <f t="shared" si="76"/>
        <v>12216.6</v>
      </c>
    </row>
    <row r="311" spans="1:27" x14ac:dyDescent="0.25">
      <c r="A311" s="7" t="s">
        <v>54</v>
      </c>
      <c r="B311" s="25" t="s">
        <v>453</v>
      </c>
      <c r="C311" s="25" t="s">
        <v>34</v>
      </c>
      <c r="D311" s="19">
        <v>3000</v>
      </c>
      <c r="E311" s="19"/>
      <c r="F311" s="18">
        <f t="shared" si="67"/>
        <v>3000</v>
      </c>
      <c r="G311" s="19"/>
      <c r="H311" s="18">
        <f t="shared" si="68"/>
        <v>3000</v>
      </c>
      <c r="I311" s="64"/>
      <c r="J311" s="18">
        <f t="shared" si="69"/>
        <v>3000</v>
      </c>
      <c r="K311" s="64"/>
      <c r="L311" s="18">
        <f t="shared" si="70"/>
        <v>3000</v>
      </c>
      <c r="M311" s="44">
        <v>3050</v>
      </c>
      <c r="N311" s="18">
        <f t="shared" si="71"/>
        <v>6050</v>
      </c>
      <c r="O311" s="64"/>
      <c r="P311" s="18">
        <f t="shared" si="72"/>
        <v>6050</v>
      </c>
      <c r="Q311" s="64"/>
      <c r="R311" s="18">
        <f t="shared" si="73"/>
        <v>6050</v>
      </c>
      <c r="S311" s="64"/>
      <c r="T311" s="18">
        <f t="shared" si="74"/>
        <v>6050</v>
      </c>
      <c r="U311" s="64"/>
      <c r="V311" s="18">
        <f t="shared" si="75"/>
        <v>6050</v>
      </c>
      <c r="W311" s="44">
        <v>-1900</v>
      </c>
      <c r="X311" s="18">
        <f t="shared" si="76"/>
        <v>4150</v>
      </c>
      <c r="Z311" s="43">
        <f t="shared" ref="Z311:Z312" si="87">X311+Y311</f>
        <v>4150</v>
      </c>
      <c r="AA311" s="43"/>
    </row>
    <row r="312" spans="1:27" ht="24.75" x14ac:dyDescent="0.25">
      <c r="A312" s="7" t="s">
        <v>509</v>
      </c>
      <c r="B312" s="25" t="s">
        <v>453</v>
      </c>
      <c r="C312" s="25" t="s">
        <v>201</v>
      </c>
      <c r="D312" s="19">
        <v>8100</v>
      </c>
      <c r="E312" s="19"/>
      <c r="F312" s="18">
        <f t="shared" si="67"/>
        <v>8100</v>
      </c>
      <c r="G312" s="19"/>
      <c r="H312" s="18">
        <f t="shared" si="68"/>
        <v>8100</v>
      </c>
      <c r="I312" s="64"/>
      <c r="J312" s="18">
        <f t="shared" si="69"/>
        <v>8100</v>
      </c>
      <c r="K312" s="64"/>
      <c r="L312" s="18">
        <f t="shared" si="70"/>
        <v>8100</v>
      </c>
      <c r="M312" s="64"/>
      <c r="N312" s="18">
        <f t="shared" si="71"/>
        <v>8100</v>
      </c>
      <c r="O312" s="64"/>
      <c r="P312" s="18">
        <f t="shared" si="72"/>
        <v>8100</v>
      </c>
      <c r="Q312" s="64"/>
      <c r="R312" s="18">
        <f t="shared" si="73"/>
        <v>8100</v>
      </c>
      <c r="S312" s="44">
        <v>-33.4</v>
      </c>
      <c r="T312" s="18">
        <f t="shared" si="74"/>
        <v>8066.6</v>
      </c>
      <c r="U312" s="64"/>
      <c r="V312" s="18">
        <f t="shared" si="75"/>
        <v>8066.6</v>
      </c>
      <c r="W312" s="64"/>
      <c r="X312" s="18">
        <f t="shared" si="76"/>
        <v>8066.6</v>
      </c>
      <c r="Z312" s="43">
        <f t="shared" si="87"/>
        <v>8066.6</v>
      </c>
      <c r="AA312" s="43"/>
    </row>
    <row r="313" spans="1:27" ht="24.75" x14ac:dyDescent="0.25">
      <c r="A313" s="33" t="s">
        <v>194</v>
      </c>
      <c r="B313" s="24" t="s">
        <v>655</v>
      </c>
      <c r="C313" s="27"/>
      <c r="D313" s="19"/>
      <c r="E313" s="19"/>
      <c r="F313" s="18"/>
      <c r="G313" s="20">
        <f>G314</f>
        <v>2500</v>
      </c>
      <c r="H313" s="18">
        <f t="shared" si="68"/>
        <v>2500</v>
      </c>
      <c r="I313" s="47">
        <f>I314</f>
        <v>0</v>
      </c>
      <c r="J313" s="18">
        <f t="shared" si="69"/>
        <v>2500</v>
      </c>
      <c r="K313" s="47">
        <f>K314</f>
        <v>0</v>
      </c>
      <c r="L313" s="18">
        <f t="shared" si="70"/>
        <v>2500</v>
      </c>
      <c r="M313" s="47">
        <f>M314</f>
        <v>-2500</v>
      </c>
      <c r="N313" s="18">
        <f t="shared" si="71"/>
        <v>0</v>
      </c>
      <c r="O313" s="47">
        <f>O314</f>
        <v>0</v>
      </c>
      <c r="P313" s="18">
        <f t="shared" si="72"/>
        <v>0</v>
      </c>
      <c r="Q313" s="47">
        <f>Q314</f>
        <v>0</v>
      </c>
      <c r="R313" s="18">
        <f t="shared" si="73"/>
        <v>0</v>
      </c>
      <c r="S313" s="47">
        <f>S314</f>
        <v>0</v>
      </c>
      <c r="T313" s="18">
        <f t="shared" si="74"/>
        <v>0</v>
      </c>
      <c r="U313" s="47">
        <f>U314+U315</f>
        <v>49</v>
      </c>
      <c r="V313" s="18">
        <f t="shared" si="75"/>
        <v>49</v>
      </c>
      <c r="W313" s="47">
        <f>W314+W315</f>
        <v>0</v>
      </c>
      <c r="X313" s="18">
        <f t="shared" si="76"/>
        <v>49</v>
      </c>
    </row>
    <row r="314" spans="1:27" hidden="1" x14ac:dyDescent="0.25">
      <c r="A314" s="8" t="s">
        <v>511</v>
      </c>
      <c r="B314" s="25" t="s">
        <v>655</v>
      </c>
      <c r="C314" s="27" t="s">
        <v>66</v>
      </c>
      <c r="D314" s="19"/>
      <c r="E314" s="19"/>
      <c r="F314" s="18"/>
      <c r="G314" s="44">
        <v>2500</v>
      </c>
      <c r="H314" s="18">
        <f t="shared" si="68"/>
        <v>2500</v>
      </c>
      <c r="I314" s="64"/>
      <c r="J314" s="18">
        <f t="shared" si="69"/>
        <v>2500</v>
      </c>
      <c r="K314" s="97"/>
      <c r="L314" s="18">
        <f t="shared" si="70"/>
        <v>2500</v>
      </c>
      <c r="M314" s="44">
        <v>-2500</v>
      </c>
      <c r="N314" s="18">
        <f t="shared" si="71"/>
        <v>0</v>
      </c>
      <c r="O314" s="64"/>
      <c r="P314" s="18">
        <f t="shared" si="72"/>
        <v>0</v>
      </c>
      <c r="Q314" s="64"/>
      <c r="R314" s="18">
        <f t="shared" si="73"/>
        <v>0</v>
      </c>
      <c r="S314" s="64"/>
      <c r="T314" s="18">
        <f t="shared" si="74"/>
        <v>0</v>
      </c>
      <c r="U314" s="64"/>
      <c r="V314" s="18">
        <f t="shared" si="75"/>
        <v>0</v>
      </c>
      <c r="W314" s="64"/>
      <c r="X314" s="18">
        <f t="shared" si="76"/>
        <v>0</v>
      </c>
      <c r="Z314" s="43">
        <f t="shared" ref="Z314:Z315" si="88">X314+Y314</f>
        <v>0</v>
      </c>
      <c r="AA314" s="43"/>
    </row>
    <row r="315" spans="1:27" x14ac:dyDescent="0.25">
      <c r="A315" s="8" t="s">
        <v>266</v>
      </c>
      <c r="B315" s="25" t="s">
        <v>655</v>
      </c>
      <c r="C315" s="27" t="s">
        <v>267</v>
      </c>
      <c r="D315" s="19"/>
      <c r="E315" s="19"/>
      <c r="F315" s="18"/>
      <c r="G315" s="44"/>
      <c r="H315" s="18"/>
      <c r="I315" s="64"/>
      <c r="J315" s="18"/>
      <c r="K315" s="97"/>
      <c r="L315" s="18"/>
      <c r="M315" s="44"/>
      <c r="N315" s="18"/>
      <c r="O315" s="64"/>
      <c r="P315" s="18"/>
      <c r="Q315" s="64"/>
      <c r="R315" s="18"/>
      <c r="S315" s="64"/>
      <c r="T315" s="18"/>
      <c r="U315" s="96">
        <v>49</v>
      </c>
      <c r="V315" s="18">
        <f t="shared" si="75"/>
        <v>49</v>
      </c>
      <c r="W315" s="64"/>
      <c r="X315" s="18">
        <f t="shared" si="76"/>
        <v>49</v>
      </c>
      <c r="Z315" s="43">
        <f t="shared" si="88"/>
        <v>49</v>
      </c>
      <c r="AA315" s="43"/>
    </row>
    <row r="316" spans="1:27" x14ac:dyDescent="0.25">
      <c r="A316" s="33" t="s">
        <v>706</v>
      </c>
      <c r="B316" s="24" t="s">
        <v>707</v>
      </c>
      <c r="C316" s="26"/>
      <c r="D316" s="19"/>
      <c r="E316" s="19"/>
      <c r="F316" s="18"/>
      <c r="G316" s="44"/>
      <c r="H316" s="18"/>
      <c r="I316" s="64"/>
      <c r="J316" s="18"/>
      <c r="K316" s="20">
        <f>K317</f>
        <v>6763.7000000000007</v>
      </c>
      <c r="L316" s="18">
        <f t="shared" si="70"/>
        <v>6763.7000000000007</v>
      </c>
      <c r="M316" s="20">
        <f>M317</f>
        <v>-418.79999999999995</v>
      </c>
      <c r="N316" s="18">
        <f t="shared" si="71"/>
        <v>6344.9000000000005</v>
      </c>
      <c r="O316" s="20">
        <f>O317</f>
        <v>0</v>
      </c>
      <c r="P316" s="18">
        <f t="shared" si="72"/>
        <v>6344.9000000000005</v>
      </c>
      <c r="Q316" s="20">
        <f>Q317</f>
        <v>-1405.4</v>
      </c>
      <c r="R316" s="18">
        <f t="shared" si="73"/>
        <v>4939.5</v>
      </c>
      <c r="S316" s="20">
        <f>S317</f>
        <v>0</v>
      </c>
      <c r="T316" s="18">
        <f t="shared" si="74"/>
        <v>4939.5</v>
      </c>
      <c r="U316" s="20">
        <f>U317</f>
        <v>-200</v>
      </c>
      <c r="V316" s="18">
        <f t="shared" si="75"/>
        <v>4739.5</v>
      </c>
      <c r="W316" s="20">
        <f>W317</f>
        <v>0</v>
      </c>
      <c r="X316" s="18">
        <f t="shared" si="76"/>
        <v>4739.5</v>
      </c>
    </row>
    <row r="317" spans="1:27" x14ac:dyDescent="0.25">
      <c r="A317" s="8" t="s">
        <v>266</v>
      </c>
      <c r="B317" s="25" t="s">
        <v>707</v>
      </c>
      <c r="C317" s="27" t="s">
        <v>267</v>
      </c>
      <c r="D317" s="19"/>
      <c r="E317" s="19"/>
      <c r="F317" s="18"/>
      <c r="G317" s="44"/>
      <c r="H317" s="18"/>
      <c r="I317" s="64"/>
      <c r="J317" s="18"/>
      <c r="K317" s="97">
        <f>2164.4+1232.4+3366.9</f>
        <v>6763.7000000000007</v>
      </c>
      <c r="L317" s="18">
        <f t="shared" si="70"/>
        <v>6763.7000000000007</v>
      </c>
      <c r="M317" s="112">
        <f>1474-1892.8</f>
        <v>-418.79999999999995</v>
      </c>
      <c r="N317" s="18">
        <f t="shared" si="71"/>
        <v>6344.9000000000005</v>
      </c>
      <c r="O317" s="64"/>
      <c r="P317" s="18">
        <f t="shared" si="72"/>
        <v>6344.9000000000005</v>
      </c>
      <c r="Q317" s="44">
        <v>-1405.4</v>
      </c>
      <c r="R317" s="18">
        <f t="shared" si="73"/>
        <v>4939.5</v>
      </c>
      <c r="S317" s="64"/>
      <c r="T317" s="18">
        <f t="shared" si="74"/>
        <v>4939.5</v>
      </c>
      <c r="U317" s="96">
        <v>-200</v>
      </c>
      <c r="V317" s="18">
        <f t="shared" si="75"/>
        <v>4739.5</v>
      </c>
      <c r="W317" s="64"/>
      <c r="X317" s="18">
        <f t="shared" si="76"/>
        <v>4739.5</v>
      </c>
      <c r="Z317" s="43">
        <f>X317+Y317</f>
        <v>4739.5</v>
      </c>
      <c r="AA317" s="43"/>
    </row>
    <row r="318" spans="1:27" ht="36.75" x14ac:dyDescent="0.25">
      <c r="A318" s="13" t="s">
        <v>523</v>
      </c>
      <c r="B318" s="24" t="s">
        <v>544</v>
      </c>
      <c r="C318" s="26"/>
      <c r="D318" s="18">
        <f>D319</f>
        <v>300</v>
      </c>
      <c r="E318" s="18">
        <f>E319</f>
        <v>0</v>
      </c>
      <c r="F318" s="18">
        <f t="shared" si="67"/>
        <v>300</v>
      </c>
      <c r="G318" s="18">
        <f>G319</f>
        <v>0</v>
      </c>
      <c r="H318" s="18">
        <f t="shared" si="68"/>
        <v>300</v>
      </c>
      <c r="I318" s="47">
        <f>I319</f>
        <v>0</v>
      </c>
      <c r="J318" s="18">
        <f t="shared" si="69"/>
        <v>300</v>
      </c>
      <c r="K318" s="47">
        <f>K319</f>
        <v>0</v>
      </c>
      <c r="L318" s="18">
        <f t="shared" si="70"/>
        <v>300</v>
      </c>
      <c r="M318" s="47">
        <f>M319</f>
        <v>0</v>
      </c>
      <c r="N318" s="18">
        <f t="shared" si="71"/>
        <v>300</v>
      </c>
      <c r="O318" s="47">
        <f>O319</f>
        <v>0</v>
      </c>
      <c r="P318" s="18">
        <f t="shared" si="72"/>
        <v>300</v>
      </c>
      <c r="Q318" s="47">
        <f>Q319</f>
        <v>0</v>
      </c>
      <c r="R318" s="18">
        <f t="shared" si="73"/>
        <v>300</v>
      </c>
      <c r="S318" s="47">
        <f>S319</f>
        <v>0</v>
      </c>
      <c r="T318" s="18">
        <f t="shared" si="74"/>
        <v>300</v>
      </c>
      <c r="U318" s="47">
        <f>U319</f>
        <v>0</v>
      </c>
      <c r="V318" s="18">
        <f t="shared" si="75"/>
        <v>300</v>
      </c>
      <c r="W318" s="47">
        <f>W319</f>
        <v>0</v>
      </c>
      <c r="X318" s="18">
        <f t="shared" si="76"/>
        <v>300</v>
      </c>
    </row>
    <row r="319" spans="1:27" x14ac:dyDescent="0.25">
      <c r="A319" s="8" t="s">
        <v>266</v>
      </c>
      <c r="B319" s="25" t="s">
        <v>544</v>
      </c>
      <c r="C319" s="27" t="s">
        <v>267</v>
      </c>
      <c r="D319" s="19">
        <v>300</v>
      </c>
      <c r="E319" s="19"/>
      <c r="F319" s="18">
        <f t="shared" si="67"/>
        <v>300</v>
      </c>
      <c r="G319" s="19"/>
      <c r="H319" s="18">
        <f t="shared" si="68"/>
        <v>300</v>
      </c>
      <c r="I319" s="64"/>
      <c r="J319" s="18">
        <f t="shared" si="69"/>
        <v>300</v>
      </c>
      <c r="K319" s="64"/>
      <c r="L319" s="18">
        <f t="shared" si="70"/>
        <v>300</v>
      </c>
      <c r="M319" s="64"/>
      <c r="N319" s="18">
        <f t="shared" si="71"/>
        <v>300</v>
      </c>
      <c r="O319" s="64"/>
      <c r="P319" s="18">
        <f t="shared" si="72"/>
        <v>300</v>
      </c>
      <c r="Q319" s="64"/>
      <c r="R319" s="18">
        <f t="shared" si="73"/>
        <v>300</v>
      </c>
      <c r="S319" s="64"/>
      <c r="T319" s="18">
        <f t="shared" si="74"/>
        <v>300</v>
      </c>
      <c r="U319" s="64"/>
      <c r="V319" s="18">
        <f t="shared" si="75"/>
        <v>300</v>
      </c>
      <c r="W319" s="64"/>
      <c r="X319" s="18">
        <f t="shared" si="76"/>
        <v>300</v>
      </c>
      <c r="Z319" s="43">
        <f>X319+Y319</f>
        <v>300</v>
      </c>
      <c r="AA319" s="43"/>
    </row>
    <row r="320" spans="1:27" x14ac:dyDescent="0.25">
      <c r="A320" s="13" t="s">
        <v>41</v>
      </c>
      <c r="B320" s="24" t="s">
        <v>455</v>
      </c>
      <c r="C320" s="24" t="s">
        <v>2</v>
      </c>
      <c r="D320" s="18">
        <f>D321</f>
        <v>315.2</v>
      </c>
      <c r="E320" s="18">
        <f>E321</f>
        <v>0</v>
      </c>
      <c r="F320" s="18">
        <f t="shared" si="67"/>
        <v>315.2</v>
      </c>
      <c r="G320" s="18">
        <f>G321</f>
        <v>0</v>
      </c>
      <c r="H320" s="18">
        <f t="shared" si="68"/>
        <v>315.2</v>
      </c>
      <c r="I320" s="47">
        <f>I321</f>
        <v>0</v>
      </c>
      <c r="J320" s="18">
        <f t="shared" si="69"/>
        <v>315.2</v>
      </c>
      <c r="K320" s="47">
        <f>K321</f>
        <v>0</v>
      </c>
      <c r="L320" s="18">
        <f t="shared" si="70"/>
        <v>315.2</v>
      </c>
      <c r="M320" s="47">
        <f>M321</f>
        <v>0</v>
      </c>
      <c r="N320" s="18">
        <f t="shared" si="71"/>
        <v>315.2</v>
      </c>
      <c r="O320" s="47">
        <f>O321</f>
        <v>0</v>
      </c>
      <c r="P320" s="18">
        <f t="shared" si="72"/>
        <v>315.2</v>
      </c>
      <c r="Q320" s="47">
        <f>Q321</f>
        <v>0</v>
      </c>
      <c r="R320" s="18">
        <f t="shared" si="73"/>
        <v>315.2</v>
      </c>
      <c r="S320" s="47">
        <f>S321</f>
        <v>0</v>
      </c>
      <c r="T320" s="18">
        <f t="shared" si="74"/>
        <v>315.2</v>
      </c>
      <c r="U320" s="47">
        <f>U321</f>
        <v>68.5</v>
      </c>
      <c r="V320" s="18">
        <f t="shared" si="75"/>
        <v>383.7</v>
      </c>
      <c r="W320" s="47">
        <f>W321</f>
        <v>0</v>
      </c>
      <c r="X320" s="18">
        <f t="shared" si="76"/>
        <v>383.7</v>
      </c>
    </row>
    <row r="321" spans="1:27" x14ac:dyDescent="0.25">
      <c r="A321" s="9" t="s">
        <v>266</v>
      </c>
      <c r="B321" s="25" t="s">
        <v>455</v>
      </c>
      <c r="C321" s="25" t="s">
        <v>267</v>
      </c>
      <c r="D321" s="19">
        <v>315.2</v>
      </c>
      <c r="E321" s="19"/>
      <c r="F321" s="18">
        <f t="shared" si="67"/>
        <v>315.2</v>
      </c>
      <c r="G321" s="19"/>
      <c r="H321" s="18">
        <f t="shared" si="68"/>
        <v>315.2</v>
      </c>
      <c r="I321" s="64"/>
      <c r="J321" s="18">
        <f t="shared" si="69"/>
        <v>315.2</v>
      </c>
      <c r="K321" s="64"/>
      <c r="L321" s="18">
        <f t="shared" si="70"/>
        <v>315.2</v>
      </c>
      <c r="M321" s="64"/>
      <c r="N321" s="18">
        <f t="shared" si="71"/>
        <v>315.2</v>
      </c>
      <c r="O321" s="64"/>
      <c r="P321" s="18">
        <f t="shared" si="72"/>
        <v>315.2</v>
      </c>
      <c r="Q321" s="64"/>
      <c r="R321" s="18">
        <f t="shared" si="73"/>
        <v>315.2</v>
      </c>
      <c r="S321" s="64"/>
      <c r="T321" s="18">
        <f t="shared" si="74"/>
        <v>315.2</v>
      </c>
      <c r="U321" s="44">
        <v>68.5</v>
      </c>
      <c r="V321" s="18">
        <f t="shared" si="75"/>
        <v>383.7</v>
      </c>
      <c r="W321" s="64"/>
      <c r="X321" s="18">
        <f t="shared" si="76"/>
        <v>383.7</v>
      </c>
      <c r="Z321" s="43">
        <f>X321+Y321</f>
        <v>383.7</v>
      </c>
      <c r="AA321" s="43"/>
    </row>
    <row r="322" spans="1:27" ht="24.75" x14ac:dyDescent="0.25">
      <c r="A322" s="13" t="s">
        <v>668</v>
      </c>
      <c r="B322" s="24" t="s">
        <v>669</v>
      </c>
      <c r="C322" s="27"/>
      <c r="D322" s="19"/>
      <c r="E322" s="19"/>
      <c r="F322" s="18"/>
      <c r="G322" s="19"/>
      <c r="H322" s="18"/>
      <c r="I322" s="20">
        <f>I323</f>
        <v>13000</v>
      </c>
      <c r="J322" s="18">
        <f t="shared" si="69"/>
        <v>13000</v>
      </c>
      <c r="K322" s="47">
        <f>K323</f>
        <v>0</v>
      </c>
      <c r="L322" s="18">
        <f t="shared" si="70"/>
        <v>13000</v>
      </c>
      <c r="M322" s="47">
        <f>M323</f>
        <v>0</v>
      </c>
      <c r="N322" s="18">
        <f t="shared" si="71"/>
        <v>13000</v>
      </c>
      <c r="O322" s="47">
        <f>O323</f>
        <v>0</v>
      </c>
      <c r="P322" s="18">
        <f t="shared" si="72"/>
        <v>13000</v>
      </c>
      <c r="Q322" s="47">
        <f>Q323</f>
        <v>0</v>
      </c>
      <c r="R322" s="18">
        <f t="shared" si="73"/>
        <v>13000</v>
      </c>
      <c r="S322" s="47">
        <f>S323</f>
        <v>0</v>
      </c>
      <c r="T322" s="18">
        <f t="shared" si="74"/>
        <v>13000</v>
      </c>
      <c r="U322" s="47">
        <f>U323</f>
        <v>0</v>
      </c>
      <c r="V322" s="18">
        <f t="shared" si="75"/>
        <v>13000</v>
      </c>
      <c r="W322" s="47">
        <f>W323</f>
        <v>0</v>
      </c>
      <c r="X322" s="18">
        <f t="shared" si="76"/>
        <v>13000</v>
      </c>
    </row>
    <row r="323" spans="1:27" x14ac:dyDescent="0.25">
      <c r="A323" s="7" t="s">
        <v>54</v>
      </c>
      <c r="B323" s="25" t="s">
        <v>669</v>
      </c>
      <c r="C323" s="27" t="s">
        <v>34</v>
      </c>
      <c r="D323" s="19"/>
      <c r="E323" s="19"/>
      <c r="F323" s="18"/>
      <c r="G323" s="19"/>
      <c r="H323" s="18"/>
      <c r="I323" s="44">
        <v>13000</v>
      </c>
      <c r="J323" s="18">
        <f t="shared" si="69"/>
        <v>13000</v>
      </c>
      <c r="K323" s="64"/>
      <c r="L323" s="18">
        <f t="shared" si="70"/>
        <v>13000</v>
      </c>
      <c r="M323" s="64"/>
      <c r="N323" s="18">
        <f t="shared" si="71"/>
        <v>13000</v>
      </c>
      <c r="O323" s="64"/>
      <c r="P323" s="18">
        <f t="shared" si="72"/>
        <v>13000</v>
      </c>
      <c r="Q323" s="64"/>
      <c r="R323" s="18">
        <f t="shared" si="73"/>
        <v>13000</v>
      </c>
      <c r="S323" s="64"/>
      <c r="T323" s="18">
        <f t="shared" si="74"/>
        <v>13000</v>
      </c>
      <c r="U323" s="64"/>
      <c r="V323" s="18">
        <f t="shared" si="75"/>
        <v>13000</v>
      </c>
      <c r="W323" s="64"/>
      <c r="X323" s="18">
        <f t="shared" si="76"/>
        <v>13000</v>
      </c>
      <c r="Z323" s="43">
        <f>X323+Y323</f>
        <v>13000</v>
      </c>
      <c r="AA323" s="43"/>
    </row>
    <row r="324" spans="1:27" ht="26.25" customHeight="1" x14ac:dyDescent="0.25">
      <c r="A324" s="13" t="s">
        <v>30</v>
      </c>
      <c r="B324" s="24" t="s">
        <v>454</v>
      </c>
      <c r="C324" s="24" t="s">
        <v>2</v>
      </c>
      <c r="D324" s="18">
        <f>D326+D327</f>
        <v>17547.599999999999</v>
      </c>
      <c r="E324" s="18">
        <f>E326+E327</f>
        <v>0</v>
      </c>
      <c r="F324" s="18">
        <f t="shared" si="67"/>
        <v>17547.599999999999</v>
      </c>
      <c r="G324" s="18">
        <f>G326+G327</f>
        <v>-2500</v>
      </c>
      <c r="H324" s="18">
        <f t="shared" si="68"/>
        <v>15047.599999999999</v>
      </c>
      <c r="I324" s="47">
        <f>I326+I327</f>
        <v>125</v>
      </c>
      <c r="J324" s="18">
        <f t="shared" si="69"/>
        <v>15172.599999999999</v>
      </c>
      <c r="K324" s="47">
        <f>K326+K327</f>
        <v>1.1000000000000001</v>
      </c>
      <c r="L324" s="18">
        <f t="shared" si="70"/>
        <v>15173.699999999999</v>
      </c>
      <c r="M324" s="47">
        <f>M326+M327</f>
        <v>0</v>
      </c>
      <c r="N324" s="18">
        <f t="shared" si="71"/>
        <v>15173.699999999999</v>
      </c>
      <c r="O324" s="47">
        <f>O326+O327</f>
        <v>-750</v>
      </c>
      <c r="P324" s="18">
        <f t="shared" si="72"/>
        <v>14423.699999999999</v>
      </c>
      <c r="Q324" s="47">
        <f>Q326+Q327</f>
        <v>750</v>
      </c>
      <c r="R324" s="18">
        <f t="shared" si="73"/>
        <v>15173.699999999999</v>
      </c>
      <c r="S324" s="47">
        <f>S326+S327</f>
        <v>287.10000000000002</v>
      </c>
      <c r="T324" s="18">
        <f t="shared" si="74"/>
        <v>15460.8</v>
      </c>
      <c r="U324" s="47">
        <f>U326+U327+U325</f>
        <v>-68.5</v>
      </c>
      <c r="V324" s="18">
        <f t="shared" si="75"/>
        <v>15392.3</v>
      </c>
      <c r="W324" s="47">
        <f>W326+W327+W325</f>
        <v>0</v>
      </c>
      <c r="X324" s="18">
        <f t="shared" si="76"/>
        <v>15392.3</v>
      </c>
    </row>
    <row r="325" spans="1:27" ht="26.25" customHeight="1" x14ac:dyDescent="0.25">
      <c r="A325" s="9" t="s">
        <v>511</v>
      </c>
      <c r="B325" s="25" t="s">
        <v>454</v>
      </c>
      <c r="C325" s="25" t="s">
        <v>66</v>
      </c>
      <c r="D325" s="18"/>
      <c r="E325" s="18"/>
      <c r="F325" s="18"/>
      <c r="G325" s="18"/>
      <c r="H325" s="18"/>
      <c r="I325" s="47"/>
      <c r="J325" s="18"/>
      <c r="K325" s="47"/>
      <c r="L325" s="18"/>
      <c r="M325" s="47"/>
      <c r="N325" s="18"/>
      <c r="O325" s="47"/>
      <c r="P325" s="18"/>
      <c r="Q325" s="47"/>
      <c r="R325" s="18"/>
      <c r="S325" s="47"/>
      <c r="T325" s="18"/>
      <c r="U325" s="44">
        <v>333.7</v>
      </c>
      <c r="V325" s="18">
        <f t="shared" si="75"/>
        <v>333.7</v>
      </c>
      <c r="W325" s="64"/>
      <c r="X325" s="18">
        <f t="shared" si="76"/>
        <v>333.7</v>
      </c>
      <c r="Z325" s="43">
        <f t="shared" ref="Z325:Z327" si="89">X325+Y325</f>
        <v>333.7</v>
      </c>
      <c r="AA325" s="43"/>
    </row>
    <row r="326" spans="1:27" ht="36.75" x14ac:dyDescent="0.25">
      <c r="A326" s="9" t="s">
        <v>253</v>
      </c>
      <c r="B326" s="25" t="s">
        <v>454</v>
      </c>
      <c r="C326" s="25" t="s">
        <v>250</v>
      </c>
      <c r="D326" s="19">
        <f>14687.6+60</f>
        <v>14747.6</v>
      </c>
      <c r="E326" s="19"/>
      <c r="F326" s="18">
        <f t="shared" si="67"/>
        <v>14747.6</v>
      </c>
      <c r="G326" s="19"/>
      <c r="H326" s="18">
        <f t="shared" si="68"/>
        <v>14747.6</v>
      </c>
      <c r="I326" s="62">
        <v>-25</v>
      </c>
      <c r="J326" s="18">
        <f t="shared" si="69"/>
        <v>14722.6</v>
      </c>
      <c r="K326" s="64"/>
      <c r="L326" s="18">
        <f t="shared" si="70"/>
        <v>14722.6</v>
      </c>
      <c r="M326" s="62">
        <v>-26.7</v>
      </c>
      <c r="N326" s="18">
        <f t="shared" si="71"/>
        <v>14695.9</v>
      </c>
      <c r="O326" s="96">
        <v>-750</v>
      </c>
      <c r="P326" s="18">
        <f t="shared" si="72"/>
        <v>13945.9</v>
      </c>
      <c r="Q326" s="44">
        <v>-7</v>
      </c>
      <c r="R326" s="18">
        <f t="shared" si="73"/>
        <v>13938.9</v>
      </c>
      <c r="S326" s="44">
        <v>287.10000000000002</v>
      </c>
      <c r="T326" s="18">
        <f t="shared" si="74"/>
        <v>14226</v>
      </c>
      <c r="U326" s="44">
        <f>-333.7-68.5+750</f>
        <v>347.8</v>
      </c>
      <c r="V326" s="18">
        <f t="shared" si="75"/>
        <v>14573.8</v>
      </c>
      <c r="W326" s="64"/>
      <c r="X326" s="18">
        <f t="shared" si="76"/>
        <v>14573.8</v>
      </c>
      <c r="Z326" s="43">
        <f t="shared" si="89"/>
        <v>14573.8</v>
      </c>
      <c r="AA326" s="43"/>
    </row>
    <row r="327" spans="1:27" x14ac:dyDescent="0.25">
      <c r="A327" s="9" t="s">
        <v>266</v>
      </c>
      <c r="B327" s="25" t="s">
        <v>454</v>
      </c>
      <c r="C327" s="25" t="s">
        <v>267</v>
      </c>
      <c r="D327" s="19">
        <f>2500+360-60</f>
        <v>2800</v>
      </c>
      <c r="E327" s="19"/>
      <c r="F327" s="18">
        <f t="shared" si="67"/>
        <v>2800</v>
      </c>
      <c r="G327" s="44">
        <v>-2500</v>
      </c>
      <c r="H327" s="18">
        <f t="shared" si="68"/>
        <v>300</v>
      </c>
      <c r="I327" s="62">
        <v>150</v>
      </c>
      <c r="J327" s="18">
        <f t="shared" si="69"/>
        <v>450</v>
      </c>
      <c r="K327" s="81">
        <v>1.1000000000000001</v>
      </c>
      <c r="L327" s="18">
        <f t="shared" si="70"/>
        <v>451.1</v>
      </c>
      <c r="M327" s="62">
        <v>26.7</v>
      </c>
      <c r="N327" s="18">
        <f t="shared" si="71"/>
        <v>477.8</v>
      </c>
      <c r="O327" s="64"/>
      <c r="P327" s="18">
        <f t="shared" si="72"/>
        <v>477.8</v>
      </c>
      <c r="Q327" s="44">
        <f>750+7</f>
        <v>757</v>
      </c>
      <c r="R327" s="18">
        <f t="shared" si="73"/>
        <v>1234.8</v>
      </c>
      <c r="S327" s="64"/>
      <c r="T327" s="18">
        <f t="shared" si="74"/>
        <v>1234.8</v>
      </c>
      <c r="U327" s="96">
        <v>-750</v>
      </c>
      <c r="V327" s="18">
        <f t="shared" si="75"/>
        <v>484.79999999999995</v>
      </c>
      <c r="W327" s="64"/>
      <c r="X327" s="18">
        <f t="shared" si="76"/>
        <v>484.79999999999995</v>
      </c>
      <c r="Z327" s="43">
        <f t="shared" si="89"/>
        <v>484.79999999999995</v>
      </c>
      <c r="AA327" s="43"/>
    </row>
    <row r="328" spans="1:27" ht="25.5" customHeight="1" x14ac:dyDescent="0.25">
      <c r="A328" s="13" t="s">
        <v>368</v>
      </c>
      <c r="B328" s="24" t="s">
        <v>456</v>
      </c>
      <c r="C328" s="24" t="s">
        <v>2</v>
      </c>
      <c r="D328" s="18">
        <f>D329</f>
        <v>6268.1</v>
      </c>
      <c r="E328" s="18">
        <f>E329</f>
        <v>0</v>
      </c>
      <c r="F328" s="18">
        <f t="shared" si="67"/>
        <v>6268.1</v>
      </c>
      <c r="G328" s="18">
        <f>G329</f>
        <v>0</v>
      </c>
      <c r="H328" s="18">
        <f t="shared" si="68"/>
        <v>6268.1</v>
      </c>
      <c r="I328" s="18">
        <f>I329</f>
        <v>0</v>
      </c>
      <c r="J328" s="18">
        <f t="shared" si="69"/>
        <v>6268.1</v>
      </c>
      <c r="K328" s="47">
        <f>K329</f>
        <v>-1671.1</v>
      </c>
      <c r="L328" s="18">
        <f t="shared" si="70"/>
        <v>4597</v>
      </c>
      <c r="M328" s="47">
        <f>M329</f>
        <v>1671.1</v>
      </c>
      <c r="N328" s="18">
        <f t="shared" si="71"/>
        <v>6268.1</v>
      </c>
      <c r="O328" s="47">
        <f>O329</f>
        <v>0</v>
      </c>
      <c r="P328" s="18">
        <f t="shared" si="72"/>
        <v>6268.1</v>
      </c>
      <c r="Q328" s="47">
        <f>Q329</f>
        <v>0</v>
      </c>
      <c r="R328" s="18">
        <f t="shared" si="73"/>
        <v>6268.1</v>
      </c>
      <c r="S328" s="47">
        <f>S329</f>
        <v>0</v>
      </c>
      <c r="T328" s="18">
        <f t="shared" si="74"/>
        <v>6268.1</v>
      </c>
      <c r="U328" s="47">
        <f>U329</f>
        <v>-1045.0999999999999</v>
      </c>
      <c r="V328" s="18">
        <f t="shared" si="75"/>
        <v>5223</v>
      </c>
      <c r="W328" s="47">
        <f>W329</f>
        <v>0</v>
      </c>
      <c r="X328" s="18">
        <f t="shared" si="76"/>
        <v>5223</v>
      </c>
    </row>
    <row r="329" spans="1:27" ht="36.75" x14ac:dyDescent="0.25">
      <c r="A329" s="9" t="s">
        <v>253</v>
      </c>
      <c r="B329" s="25" t="s">
        <v>456</v>
      </c>
      <c r="C329" s="25" t="s">
        <v>250</v>
      </c>
      <c r="D329" s="19">
        <v>6268.1</v>
      </c>
      <c r="E329" s="19"/>
      <c r="F329" s="18">
        <f t="shared" si="67"/>
        <v>6268.1</v>
      </c>
      <c r="G329" s="19"/>
      <c r="H329" s="18">
        <f t="shared" si="68"/>
        <v>6268.1</v>
      </c>
      <c r="I329" s="19"/>
      <c r="J329" s="18">
        <f t="shared" si="69"/>
        <v>6268.1</v>
      </c>
      <c r="K329" s="44">
        <v>-1671.1</v>
      </c>
      <c r="L329" s="18">
        <f t="shared" si="70"/>
        <v>4597</v>
      </c>
      <c r="M329" s="62">
        <v>1671.1</v>
      </c>
      <c r="N329" s="18">
        <f t="shared" si="71"/>
        <v>6268.1</v>
      </c>
      <c r="O329" s="64"/>
      <c r="P329" s="18">
        <f t="shared" si="72"/>
        <v>6268.1</v>
      </c>
      <c r="Q329" s="64"/>
      <c r="R329" s="18">
        <f t="shared" si="73"/>
        <v>6268.1</v>
      </c>
      <c r="S329" s="64"/>
      <c r="T329" s="18">
        <f t="shared" si="74"/>
        <v>6268.1</v>
      </c>
      <c r="U329" s="44">
        <v>-1045.0999999999999</v>
      </c>
      <c r="V329" s="18">
        <f t="shared" si="75"/>
        <v>5223</v>
      </c>
      <c r="W329" s="64"/>
      <c r="X329" s="18">
        <f t="shared" si="76"/>
        <v>5223</v>
      </c>
      <c r="Z329" s="43">
        <f>X329+Y329</f>
        <v>5223</v>
      </c>
      <c r="AA329" s="43"/>
    </row>
    <row r="330" spans="1:27" ht="36.75" x14ac:dyDescent="0.25">
      <c r="A330" s="13" t="s">
        <v>370</v>
      </c>
      <c r="B330" s="24" t="s">
        <v>457</v>
      </c>
      <c r="C330" s="24" t="s">
        <v>2</v>
      </c>
      <c r="D330" s="18">
        <f>D331</f>
        <v>131.9</v>
      </c>
      <c r="E330" s="18">
        <f>E331</f>
        <v>0</v>
      </c>
      <c r="F330" s="18">
        <f t="shared" si="67"/>
        <v>131.9</v>
      </c>
      <c r="G330" s="18">
        <f>G331</f>
        <v>0</v>
      </c>
      <c r="H330" s="18">
        <f t="shared" si="68"/>
        <v>131.9</v>
      </c>
      <c r="I330" s="18">
        <f>I331</f>
        <v>0</v>
      </c>
      <c r="J330" s="18">
        <f t="shared" si="69"/>
        <v>131.9</v>
      </c>
      <c r="K330" s="18">
        <f>K331</f>
        <v>0</v>
      </c>
      <c r="L330" s="18">
        <f t="shared" si="70"/>
        <v>131.9</v>
      </c>
      <c r="M330" s="18">
        <f>M331</f>
        <v>0</v>
      </c>
      <c r="N330" s="18">
        <f t="shared" si="71"/>
        <v>131.9</v>
      </c>
      <c r="O330" s="18">
        <f>O331</f>
        <v>0</v>
      </c>
      <c r="P330" s="18">
        <f t="shared" si="72"/>
        <v>131.9</v>
      </c>
      <c r="Q330" s="18">
        <f>Q331</f>
        <v>0</v>
      </c>
      <c r="R330" s="18">
        <f t="shared" si="73"/>
        <v>131.9</v>
      </c>
      <c r="S330" s="18">
        <f>S331</f>
        <v>0</v>
      </c>
      <c r="T330" s="18">
        <f t="shared" si="74"/>
        <v>131.9</v>
      </c>
      <c r="U330" s="18">
        <f>U331</f>
        <v>0</v>
      </c>
      <c r="V330" s="18">
        <f t="shared" si="75"/>
        <v>131.9</v>
      </c>
      <c r="W330" s="18">
        <f>W331</f>
        <v>0</v>
      </c>
      <c r="X330" s="18">
        <f t="shared" si="76"/>
        <v>131.9</v>
      </c>
    </row>
    <row r="331" spans="1:27" ht="36.75" x14ac:dyDescent="0.25">
      <c r="A331" s="9" t="s">
        <v>253</v>
      </c>
      <c r="B331" s="25" t="s">
        <v>457</v>
      </c>
      <c r="C331" s="25" t="s">
        <v>250</v>
      </c>
      <c r="D331" s="19">
        <v>131.9</v>
      </c>
      <c r="E331" s="19"/>
      <c r="F331" s="18">
        <f t="shared" si="67"/>
        <v>131.9</v>
      </c>
      <c r="G331" s="19"/>
      <c r="H331" s="18">
        <f t="shared" si="68"/>
        <v>131.9</v>
      </c>
      <c r="I331" s="19"/>
      <c r="J331" s="18">
        <f t="shared" si="69"/>
        <v>131.9</v>
      </c>
      <c r="K331" s="19"/>
      <c r="L331" s="18">
        <f t="shared" si="70"/>
        <v>131.9</v>
      </c>
      <c r="M331" s="19"/>
      <c r="N331" s="18">
        <f t="shared" si="71"/>
        <v>131.9</v>
      </c>
      <c r="O331" s="19"/>
      <c r="P331" s="18">
        <f t="shared" si="72"/>
        <v>131.9</v>
      </c>
      <c r="Q331" s="19"/>
      <c r="R331" s="18">
        <f t="shared" si="73"/>
        <v>131.9</v>
      </c>
      <c r="S331" s="64"/>
      <c r="T331" s="18">
        <f t="shared" si="74"/>
        <v>131.9</v>
      </c>
      <c r="U331" s="64"/>
      <c r="V331" s="18">
        <f t="shared" si="75"/>
        <v>131.9</v>
      </c>
      <c r="W331" s="64"/>
      <c r="X331" s="18">
        <f t="shared" si="76"/>
        <v>131.9</v>
      </c>
      <c r="Z331" s="43">
        <f>X331+Y331</f>
        <v>131.9</v>
      </c>
      <c r="AA331" s="43"/>
    </row>
    <row r="332" spans="1:27" ht="24.75" x14ac:dyDescent="0.25">
      <c r="A332" s="16" t="s">
        <v>335</v>
      </c>
      <c r="B332" s="22" t="s">
        <v>336</v>
      </c>
      <c r="C332" s="22" t="s">
        <v>2</v>
      </c>
      <c r="D332" s="17">
        <f>D333+D341+D344</f>
        <v>469.4</v>
      </c>
      <c r="E332" s="17">
        <f>E333+E341+E344</f>
        <v>0</v>
      </c>
      <c r="F332" s="17">
        <f t="shared" si="67"/>
        <v>469.4</v>
      </c>
      <c r="G332" s="17">
        <f>G333+G341+G344</f>
        <v>0</v>
      </c>
      <c r="H332" s="17">
        <f t="shared" si="68"/>
        <v>469.4</v>
      </c>
      <c r="I332" s="17">
        <f>I333+I341+I344</f>
        <v>0</v>
      </c>
      <c r="J332" s="17">
        <f t="shared" si="69"/>
        <v>469.4</v>
      </c>
      <c r="K332" s="17">
        <f>K333+K341+K344</f>
        <v>0</v>
      </c>
      <c r="L332" s="17">
        <f t="shared" si="70"/>
        <v>469.4</v>
      </c>
      <c r="M332" s="17">
        <f>M333+M341+M344</f>
        <v>0</v>
      </c>
      <c r="N332" s="17">
        <f t="shared" si="71"/>
        <v>469.4</v>
      </c>
      <c r="O332" s="17">
        <f>O333+O341+O344</f>
        <v>0</v>
      </c>
      <c r="P332" s="17">
        <f t="shared" si="72"/>
        <v>469.4</v>
      </c>
      <c r="Q332" s="17">
        <f>Q333+Q341+Q344</f>
        <v>0</v>
      </c>
      <c r="R332" s="17">
        <f t="shared" si="73"/>
        <v>469.4</v>
      </c>
      <c r="S332" s="17">
        <f>S333+S341+S344</f>
        <v>-38</v>
      </c>
      <c r="T332" s="17">
        <f t="shared" si="74"/>
        <v>431.4</v>
      </c>
      <c r="U332" s="17">
        <f>U333+U341+U344</f>
        <v>-27.2</v>
      </c>
      <c r="V332" s="17">
        <f t="shared" si="75"/>
        <v>404.2</v>
      </c>
      <c r="W332" s="17">
        <f>W333+W341+W344</f>
        <v>0</v>
      </c>
      <c r="X332" s="17">
        <f t="shared" si="76"/>
        <v>404.2</v>
      </c>
    </row>
    <row r="333" spans="1:27" ht="24.75" x14ac:dyDescent="0.25">
      <c r="A333" s="13" t="s">
        <v>337</v>
      </c>
      <c r="B333" s="24" t="s">
        <v>338</v>
      </c>
      <c r="C333" s="24" t="s">
        <v>2</v>
      </c>
      <c r="D333" s="18">
        <f>D334+D336+D339</f>
        <v>120</v>
      </c>
      <c r="E333" s="18">
        <f>E334+E336+E339</f>
        <v>0</v>
      </c>
      <c r="F333" s="18">
        <f t="shared" si="67"/>
        <v>120</v>
      </c>
      <c r="G333" s="18">
        <f>G334+G336+G339</f>
        <v>0</v>
      </c>
      <c r="H333" s="18">
        <f t="shared" si="68"/>
        <v>120</v>
      </c>
      <c r="I333" s="18">
        <f>I334+I336+I339</f>
        <v>0</v>
      </c>
      <c r="J333" s="18">
        <f t="shared" si="69"/>
        <v>120</v>
      </c>
      <c r="K333" s="18">
        <f>K334+K336+K339</f>
        <v>0</v>
      </c>
      <c r="L333" s="18">
        <f t="shared" si="70"/>
        <v>120</v>
      </c>
      <c r="M333" s="18">
        <f>M334+M336+M339</f>
        <v>0</v>
      </c>
      <c r="N333" s="18">
        <f t="shared" si="71"/>
        <v>120</v>
      </c>
      <c r="O333" s="18">
        <f>O334+O336+O339</f>
        <v>0</v>
      </c>
      <c r="P333" s="18">
        <f t="shared" si="72"/>
        <v>120</v>
      </c>
      <c r="Q333" s="18">
        <f>Q334+Q336+Q339</f>
        <v>0</v>
      </c>
      <c r="R333" s="18">
        <f t="shared" si="73"/>
        <v>120</v>
      </c>
      <c r="S333" s="18">
        <f>S334+S336+S339</f>
        <v>0</v>
      </c>
      <c r="T333" s="18">
        <f t="shared" si="74"/>
        <v>120</v>
      </c>
      <c r="U333" s="18">
        <f>U334+U336+U339</f>
        <v>20</v>
      </c>
      <c r="V333" s="18">
        <f t="shared" si="75"/>
        <v>140</v>
      </c>
      <c r="W333" s="18">
        <f>W334+W336+W339</f>
        <v>0</v>
      </c>
      <c r="X333" s="18">
        <f t="shared" si="76"/>
        <v>140</v>
      </c>
    </row>
    <row r="334" spans="1:27" ht="36.75" x14ac:dyDescent="0.25">
      <c r="A334" s="13" t="s">
        <v>406</v>
      </c>
      <c r="B334" s="24" t="s">
        <v>407</v>
      </c>
      <c r="C334" s="24" t="s">
        <v>2</v>
      </c>
      <c r="D334" s="18">
        <f>D335</f>
        <v>30</v>
      </c>
      <c r="E334" s="18">
        <f>E335</f>
        <v>0</v>
      </c>
      <c r="F334" s="18">
        <f t="shared" si="67"/>
        <v>30</v>
      </c>
      <c r="G334" s="18">
        <f>G335</f>
        <v>0</v>
      </c>
      <c r="H334" s="18">
        <f t="shared" si="68"/>
        <v>30</v>
      </c>
      <c r="I334" s="18">
        <f>I335</f>
        <v>0</v>
      </c>
      <c r="J334" s="18">
        <f t="shared" si="69"/>
        <v>30</v>
      </c>
      <c r="K334" s="18">
        <f>K335</f>
        <v>0</v>
      </c>
      <c r="L334" s="18">
        <f t="shared" si="70"/>
        <v>30</v>
      </c>
      <c r="M334" s="18">
        <f>M335</f>
        <v>0</v>
      </c>
      <c r="N334" s="18">
        <f t="shared" si="71"/>
        <v>30</v>
      </c>
      <c r="O334" s="18">
        <f>O335</f>
        <v>0</v>
      </c>
      <c r="P334" s="18">
        <f t="shared" si="72"/>
        <v>30</v>
      </c>
      <c r="Q334" s="18">
        <f>Q335</f>
        <v>0</v>
      </c>
      <c r="R334" s="18">
        <f t="shared" si="73"/>
        <v>30</v>
      </c>
      <c r="S334" s="18">
        <f>S335</f>
        <v>0</v>
      </c>
      <c r="T334" s="18">
        <f t="shared" si="74"/>
        <v>30</v>
      </c>
      <c r="U334" s="18">
        <f>U335</f>
        <v>0</v>
      </c>
      <c r="V334" s="18">
        <f t="shared" si="75"/>
        <v>30</v>
      </c>
      <c r="W334" s="18">
        <f>W335</f>
        <v>0</v>
      </c>
      <c r="X334" s="18">
        <f t="shared" si="76"/>
        <v>30</v>
      </c>
    </row>
    <row r="335" spans="1:27" x14ac:dyDescent="0.25">
      <c r="A335" s="7" t="s">
        <v>54</v>
      </c>
      <c r="B335" s="25" t="s">
        <v>407</v>
      </c>
      <c r="C335" s="25" t="s">
        <v>34</v>
      </c>
      <c r="D335" s="19">
        <v>30</v>
      </c>
      <c r="E335" s="19"/>
      <c r="F335" s="18">
        <f t="shared" si="67"/>
        <v>30</v>
      </c>
      <c r="G335" s="19"/>
      <c r="H335" s="18">
        <f t="shared" si="68"/>
        <v>30</v>
      </c>
      <c r="I335" s="19"/>
      <c r="J335" s="18">
        <f t="shared" si="69"/>
        <v>30</v>
      </c>
      <c r="K335" s="19"/>
      <c r="L335" s="18">
        <f t="shared" si="70"/>
        <v>30</v>
      </c>
      <c r="M335" s="19"/>
      <c r="N335" s="18">
        <f t="shared" si="71"/>
        <v>30</v>
      </c>
      <c r="O335" s="19"/>
      <c r="P335" s="18">
        <f t="shared" si="72"/>
        <v>30</v>
      </c>
      <c r="Q335" s="19"/>
      <c r="R335" s="18">
        <f t="shared" si="73"/>
        <v>30</v>
      </c>
      <c r="S335" s="64"/>
      <c r="T335" s="18">
        <f t="shared" si="74"/>
        <v>30</v>
      </c>
      <c r="U335" s="64"/>
      <c r="V335" s="18">
        <f t="shared" si="75"/>
        <v>30</v>
      </c>
      <c r="W335" s="64"/>
      <c r="X335" s="18">
        <f t="shared" si="76"/>
        <v>30</v>
      </c>
      <c r="Z335" s="43">
        <f>X335+Y335</f>
        <v>30</v>
      </c>
      <c r="AA335" s="43"/>
    </row>
    <row r="336" spans="1:27" ht="24.75" x14ac:dyDescent="0.25">
      <c r="A336" s="13" t="s">
        <v>339</v>
      </c>
      <c r="B336" s="24" t="s">
        <v>340</v>
      </c>
      <c r="C336" s="24" t="s">
        <v>2</v>
      </c>
      <c r="D336" s="18">
        <f>D338</f>
        <v>60</v>
      </c>
      <c r="E336" s="18">
        <f>E338</f>
        <v>0</v>
      </c>
      <c r="F336" s="18">
        <f t="shared" si="67"/>
        <v>60</v>
      </c>
      <c r="G336" s="18">
        <f>G338</f>
        <v>0</v>
      </c>
      <c r="H336" s="18">
        <f t="shared" si="68"/>
        <v>60</v>
      </c>
      <c r="I336" s="18">
        <f>I338</f>
        <v>0</v>
      </c>
      <c r="J336" s="18">
        <f t="shared" si="69"/>
        <v>60</v>
      </c>
      <c r="K336" s="18">
        <f>K338+K337</f>
        <v>0</v>
      </c>
      <c r="L336" s="18">
        <f t="shared" si="70"/>
        <v>60</v>
      </c>
      <c r="M336" s="18">
        <f>M338+M337</f>
        <v>0</v>
      </c>
      <c r="N336" s="18">
        <f t="shared" si="71"/>
        <v>60</v>
      </c>
      <c r="O336" s="18">
        <f>O338+O337</f>
        <v>0</v>
      </c>
      <c r="P336" s="18">
        <f t="shared" si="72"/>
        <v>60</v>
      </c>
      <c r="Q336" s="18">
        <f>Q338+Q337</f>
        <v>0</v>
      </c>
      <c r="R336" s="18">
        <f t="shared" si="73"/>
        <v>60</v>
      </c>
      <c r="S336" s="18">
        <f>S338+S337</f>
        <v>0</v>
      </c>
      <c r="T336" s="18">
        <f t="shared" si="74"/>
        <v>60</v>
      </c>
      <c r="U336" s="18">
        <f>U338+U337</f>
        <v>20</v>
      </c>
      <c r="V336" s="18">
        <f t="shared" si="75"/>
        <v>80</v>
      </c>
      <c r="W336" s="18">
        <f>W338+W337</f>
        <v>0</v>
      </c>
      <c r="X336" s="18">
        <f t="shared" si="76"/>
        <v>80</v>
      </c>
    </row>
    <row r="337" spans="1:27" x14ac:dyDescent="0.25">
      <c r="A337" s="7" t="s">
        <v>54</v>
      </c>
      <c r="B337" s="25" t="s">
        <v>340</v>
      </c>
      <c r="C337" s="25" t="s">
        <v>34</v>
      </c>
      <c r="D337" s="18"/>
      <c r="E337" s="18"/>
      <c r="F337" s="18"/>
      <c r="G337" s="18"/>
      <c r="H337" s="18"/>
      <c r="I337" s="18"/>
      <c r="J337" s="18"/>
      <c r="K337" s="106">
        <v>20</v>
      </c>
      <c r="L337" s="18">
        <f t="shared" si="70"/>
        <v>20</v>
      </c>
      <c r="M337" s="64"/>
      <c r="N337" s="18">
        <f t="shared" si="71"/>
        <v>20</v>
      </c>
      <c r="O337" s="64"/>
      <c r="P337" s="18">
        <f t="shared" si="72"/>
        <v>20</v>
      </c>
      <c r="Q337" s="64"/>
      <c r="R337" s="18">
        <f t="shared" si="73"/>
        <v>20</v>
      </c>
      <c r="S337" s="64"/>
      <c r="T337" s="18">
        <f t="shared" si="74"/>
        <v>20</v>
      </c>
      <c r="U337" s="96">
        <v>60</v>
      </c>
      <c r="V337" s="18">
        <f t="shared" si="75"/>
        <v>80</v>
      </c>
      <c r="W337" s="64"/>
      <c r="X337" s="18">
        <f t="shared" si="76"/>
        <v>80</v>
      </c>
      <c r="Z337" s="43">
        <f t="shared" ref="Z337:Z338" si="90">X337+Y337</f>
        <v>80</v>
      </c>
      <c r="AA337" s="43"/>
    </row>
    <row r="338" spans="1:27" hidden="1" x14ac:dyDescent="0.25">
      <c r="A338" s="9" t="s">
        <v>511</v>
      </c>
      <c r="B338" s="25" t="s">
        <v>340</v>
      </c>
      <c r="C338" s="25" t="s">
        <v>66</v>
      </c>
      <c r="D338" s="19">
        <v>60</v>
      </c>
      <c r="E338" s="19"/>
      <c r="F338" s="18">
        <f t="shared" si="67"/>
        <v>60</v>
      </c>
      <c r="G338" s="19"/>
      <c r="H338" s="18">
        <f t="shared" si="68"/>
        <v>60</v>
      </c>
      <c r="I338" s="19"/>
      <c r="J338" s="18">
        <f t="shared" si="69"/>
        <v>60</v>
      </c>
      <c r="K338" s="106">
        <v>-20</v>
      </c>
      <c r="L338" s="18">
        <f t="shared" si="70"/>
        <v>40</v>
      </c>
      <c r="M338" s="64"/>
      <c r="N338" s="18">
        <f t="shared" si="71"/>
        <v>40</v>
      </c>
      <c r="O338" s="64"/>
      <c r="P338" s="18">
        <f t="shared" si="72"/>
        <v>40</v>
      </c>
      <c r="Q338" s="64"/>
      <c r="R338" s="18">
        <f t="shared" si="73"/>
        <v>40</v>
      </c>
      <c r="S338" s="64"/>
      <c r="T338" s="18">
        <f t="shared" si="74"/>
        <v>40</v>
      </c>
      <c r="U338" s="96">
        <v>-40</v>
      </c>
      <c r="V338" s="18">
        <f t="shared" si="75"/>
        <v>0</v>
      </c>
      <c r="W338" s="64"/>
      <c r="X338" s="18">
        <f t="shared" si="76"/>
        <v>0</v>
      </c>
      <c r="Z338" s="43">
        <f t="shared" si="90"/>
        <v>0</v>
      </c>
      <c r="AA338" s="43"/>
    </row>
    <row r="339" spans="1:27" ht="36.75" x14ac:dyDescent="0.25">
      <c r="A339" s="13" t="s">
        <v>343</v>
      </c>
      <c r="B339" s="24" t="s">
        <v>385</v>
      </c>
      <c r="C339" s="24" t="s">
        <v>2</v>
      </c>
      <c r="D339" s="18">
        <f>D340</f>
        <v>30</v>
      </c>
      <c r="E339" s="18">
        <f>E340</f>
        <v>0</v>
      </c>
      <c r="F339" s="18">
        <f t="shared" si="67"/>
        <v>30</v>
      </c>
      <c r="G339" s="18">
        <f>G340</f>
        <v>0</v>
      </c>
      <c r="H339" s="18">
        <f t="shared" si="68"/>
        <v>30</v>
      </c>
      <c r="I339" s="18">
        <f>I340</f>
        <v>0</v>
      </c>
      <c r="J339" s="18">
        <f t="shared" si="69"/>
        <v>30</v>
      </c>
      <c r="K339" s="18">
        <f>K340</f>
        <v>0</v>
      </c>
      <c r="L339" s="18">
        <f t="shared" si="70"/>
        <v>30</v>
      </c>
      <c r="M339" s="18">
        <f>M340</f>
        <v>0</v>
      </c>
      <c r="N339" s="18">
        <f t="shared" si="71"/>
        <v>30</v>
      </c>
      <c r="O339" s="18">
        <f>O340</f>
        <v>0</v>
      </c>
      <c r="P339" s="18">
        <f t="shared" si="72"/>
        <v>30</v>
      </c>
      <c r="Q339" s="18">
        <f>Q340</f>
        <v>0</v>
      </c>
      <c r="R339" s="18">
        <f t="shared" si="73"/>
        <v>30</v>
      </c>
      <c r="S339" s="18">
        <f>S340</f>
        <v>0</v>
      </c>
      <c r="T339" s="18">
        <f t="shared" si="74"/>
        <v>30</v>
      </c>
      <c r="U339" s="18">
        <f>U340</f>
        <v>0</v>
      </c>
      <c r="V339" s="18">
        <f t="shared" si="75"/>
        <v>30</v>
      </c>
      <c r="W339" s="18">
        <f>W340</f>
        <v>0</v>
      </c>
      <c r="X339" s="18">
        <f t="shared" si="76"/>
        <v>30</v>
      </c>
    </row>
    <row r="340" spans="1:27" x14ac:dyDescent="0.25">
      <c r="A340" s="9" t="s">
        <v>511</v>
      </c>
      <c r="B340" s="25" t="s">
        <v>385</v>
      </c>
      <c r="C340" s="25" t="s">
        <v>66</v>
      </c>
      <c r="D340" s="19">
        <v>30</v>
      </c>
      <c r="E340" s="19"/>
      <c r="F340" s="18">
        <f t="shared" si="67"/>
        <v>30</v>
      </c>
      <c r="G340" s="19"/>
      <c r="H340" s="18">
        <f t="shared" si="68"/>
        <v>30</v>
      </c>
      <c r="I340" s="19"/>
      <c r="J340" s="18">
        <f t="shared" si="69"/>
        <v>30</v>
      </c>
      <c r="K340" s="19"/>
      <c r="L340" s="18">
        <f t="shared" si="70"/>
        <v>30</v>
      </c>
      <c r="M340" s="19"/>
      <c r="N340" s="18">
        <f t="shared" si="71"/>
        <v>30</v>
      </c>
      <c r="O340" s="19"/>
      <c r="P340" s="18">
        <f t="shared" si="72"/>
        <v>30</v>
      </c>
      <c r="Q340" s="19"/>
      <c r="R340" s="18">
        <f t="shared" si="73"/>
        <v>30</v>
      </c>
      <c r="S340" s="64"/>
      <c r="T340" s="18">
        <f t="shared" si="74"/>
        <v>30</v>
      </c>
      <c r="U340" s="64"/>
      <c r="V340" s="18">
        <f t="shared" si="75"/>
        <v>30</v>
      </c>
      <c r="W340" s="64"/>
      <c r="X340" s="18">
        <f t="shared" si="76"/>
        <v>30</v>
      </c>
      <c r="Z340" s="43">
        <f>X340+Y340</f>
        <v>30</v>
      </c>
      <c r="AA340" s="43"/>
    </row>
    <row r="341" spans="1:27" x14ac:dyDescent="0.25">
      <c r="A341" s="13" t="s">
        <v>408</v>
      </c>
      <c r="B341" s="24" t="s">
        <v>409</v>
      </c>
      <c r="C341" s="24" t="s">
        <v>2</v>
      </c>
      <c r="D341" s="18">
        <f>D342</f>
        <v>319.39999999999998</v>
      </c>
      <c r="E341" s="18">
        <f>E342</f>
        <v>0</v>
      </c>
      <c r="F341" s="18">
        <f t="shared" si="67"/>
        <v>319.39999999999998</v>
      </c>
      <c r="G341" s="18">
        <f>G342</f>
        <v>0</v>
      </c>
      <c r="H341" s="18">
        <f t="shared" si="68"/>
        <v>319.39999999999998</v>
      </c>
      <c r="I341" s="18">
        <f>I342</f>
        <v>0</v>
      </c>
      <c r="J341" s="18">
        <f t="shared" si="69"/>
        <v>319.39999999999998</v>
      </c>
      <c r="K341" s="18">
        <f>K342</f>
        <v>0</v>
      </c>
      <c r="L341" s="18">
        <f t="shared" si="70"/>
        <v>319.39999999999998</v>
      </c>
      <c r="M341" s="18">
        <f>M342</f>
        <v>0</v>
      </c>
      <c r="N341" s="18">
        <f t="shared" si="71"/>
        <v>319.39999999999998</v>
      </c>
      <c r="O341" s="18">
        <f>O342</f>
        <v>0</v>
      </c>
      <c r="P341" s="18">
        <f t="shared" si="72"/>
        <v>319.39999999999998</v>
      </c>
      <c r="Q341" s="18">
        <f>Q342</f>
        <v>0</v>
      </c>
      <c r="R341" s="18">
        <f t="shared" si="73"/>
        <v>319.39999999999998</v>
      </c>
      <c r="S341" s="18">
        <f>S342</f>
        <v>-38</v>
      </c>
      <c r="T341" s="18">
        <f t="shared" si="74"/>
        <v>281.39999999999998</v>
      </c>
      <c r="U341" s="18">
        <f>U342</f>
        <v>-27.2</v>
      </c>
      <c r="V341" s="18">
        <f t="shared" si="75"/>
        <v>254.2</v>
      </c>
      <c r="W341" s="18">
        <f>W342</f>
        <v>0</v>
      </c>
      <c r="X341" s="18">
        <f t="shared" si="76"/>
        <v>254.2</v>
      </c>
    </row>
    <row r="342" spans="1:27" ht="24.75" x14ac:dyDescent="0.25">
      <c r="A342" s="13" t="s">
        <v>339</v>
      </c>
      <c r="B342" s="24" t="s">
        <v>410</v>
      </c>
      <c r="C342" s="24" t="s">
        <v>2</v>
      </c>
      <c r="D342" s="18">
        <f>D343</f>
        <v>319.39999999999998</v>
      </c>
      <c r="E342" s="18">
        <f>E343</f>
        <v>0</v>
      </c>
      <c r="F342" s="18">
        <f t="shared" si="67"/>
        <v>319.39999999999998</v>
      </c>
      <c r="G342" s="18">
        <f>G343</f>
        <v>0</v>
      </c>
      <c r="H342" s="18">
        <f t="shared" si="68"/>
        <v>319.39999999999998</v>
      </c>
      <c r="I342" s="18">
        <f>I343</f>
        <v>0</v>
      </c>
      <c r="J342" s="18">
        <f t="shared" si="69"/>
        <v>319.39999999999998</v>
      </c>
      <c r="K342" s="18">
        <f>K343</f>
        <v>0</v>
      </c>
      <c r="L342" s="18">
        <f t="shared" si="70"/>
        <v>319.39999999999998</v>
      </c>
      <c r="M342" s="18">
        <f>M343</f>
        <v>0</v>
      </c>
      <c r="N342" s="18">
        <f t="shared" si="71"/>
        <v>319.39999999999998</v>
      </c>
      <c r="O342" s="18">
        <f>O343</f>
        <v>0</v>
      </c>
      <c r="P342" s="18">
        <f t="shared" si="72"/>
        <v>319.39999999999998</v>
      </c>
      <c r="Q342" s="18">
        <f>Q343</f>
        <v>0</v>
      </c>
      <c r="R342" s="18">
        <f t="shared" si="73"/>
        <v>319.39999999999998</v>
      </c>
      <c r="S342" s="18">
        <f>S343</f>
        <v>-38</v>
      </c>
      <c r="T342" s="18">
        <f t="shared" si="74"/>
        <v>281.39999999999998</v>
      </c>
      <c r="U342" s="18">
        <f>U343</f>
        <v>-27.2</v>
      </c>
      <c r="V342" s="18">
        <f t="shared" si="75"/>
        <v>254.2</v>
      </c>
      <c r="W342" s="18">
        <f>W343</f>
        <v>0</v>
      </c>
      <c r="X342" s="18">
        <f t="shared" si="76"/>
        <v>254.2</v>
      </c>
    </row>
    <row r="343" spans="1:27" x14ac:dyDescent="0.25">
      <c r="A343" s="7" t="s">
        <v>54</v>
      </c>
      <c r="B343" s="25" t="s">
        <v>410</v>
      </c>
      <c r="C343" s="25" t="s">
        <v>34</v>
      </c>
      <c r="D343" s="19">
        <v>319.39999999999998</v>
      </c>
      <c r="E343" s="19"/>
      <c r="F343" s="18">
        <f t="shared" si="67"/>
        <v>319.39999999999998</v>
      </c>
      <c r="G343" s="19"/>
      <c r="H343" s="18">
        <f t="shared" si="68"/>
        <v>319.39999999999998</v>
      </c>
      <c r="I343" s="19"/>
      <c r="J343" s="18">
        <f t="shared" si="69"/>
        <v>319.39999999999998</v>
      </c>
      <c r="K343" s="19"/>
      <c r="L343" s="18">
        <f t="shared" si="70"/>
        <v>319.39999999999998</v>
      </c>
      <c r="M343" s="19"/>
      <c r="N343" s="18">
        <f t="shared" si="71"/>
        <v>319.39999999999998</v>
      </c>
      <c r="O343" s="19"/>
      <c r="P343" s="18">
        <f t="shared" si="72"/>
        <v>319.39999999999998</v>
      </c>
      <c r="Q343" s="19"/>
      <c r="R343" s="18">
        <f t="shared" si="73"/>
        <v>319.39999999999998</v>
      </c>
      <c r="S343" s="44">
        <v>-38</v>
      </c>
      <c r="T343" s="18">
        <f t="shared" si="74"/>
        <v>281.39999999999998</v>
      </c>
      <c r="U343" s="96">
        <v>-27.2</v>
      </c>
      <c r="V343" s="18">
        <f t="shared" si="75"/>
        <v>254.2</v>
      </c>
      <c r="W343" s="64"/>
      <c r="X343" s="18">
        <f t="shared" si="76"/>
        <v>254.2</v>
      </c>
      <c r="Z343" s="43">
        <f>X343+Y343</f>
        <v>254.2</v>
      </c>
      <c r="AA343" s="43"/>
    </row>
    <row r="344" spans="1:27" x14ac:dyDescent="0.25">
      <c r="A344" s="13" t="s">
        <v>341</v>
      </c>
      <c r="B344" s="24" t="s">
        <v>342</v>
      </c>
      <c r="C344" s="24" t="s">
        <v>2</v>
      </c>
      <c r="D344" s="18">
        <f>D345</f>
        <v>30</v>
      </c>
      <c r="E344" s="18">
        <f>E345</f>
        <v>0</v>
      </c>
      <c r="F344" s="18">
        <f t="shared" si="67"/>
        <v>30</v>
      </c>
      <c r="G344" s="18">
        <f>G345</f>
        <v>0</v>
      </c>
      <c r="H344" s="18">
        <f t="shared" si="68"/>
        <v>30</v>
      </c>
      <c r="I344" s="18">
        <f>I345</f>
        <v>0</v>
      </c>
      <c r="J344" s="18">
        <f t="shared" si="69"/>
        <v>30</v>
      </c>
      <c r="K344" s="18">
        <f>K345</f>
        <v>0</v>
      </c>
      <c r="L344" s="18">
        <f t="shared" si="70"/>
        <v>30</v>
      </c>
      <c r="M344" s="18">
        <f>M345</f>
        <v>0</v>
      </c>
      <c r="N344" s="18">
        <f t="shared" si="71"/>
        <v>30</v>
      </c>
      <c r="O344" s="18">
        <f>O345</f>
        <v>0</v>
      </c>
      <c r="P344" s="18">
        <f t="shared" si="72"/>
        <v>30</v>
      </c>
      <c r="Q344" s="18">
        <f>Q345</f>
        <v>0</v>
      </c>
      <c r="R344" s="18">
        <f t="shared" si="73"/>
        <v>30</v>
      </c>
      <c r="S344" s="18">
        <f>S345</f>
        <v>0</v>
      </c>
      <c r="T344" s="18">
        <f t="shared" si="74"/>
        <v>30</v>
      </c>
      <c r="U344" s="18">
        <f>U345</f>
        <v>-20</v>
      </c>
      <c r="V344" s="18">
        <f t="shared" si="75"/>
        <v>10</v>
      </c>
      <c r="W344" s="18">
        <f>W345</f>
        <v>0</v>
      </c>
      <c r="X344" s="18">
        <f t="shared" si="76"/>
        <v>10</v>
      </c>
    </row>
    <row r="345" spans="1:27" ht="36.75" x14ac:dyDescent="0.25">
      <c r="A345" s="13" t="s">
        <v>343</v>
      </c>
      <c r="B345" s="24" t="s">
        <v>344</v>
      </c>
      <c r="C345" s="24" t="s">
        <v>2</v>
      </c>
      <c r="D345" s="18">
        <f>D346</f>
        <v>30</v>
      </c>
      <c r="E345" s="18">
        <f>E346</f>
        <v>0</v>
      </c>
      <c r="F345" s="18">
        <f t="shared" si="67"/>
        <v>30</v>
      </c>
      <c r="G345" s="18">
        <f>G346</f>
        <v>0</v>
      </c>
      <c r="H345" s="18">
        <f t="shared" si="68"/>
        <v>30</v>
      </c>
      <c r="I345" s="18">
        <f>I346</f>
        <v>0</v>
      </c>
      <c r="J345" s="18">
        <f t="shared" si="69"/>
        <v>30</v>
      </c>
      <c r="K345" s="18">
        <f>K346</f>
        <v>0</v>
      </c>
      <c r="L345" s="18">
        <f t="shared" si="70"/>
        <v>30</v>
      </c>
      <c r="M345" s="18">
        <f>M346</f>
        <v>0</v>
      </c>
      <c r="N345" s="18">
        <f t="shared" si="71"/>
        <v>30</v>
      </c>
      <c r="O345" s="18">
        <f>O346</f>
        <v>0</v>
      </c>
      <c r="P345" s="18">
        <f t="shared" si="72"/>
        <v>30</v>
      </c>
      <c r="Q345" s="18">
        <f>Q346</f>
        <v>0</v>
      </c>
      <c r="R345" s="18">
        <f t="shared" si="73"/>
        <v>30</v>
      </c>
      <c r="S345" s="18">
        <f>S346</f>
        <v>0</v>
      </c>
      <c r="T345" s="18">
        <f t="shared" si="74"/>
        <v>30</v>
      </c>
      <c r="U345" s="18">
        <f>U346</f>
        <v>-20</v>
      </c>
      <c r="V345" s="18">
        <f t="shared" si="75"/>
        <v>10</v>
      </c>
      <c r="W345" s="18">
        <f>W346</f>
        <v>0</v>
      </c>
      <c r="X345" s="18">
        <f t="shared" si="76"/>
        <v>10</v>
      </c>
    </row>
    <row r="346" spans="1:27" x14ac:dyDescent="0.25">
      <c r="A346" s="9" t="s">
        <v>511</v>
      </c>
      <c r="B346" s="25" t="s">
        <v>344</v>
      </c>
      <c r="C346" s="25" t="s">
        <v>66</v>
      </c>
      <c r="D346" s="19">
        <v>30</v>
      </c>
      <c r="E346" s="19"/>
      <c r="F346" s="18">
        <f t="shared" si="67"/>
        <v>30</v>
      </c>
      <c r="G346" s="19"/>
      <c r="H346" s="18">
        <f t="shared" si="68"/>
        <v>30</v>
      </c>
      <c r="I346" s="19"/>
      <c r="J346" s="18">
        <f t="shared" si="69"/>
        <v>30</v>
      </c>
      <c r="K346" s="19"/>
      <c r="L346" s="18">
        <f t="shared" si="70"/>
        <v>30</v>
      </c>
      <c r="M346" s="19"/>
      <c r="N346" s="18">
        <f t="shared" si="71"/>
        <v>30</v>
      </c>
      <c r="O346" s="19"/>
      <c r="P346" s="18">
        <f t="shared" si="72"/>
        <v>30</v>
      </c>
      <c r="Q346" s="19"/>
      <c r="R346" s="18">
        <f t="shared" si="73"/>
        <v>30</v>
      </c>
      <c r="S346" s="64"/>
      <c r="T346" s="18">
        <f t="shared" si="74"/>
        <v>30</v>
      </c>
      <c r="U346" s="96">
        <v>-20</v>
      </c>
      <c r="V346" s="18">
        <f t="shared" si="75"/>
        <v>10</v>
      </c>
      <c r="W346" s="64"/>
      <c r="X346" s="18">
        <f t="shared" si="76"/>
        <v>10</v>
      </c>
      <c r="Z346" s="43">
        <f>X346+Y346</f>
        <v>10</v>
      </c>
      <c r="AA346" s="43"/>
    </row>
    <row r="347" spans="1:27" ht="24.75" x14ac:dyDescent="0.25">
      <c r="A347" s="16" t="s">
        <v>474</v>
      </c>
      <c r="B347" s="22" t="s">
        <v>12</v>
      </c>
      <c r="C347" s="22" t="s">
        <v>2</v>
      </c>
      <c r="D347" s="17">
        <f>D348+D359+D368</f>
        <v>22084.999999999996</v>
      </c>
      <c r="E347" s="17">
        <f>E348+E359+E368</f>
        <v>7289.4</v>
      </c>
      <c r="F347" s="17">
        <f t="shared" ref="F347:F418" si="91">D347+E347</f>
        <v>29374.399999999994</v>
      </c>
      <c r="G347" s="17">
        <f>G348+G359+G368</f>
        <v>46737.7</v>
      </c>
      <c r="H347" s="17">
        <f t="shared" ref="H347:H418" si="92">F347+G347</f>
        <v>76112.099999999991</v>
      </c>
      <c r="I347" s="17">
        <f>I348+I359+I368</f>
        <v>2357.6</v>
      </c>
      <c r="J347" s="17">
        <f t="shared" ref="J347:J418" si="93">H347+I347</f>
        <v>78469.7</v>
      </c>
      <c r="K347" s="17">
        <f>K348+K359+K368</f>
        <v>-57635.299999999996</v>
      </c>
      <c r="L347" s="17">
        <f t="shared" ref="L347:L418" si="94">J347+K347</f>
        <v>20834.400000000001</v>
      </c>
      <c r="M347" s="17">
        <f>M348+M359+M368</f>
        <v>145.9</v>
      </c>
      <c r="N347" s="17">
        <f t="shared" ref="N347:N418" si="95">L347+M347</f>
        <v>20980.300000000003</v>
      </c>
      <c r="O347" s="17">
        <f>O348+O359+O368</f>
        <v>0</v>
      </c>
      <c r="P347" s="17">
        <f t="shared" ref="P347:P358" si="96">N347+O347</f>
        <v>20980.300000000003</v>
      </c>
      <c r="Q347" s="17">
        <f>Q348+Q359+Q368</f>
        <v>400</v>
      </c>
      <c r="R347" s="17">
        <f t="shared" ref="R347:R358" si="97">P347+Q347</f>
        <v>21380.300000000003</v>
      </c>
      <c r="S347" s="17">
        <f>S348+S359+S368</f>
        <v>0</v>
      </c>
      <c r="T347" s="17">
        <f t="shared" ref="T347:T358" si="98">R347+S347</f>
        <v>21380.300000000003</v>
      </c>
      <c r="U347" s="17">
        <f>U348+U359+U368</f>
        <v>-373.9</v>
      </c>
      <c r="V347" s="17">
        <f t="shared" ref="V347:V358" si="99">T347+U347</f>
        <v>21006.400000000001</v>
      </c>
      <c r="W347" s="17">
        <f>W348+W359+W368</f>
        <v>421.29999999999995</v>
      </c>
      <c r="X347" s="17">
        <f t="shared" ref="X347:X358" si="100">V347+W347</f>
        <v>21427.7</v>
      </c>
    </row>
    <row r="348" spans="1:27" x14ac:dyDescent="0.25">
      <c r="A348" s="13" t="s">
        <v>386</v>
      </c>
      <c r="B348" s="24" t="s">
        <v>387</v>
      </c>
      <c r="C348" s="24" t="s">
        <v>2</v>
      </c>
      <c r="D348" s="18">
        <f>D349+D352+D355</f>
        <v>18360.599999999999</v>
      </c>
      <c r="E348" s="18">
        <f>E349+E352+E355</f>
        <v>0</v>
      </c>
      <c r="F348" s="18">
        <f t="shared" si="91"/>
        <v>18360.599999999999</v>
      </c>
      <c r="G348" s="18">
        <f>G349+G352+G355</f>
        <v>0</v>
      </c>
      <c r="H348" s="18">
        <f t="shared" si="92"/>
        <v>18360.599999999999</v>
      </c>
      <c r="I348" s="18">
        <f>I349+I352+I355</f>
        <v>0</v>
      </c>
      <c r="J348" s="18">
        <f t="shared" si="93"/>
        <v>18360.599999999999</v>
      </c>
      <c r="K348" s="18">
        <f>K349+K352+K355</f>
        <v>-3611.4</v>
      </c>
      <c r="L348" s="18">
        <f t="shared" si="94"/>
        <v>14749.199999999999</v>
      </c>
      <c r="M348" s="18">
        <f>M349+M352+M355</f>
        <v>0</v>
      </c>
      <c r="N348" s="18">
        <f t="shared" si="95"/>
        <v>14749.199999999999</v>
      </c>
      <c r="O348" s="18">
        <f>O349+O352+O355</f>
        <v>0</v>
      </c>
      <c r="P348" s="18">
        <f t="shared" si="96"/>
        <v>14749.199999999999</v>
      </c>
      <c r="Q348" s="18">
        <f>Q349+Q352+Q355</f>
        <v>0</v>
      </c>
      <c r="R348" s="18">
        <f t="shared" si="97"/>
        <v>14749.199999999999</v>
      </c>
      <c r="S348" s="18">
        <f>S349+S352+S355</f>
        <v>0</v>
      </c>
      <c r="T348" s="18">
        <f t="shared" si="98"/>
        <v>14749.199999999999</v>
      </c>
      <c r="U348" s="18">
        <f>U349+U352+U355</f>
        <v>0</v>
      </c>
      <c r="V348" s="18">
        <f t="shared" si="99"/>
        <v>14749.199999999999</v>
      </c>
      <c r="W348" s="18">
        <f>W349+W352+W355</f>
        <v>0</v>
      </c>
      <c r="X348" s="18">
        <f t="shared" si="100"/>
        <v>14749.199999999999</v>
      </c>
    </row>
    <row r="349" spans="1:27" ht="24.75" x14ac:dyDescent="0.25">
      <c r="A349" s="13" t="s">
        <v>388</v>
      </c>
      <c r="B349" s="24" t="s">
        <v>389</v>
      </c>
      <c r="C349" s="24" t="s">
        <v>2</v>
      </c>
      <c r="D349" s="18">
        <f>D350</f>
        <v>55</v>
      </c>
      <c r="E349" s="18">
        <f>E350</f>
        <v>0</v>
      </c>
      <c r="F349" s="18">
        <f t="shared" si="91"/>
        <v>55</v>
      </c>
      <c r="G349" s="18">
        <f>G350</f>
        <v>0</v>
      </c>
      <c r="H349" s="18">
        <f t="shared" si="92"/>
        <v>55</v>
      </c>
      <c r="I349" s="18">
        <f>I350</f>
        <v>0</v>
      </c>
      <c r="J349" s="18">
        <f t="shared" si="93"/>
        <v>55</v>
      </c>
      <c r="K349" s="18">
        <f>K350</f>
        <v>43.7</v>
      </c>
      <c r="L349" s="18">
        <f t="shared" si="94"/>
        <v>98.7</v>
      </c>
      <c r="M349" s="18">
        <f>M350</f>
        <v>0</v>
      </c>
      <c r="N349" s="18">
        <f t="shared" si="95"/>
        <v>98.7</v>
      </c>
      <c r="O349" s="18">
        <f>O350</f>
        <v>0</v>
      </c>
      <c r="P349" s="18">
        <f t="shared" si="96"/>
        <v>98.7</v>
      </c>
      <c r="Q349" s="18">
        <f>Q350</f>
        <v>0</v>
      </c>
      <c r="R349" s="18">
        <f t="shared" si="97"/>
        <v>98.7</v>
      </c>
      <c r="S349" s="18">
        <f>S350</f>
        <v>0</v>
      </c>
      <c r="T349" s="18">
        <f t="shared" si="98"/>
        <v>98.7</v>
      </c>
      <c r="U349" s="18">
        <f>U350</f>
        <v>30</v>
      </c>
      <c r="V349" s="18">
        <f t="shared" si="99"/>
        <v>128.69999999999999</v>
      </c>
      <c r="W349" s="18">
        <f>W350</f>
        <v>0</v>
      </c>
      <c r="X349" s="18">
        <f t="shared" si="100"/>
        <v>128.69999999999999</v>
      </c>
    </row>
    <row r="350" spans="1:27" x14ac:dyDescent="0.25">
      <c r="A350" s="13" t="s">
        <v>390</v>
      </c>
      <c r="B350" s="24" t="s">
        <v>391</v>
      </c>
      <c r="C350" s="24" t="s">
        <v>2</v>
      </c>
      <c r="D350" s="18">
        <f>D351</f>
        <v>55</v>
      </c>
      <c r="E350" s="18">
        <f>E351</f>
        <v>0</v>
      </c>
      <c r="F350" s="18">
        <f t="shared" si="91"/>
        <v>55</v>
      </c>
      <c r="G350" s="18">
        <f>G351</f>
        <v>0</v>
      </c>
      <c r="H350" s="18">
        <f t="shared" si="92"/>
        <v>55</v>
      </c>
      <c r="I350" s="18">
        <f>I351</f>
        <v>0</v>
      </c>
      <c r="J350" s="18">
        <f t="shared" si="93"/>
        <v>55</v>
      </c>
      <c r="K350" s="18">
        <f>K351</f>
        <v>43.7</v>
      </c>
      <c r="L350" s="18">
        <f t="shared" si="94"/>
        <v>98.7</v>
      </c>
      <c r="M350" s="18">
        <f>M351</f>
        <v>0</v>
      </c>
      <c r="N350" s="18">
        <f t="shared" si="95"/>
        <v>98.7</v>
      </c>
      <c r="O350" s="18">
        <f>O351</f>
        <v>0</v>
      </c>
      <c r="P350" s="18">
        <f t="shared" si="96"/>
        <v>98.7</v>
      </c>
      <c r="Q350" s="18">
        <f>Q351</f>
        <v>0</v>
      </c>
      <c r="R350" s="18">
        <f t="shared" si="97"/>
        <v>98.7</v>
      </c>
      <c r="S350" s="18">
        <f>S351</f>
        <v>0</v>
      </c>
      <c r="T350" s="18">
        <f t="shared" si="98"/>
        <v>98.7</v>
      </c>
      <c r="U350" s="18">
        <f>U351</f>
        <v>30</v>
      </c>
      <c r="V350" s="18">
        <f t="shared" si="99"/>
        <v>128.69999999999999</v>
      </c>
      <c r="W350" s="18">
        <f>W351</f>
        <v>0</v>
      </c>
      <c r="X350" s="18">
        <f t="shared" si="100"/>
        <v>128.69999999999999</v>
      </c>
    </row>
    <row r="351" spans="1:27" x14ac:dyDescent="0.25">
      <c r="A351" s="9" t="s">
        <v>511</v>
      </c>
      <c r="B351" s="25" t="s">
        <v>391</v>
      </c>
      <c r="C351" s="25" t="s">
        <v>66</v>
      </c>
      <c r="D351" s="19">
        <v>55</v>
      </c>
      <c r="E351" s="19"/>
      <c r="F351" s="18">
        <f t="shared" si="91"/>
        <v>55</v>
      </c>
      <c r="G351" s="19"/>
      <c r="H351" s="18">
        <f t="shared" si="92"/>
        <v>55</v>
      </c>
      <c r="I351" s="19"/>
      <c r="J351" s="18">
        <f t="shared" si="93"/>
        <v>55</v>
      </c>
      <c r="K351" s="106">
        <v>43.7</v>
      </c>
      <c r="L351" s="18">
        <f t="shared" si="94"/>
        <v>98.7</v>
      </c>
      <c r="M351" s="64"/>
      <c r="N351" s="18">
        <f t="shared" si="95"/>
        <v>98.7</v>
      </c>
      <c r="O351" s="64"/>
      <c r="P351" s="18">
        <f t="shared" si="96"/>
        <v>98.7</v>
      </c>
      <c r="Q351" s="64"/>
      <c r="R351" s="18">
        <f t="shared" si="97"/>
        <v>98.7</v>
      </c>
      <c r="S351" s="64"/>
      <c r="T351" s="18">
        <f t="shared" si="98"/>
        <v>98.7</v>
      </c>
      <c r="U351" s="96">
        <v>30</v>
      </c>
      <c r="V351" s="18">
        <f t="shared" si="99"/>
        <v>128.69999999999999</v>
      </c>
      <c r="W351" s="64"/>
      <c r="X351" s="18">
        <f t="shared" si="100"/>
        <v>128.69999999999999</v>
      </c>
      <c r="Z351" s="43">
        <f>X351+Y351</f>
        <v>128.69999999999999</v>
      </c>
      <c r="AA351" s="43"/>
    </row>
    <row r="352" spans="1:27" ht="24.75" hidden="1" x14ac:dyDescent="0.25">
      <c r="A352" s="13" t="s">
        <v>419</v>
      </c>
      <c r="B352" s="24" t="s">
        <v>420</v>
      </c>
      <c r="C352" s="24" t="s">
        <v>2</v>
      </c>
      <c r="D352" s="18">
        <f>D353</f>
        <v>30</v>
      </c>
      <c r="E352" s="18">
        <f>E353</f>
        <v>0</v>
      </c>
      <c r="F352" s="18">
        <f t="shared" si="91"/>
        <v>30</v>
      </c>
      <c r="G352" s="18">
        <f>G353</f>
        <v>0</v>
      </c>
      <c r="H352" s="18">
        <f t="shared" si="92"/>
        <v>30</v>
      </c>
      <c r="I352" s="18">
        <f>I353</f>
        <v>0</v>
      </c>
      <c r="J352" s="18">
        <f t="shared" si="93"/>
        <v>30</v>
      </c>
      <c r="K352" s="18">
        <f>K353</f>
        <v>0</v>
      </c>
      <c r="L352" s="18">
        <f t="shared" si="94"/>
        <v>30</v>
      </c>
      <c r="M352" s="18">
        <f>M353</f>
        <v>0</v>
      </c>
      <c r="N352" s="18">
        <f t="shared" si="95"/>
        <v>30</v>
      </c>
      <c r="O352" s="18">
        <f>O353</f>
        <v>0</v>
      </c>
      <c r="P352" s="18">
        <f t="shared" si="96"/>
        <v>30</v>
      </c>
      <c r="Q352" s="18">
        <f>Q353</f>
        <v>0</v>
      </c>
      <c r="R352" s="18">
        <f t="shared" si="97"/>
        <v>30</v>
      </c>
      <c r="S352" s="18">
        <f>S353</f>
        <v>0</v>
      </c>
      <c r="T352" s="18">
        <f t="shared" si="98"/>
        <v>30</v>
      </c>
      <c r="U352" s="18">
        <f>U353</f>
        <v>-30</v>
      </c>
      <c r="V352" s="18">
        <f t="shared" si="99"/>
        <v>0</v>
      </c>
      <c r="W352" s="18">
        <f>W353</f>
        <v>0</v>
      </c>
      <c r="X352" s="18">
        <f t="shared" si="100"/>
        <v>0</v>
      </c>
    </row>
    <row r="353" spans="1:27" hidden="1" x14ac:dyDescent="0.25">
      <c r="A353" s="13" t="s">
        <v>390</v>
      </c>
      <c r="B353" s="24" t="s">
        <v>421</v>
      </c>
      <c r="C353" s="24" t="s">
        <v>2</v>
      </c>
      <c r="D353" s="18">
        <f>D354</f>
        <v>30</v>
      </c>
      <c r="E353" s="18">
        <f>E354</f>
        <v>0</v>
      </c>
      <c r="F353" s="18">
        <f t="shared" si="91"/>
        <v>30</v>
      </c>
      <c r="G353" s="18">
        <f>G354</f>
        <v>0</v>
      </c>
      <c r="H353" s="18">
        <f t="shared" si="92"/>
        <v>30</v>
      </c>
      <c r="I353" s="18">
        <f>I354</f>
        <v>0</v>
      </c>
      <c r="J353" s="18">
        <f t="shared" si="93"/>
        <v>30</v>
      </c>
      <c r="K353" s="18">
        <f>K354</f>
        <v>0</v>
      </c>
      <c r="L353" s="18">
        <f t="shared" si="94"/>
        <v>30</v>
      </c>
      <c r="M353" s="18">
        <f>M354</f>
        <v>0</v>
      </c>
      <c r="N353" s="18">
        <f t="shared" si="95"/>
        <v>30</v>
      </c>
      <c r="O353" s="18">
        <f>O354</f>
        <v>0</v>
      </c>
      <c r="P353" s="18">
        <f t="shared" si="96"/>
        <v>30</v>
      </c>
      <c r="Q353" s="18">
        <f>Q354</f>
        <v>0</v>
      </c>
      <c r="R353" s="18">
        <f t="shared" si="97"/>
        <v>30</v>
      </c>
      <c r="S353" s="18">
        <f>S354</f>
        <v>0</v>
      </c>
      <c r="T353" s="18">
        <f t="shared" si="98"/>
        <v>30</v>
      </c>
      <c r="U353" s="18">
        <f>U354</f>
        <v>-30</v>
      </c>
      <c r="V353" s="18">
        <f t="shared" si="99"/>
        <v>0</v>
      </c>
      <c r="W353" s="18">
        <f>W354</f>
        <v>0</v>
      </c>
      <c r="X353" s="18">
        <f t="shared" si="100"/>
        <v>0</v>
      </c>
    </row>
    <row r="354" spans="1:27" hidden="1" x14ac:dyDescent="0.25">
      <c r="A354" s="7" t="s">
        <v>54</v>
      </c>
      <c r="B354" s="25" t="s">
        <v>421</v>
      </c>
      <c r="C354" s="25" t="s">
        <v>34</v>
      </c>
      <c r="D354" s="19">
        <v>30</v>
      </c>
      <c r="E354" s="19"/>
      <c r="F354" s="18">
        <f t="shared" si="91"/>
        <v>30</v>
      </c>
      <c r="G354" s="19"/>
      <c r="H354" s="18">
        <f t="shared" si="92"/>
        <v>30</v>
      </c>
      <c r="I354" s="19"/>
      <c r="J354" s="18">
        <f t="shared" si="93"/>
        <v>30</v>
      </c>
      <c r="K354" s="19"/>
      <c r="L354" s="18">
        <f t="shared" si="94"/>
        <v>30</v>
      </c>
      <c r="M354" s="19"/>
      <c r="N354" s="18">
        <f t="shared" si="95"/>
        <v>30</v>
      </c>
      <c r="O354" s="19"/>
      <c r="P354" s="18">
        <f t="shared" si="96"/>
        <v>30</v>
      </c>
      <c r="Q354" s="19"/>
      <c r="R354" s="18">
        <f t="shared" si="97"/>
        <v>30</v>
      </c>
      <c r="S354" s="64"/>
      <c r="T354" s="18">
        <f t="shared" si="98"/>
        <v>30</v>
      </c>
      <c r="U354" s="96">
        <v>-30</v>
      </c>
      <c r="V354" s="18">
        <f t="shared" si="99"/>
        <v>0</v>
      </c>
      <c r="W354" s="64"/>
      <c r="X354" s="18">
        <f t="shared" si="100"/>
        <v>0</v>
      </c>
      <c r="Z354" s="43">
        <f>X354+Y354</f>
        <v>0</v>
      </c>
      <c r="AA354" s="43"/>
    </row>
    <row r="355" spans="1:27" x14ac:dyDescent="0.25">
      <c r="A355" s="13" t="s">
        <v>444</v>
      </c>
      <c r="B355" s="24" t="s">
        <v>445</v>
      </c>
      <c r="C355" s="24" t="s">
        <v>2</v>
      </c>
      <c r="D355" s="18">
        <f>D356</f>
        <v>18275.599999999999</v>
      </c>
      <c r="E355" s="18">
        <f>E356</f>
        <v>0</v>
      </c>
      <c r="F355" s="18">
        <f t="shared" si="91"/>
        <v>18275.599999999999</v>
      </c>
      <c r="G355" s="18">
        <f>G356</f>
        <v>0</v>
      </c>
      <c r="H355" s="18">
        <f t="shared" si="92"/>
        <v>18275.599999999999</v>
      </c>
      <c r="I355" s="18">
        <f>I356</f>
        <v>0</v>
      </c>
      <c r="J355" s="18">
        <f t="shared" si="93"/>
        <v>18275.599999999999</v>
      </c>
      <c r="K355" s="18">
        <f>K356</f>
        <v>-3655.1</v>
      </c>
      <c r="L355" s="18">
        <f t="shared" si="94"/>
        <v>14620.499999999998</v>
      </c>
      <c r="M355" s="18">
        <f>M356</f>
        <v>0</v>
      </c>
      <c r="N355" s="18">
        <f t="shared" si="95"/>
        <v>14620.499999999998</v>
      </c>
      <c r="O355" s="18">
        <f>O356</f>
        <v>0</v>
      </c>
      <c r="P355" s="18">
        <f t="shared" si="96"/>
        <v>14620.499999999998</v>
      </c>
      <c r="Q355" s="18">
        <f>Q356</f>
        <v>0</v>
      </c>
      <c r="R355" s="18">
        <f t="shared" si="97"/>
        <v>14620.499999999998</v>
      </c>
      <c r="S355" s="18">
        <f>S356</f>
        <v>0</v>
      </c>
      <c r="T355" s="18">
        <f t="shared" si="98"/>
        <v>14620.499999999998</v>
      </c>
      <c r="U355" s="18">
        <f>U356</f>
        <v>0</v>
      </c>
      <c r="V355" s="18">
        <f t="shared" si="99"/>
        <v>14620.499999999998</v>
      </c>
      <c r="W355" s="18">
        <f>W356</f>
        <v>0</v>
      </c>
      <c r="X355" s="18">
        <f t="shared" si="100"/>
        <v>14620.499999999998</v>
      </c>
    </row>
    <row r="356" spans="1:27" ht="24.75" x14ac:dyDescent="0.25">
      <c r="A356" s="13" t="s">
        <v>446</v>
      </c>
      <c r="B356" s="24" t="s">
        <v>447</v>
      </c>
      <c r="C356" s="24" t="s">
        <v>2</v>
      </c>
      <c r="D356" s="18">
        <f>D357+D358</f>
        <v>18275.599999999999</v>
      </c>
      <c r="E356" s="18">
        <f>E357+E358</f>
        <v>0</v>
      </c>
      <c r="F356" s="18">
        <f t="shared" si="91"/>
        <v>18275.599999999999</v>
      </c>
      <c r="G356" s="18">
        <f>G357+G358</f>
        <v>0</v>
      </c>
      <c r="H356" s="18">
        <f t="shared" si="92"/>
        <v>18275.599999999999</v>
      </c>
      <c r="I356" s="18">
        <f>I357+I358</f>
        <v>0</v>
      </c>
      <c r="J356" s="18">
        <f t="shared" si="93"/>
        <v>18275.599999999999</v>
      </c>
      <c r="K356" s="18">
        <f>K357+K358</f>
        <v>-3655.1</v>
      </c>
      <c r="L356" s="18">
        <f t="shared" si="94"/>
        <v>14620.499999999998</v>
      </c>
      <c r="M356" s="18">
        <f>M357+M358</f>
        <v>0</v>
      </c>
      <c r="N356" s="18">
        <f t="shared" si="95"/>
        <v>14620.499999999998</v>
      </c>
      <c r="O356" s="18">
        <f>O357+O358</f>
        <v>0</v>
      </c>
      <c r="P356" s="18">
        <f t="shared" si="96"/>
        <v>14620.499999999998</v>
      </c>
      <c r="Q356" s="18">
        <f>Q357+Q358</f>
        <v>0</v>
      </c>
      <c r="R356" s="18">
        <f t="shared" si="97"/>
        <v>14620.499999999998</v>
      </c>
      <c r="S356" s="18">
        <f>S357+S358</f>
        <v>0</v>
      </c>
      <c r="T356" s="18">
        <f t="shared" si="98"/>
        <v>14620.499999999998</v>
      </c>
      <c r="U356" s="18">
        <f>U357+U358</f>
        <v>0</v>
      </c>
      <c r="V356" s="18">
        <f t="shared" si="99"/>
        <v>14620.499999999998</v>
      </c>
      <c r="W356" s="18">
        <f>W357+W358</f>
        <v>0</v>
      </c>
      <c r="X356" s="18">
        <f t="shared" si="100"/>
        <v>14620.499999999998</v>
      </c>
    </row>
    <row r="357" spans="1:27" x14ac:dyDescent="0.25">
      <c r="A357" s="9" t="s">
        <v>511</v>
      </c>
      <c r="B357" s="25" t="s">
        <v>447</v>
      </c>
      <c r="C357" s="25" t="s">
        <v>66</v>
      </c>
      <c r="D357" s="19">
        <v>16999</v>
      </c>
      <c r="E357" s="19"/>
      <c r="F357" s="18">
        <f t="shared" si="91"/>
        <v>16999</v>
      </c>
      <c r="G357" s="19"/>
      <c r="H357" s="18">
        <f t="shared" si="92"/>
        <v>16999</v>
      </c>
      <c r="I357" s="19"/>
      <c r="J357" s="18">
        <f t="shared" si="93"/>
        <v>16999</v>
      </c>
      <c r="K357" s="45">
        <v>-3655.1</v>
      </c>
      <c r="L357" s="18">
        <f t="shared" si="94"/>
        <v>13343.9</v>
      </c>
      <c r="M357" s="64"/>
      <c r="N357" s="18">
        <f t="shared" si="95"/>
        <v>13343.9</v>
      </c>
      <c r="O357" s="64"/>
      <c r="P357" s="18">
        <f t="shared" si="96"/>
        <v>13343.9</v>
      </c>
      <c r="Q357" s="64"/>
      <c r="R357" s="18">
        <f t="shared" si="97"/>
        <v>13343.9</v>
      </c>
      <c r="S357" s="64"/>
      <c r="T357" s="18">
        <f t="shared" si="98"/>
        <v>13343.9</v>
      </c>
      <c r="U357" s="64"/>
      <c r="V357" s="18">
        <f t="shared" si="99"/>
        <v>13343.9</v>
      </c>
      <c r="W357" s="64"/>
      <c r="X357" s="18">
        <f t="shared" si="100"/>
        <v>13343.9</v>
      </c>
      <c r="Z357" s="43">
        <f t="shared" ref="Z357:Z358" si="101">X357+Y357</f>
        <v>13343.9</v>
      </c>
      <c r="AA357" s="43"/>
    </row>
    <row r="358" spans="1:27" x14ac:dyDescent="0.25">
      <c r="A358" s="9" t="s">
        <v>266</v>
      </c>
      <c r="B358" s="25" t="s">
        <v>447</v>
      </c>
      <c r="C358" s="25" t="s">
        <v>267</v>
      </c>
      <c r="D358" s="19">
        <v>1276.5999999999999</v>
      </c>
      <c r="E358" s="19"/>
      <c r="F358" s="18">
        <f t="shared" si="91"/>
        <v>1276.5999999999999</v>
      </c>
      <c r="G358" s="19"/>
      <c r="H358" s="18">
        <f t="shared" si="92"/>
        <v>1276.5999999999999</v>
      </c>
      <c r="I358" s="19"/>
      <c r="J358" s="18">
        <f t="shared" si="93"/>
        <v>1276.5999999999999</v>
      </c>
      <c r="K358" s="19"/>
      <c r="L358" s="18">
        <f t="shared" si="94"/>
        <v>1276.5999999999999</v>
      </c>
      <c r="M358" s="19"/>
      <c r="N358" s="18">
        <f t="shared" si="95"/>
        <v>1276.5999999999999</v>
      </c>
      <c r="O358" s="19"/>
      <c r="P358" s="18">
        <f t="shared" si="96"/>
        <v>1276.5999999999999</v>
      </c>
      <c r="Q358" s="19"/>
      <c r="R358" s="18">
        <f t="shared" si="97"/>
        <v>1276.5999999999999</v>
      </c>
      <c r="S358" s="64"/>
      <c r="T358" s="18">
        <f t="shared" si="98"/>
        <v>1276.5999999999999</v>
      </c>
      <c r="U358" s="64"/>
      <c r="V358" s="18">
        <f t="shared" si="99"/>
        <v>1276.5999999999999</v>
      </c>
      <c r="W358" s="64"/>
      <c r="X358" s="18">
        <f t="shared" si="100"/>
        <v>1276.5999999999999</v>
      </c>
      <c r="Z358" s="43">
        <f t="shared" si="101"/>
        <v>1276.5999999999999</v>
      </c>
      <c r="AA358" s="43"/>
    </row>
    <row r="359" spans="1:27" x14ac:dyDescent="0.25">
      <c r="A359" s="13" t="s">
        <v>13</v>
      </c>
      <c r="B359" s="24" t="s">
        <v>14</v>
      </c>
      <c r="C359" s="24" t="s">
        <v>2</v>
      </c>
      <c r="D359" s="18">
        <f>D360</f>
        <v>1079.8</v>
      </c>
      <c r="E359" s="18">
        <f>E360</f>
        <v>0</v>
      </c>
      <c r="F359" s="18">
        <f t="shared" si="91"/>
        <v>1079.8</v>
      </c>
      <c r="G359" s="18">
        <f>G360</f>
        <v>0</v>
      </c>
      <c r="H359" s="18">
        <f t="shared" si="92"/>
        <v>1079.8</v>
      </c>
      <c r="I359" s="18">
        <f>I360</f>
        <v>0</v>
      </c>
      <c r="J359" s="18">
        <f t="shared" si="93"/>
        <v>1079.8</v>
      </c>
      <c r="K359" s="18">
        <f>K360</f>
        <v>0</v>
      </c>
      <c r="L359" s="18">
        <f t="shared" si="94"/>
        <v>1079.8</v>
      </c>
      <c r="M359" s="18">
        <f>M360</f>
        <v>112.2</v>
      </c>
      <c r="N359" s="18">
        <f>L359+M359</f>
        <v>1192</v>
      </c>
      <c r="O359" s="18">
        <f>O360</f>
        <v>0</v>
      </c>
      <c r="P359" s="18">
        <f>N359+O359</f>
        <v>1192</v>
      </c>
      <c r="Q359" s="18">
        <f>Q360</f>
        <v>0</v>
      </c>
      <c r="R359" s="18">
        <f>P359+Q359</f>
        <v>1192</v>
      </c>
      <c r="S359" s="18">
        <f>S360</f>
        <v>0</v>
      </c>
      <c r="T359" s="18">
        <f>R359+S359</f>
        <v>1192</v>
      </c>
      <c r="U359" s="18">
        <f>U360</f>
        <v>0</v>
      </c>
      <c r="V359" s="18">
        <f>T359+U359</f>
        <v>1192</v>
      </c>
      <c r="W359" s="18">
        <f>W360</f>
        <v>112.1</v>
      </c>
      <c r="X359" s="18">
        <f>V359+W359</f>
        <v>1304.0999999999999</v>
      </c>
    </row>
    <row r="360" spans="1:27" ht="24.75" x14ac:dyDescent="0.25">
      <c r="A360" s="13" t="s">
        <v>15</v>
      </c>
      <c r="B360" s="24" t="s">
        <v>16</v>
      </c>
      <c r="C360" s="24" t="s">
        <v>2</v>
      </c>
      <c r="D360" s="18">
        <f>D361+D366</f>
        <v>1079.8</v>
      </c>
      <c r="E360" s="18">
        <f>E361+E366</f>
        <v>0</v>
      </c>
      <c r="F360" s="18">
        <f t="shared" si="91"/>
        <v>1079.8</v>
      </c>
      <c r="G360" s="18">
        <f>G361+G366</f>
        <v>0</v>
      </c>
      <c r="H360" s="18">
        <f t="shared" si="92"/>
        <v>1079.8</v>
      </c>
      <c r="I360" s="18">
        <f>I361+I366</f>
        <v>0</v>
      </c>
      <c r="J360" s="18">
        <f t="shared" si="93"/>
        <v>1079.8</v>
      </c>
      <c r="K360" s="18">
        <f>K361+K366</f>
        <v>0</v>
      </c>
      <c r="L360" s="18">
        <f t="shared" si="94"/>
        <v>1079.8</v>
      </c>
      <c r="M360" s="18">
        <f>M361+M366</f>
        <v>112.2</v>
      </c>
      <c r="N360" s="18">
        <f t="shared" si="95"/>
        <v>1192</v>
      </c>
      <c r="O360" s="18">
        <f>O361+O366</f>
        <v>0</v>
      </c>
      <c r="P360" s="18">
        <f t="shared" ref="P360:P431" si="102">N360+O360</f>
        <v>1192</v>
      </c>
      <c r="Q360" s="18">
        <f>Q361+Q366</f>
        <v>0</v>
      </c>
      <c r="R360" s="18">
        <f t="shared" ref="R360:R431" si="103">P360+Q360</f>
        <v>1192</v>
      </c>
      <c r="S360" s="18">
        <f>S361+S366</f>
        <v>0</v>
      </c>
      <c r="T360" s="18">
        <f t="shared" ref="T360:T431" si="104">R360+S360</f>
        <v>1192</v>
      </c>
      <c r="U360" s="18">
        <f>U361+U366</f>
        <v>0</v>
      </c>
      <c r="V360" s="18">
        <f t="shared" ref="V360:V431" si="105">T360+U360</f>
        <v>1192</v>
      </c>
      <c r="W360" s="18">
        <f>W361+W366</f>
        <v>112.1</v>
      </c>
      <c r="X360" s="18">
        <f t="shared" ref="X360:X431" si="106">V360+W360</f>
        <v>1304.0999999999999</v>
      </c>
    </row>
    <row r="361" spans="1:27" ht="24.75" x14ac:dyDescent="0.25">
      <c r="A361" s="13" t="s">
        <v>17</v>
      </c>
      <c r="B361" s="24" t="s">
        <v>18</v>
      </c>
      <c r="C361" s="24" t="s">
        <v>2</v>
      </c>
      <c r="D361" s="18">
        <f>D362+D363</f>
        <v>1009.8</v>
      </c>
      <c r="E361" s="18">
        <f>E362+E363</f>
        <v>0</v>
      </c>
      <c r="F361" s="18">
        <f t="shared" si="91"/>
        <v>1009.8</v>
      </c>
      <c r="G361" s="18">
        <f>G362+G363</f>
        <v>0</v>
      </c>
      <c r="H361" s="18">
        <f t="shared" si="92"/>
        <v>1009.8</v>
      </c>
      <c r="I361" s="18">
        <f>I362+I363</f>
        <v>0</v>
      </c>
      <c r="J361" s="18">
        <f t="shared" si="93"/>
        <v>1009.8</v>
      </c>
      <c r="K361" s="18">
        <f>K362+K363</f>
        <v>0</v>
      </c>
      <c r="L361" s="18">
        <f t="shared" si="94"/>
        <v>1009.8</v>
      </c>
      <c r="M361" s="18">
        <f>M362+M363+M365</f>
        <v>112.2</v>
      </c>
      <c r="N361" s="18">
        <f t="shared" si="95"/>
        <v>1122</v>
      </c>
      <c r="O361" s="18">
        <f>O362+O363+O365</f>
        <v>0</v>
      </c>
      <c r="P361" s="18">
        <f t="shared" si="102"/>
        <v>1122</v>
      </c>
      <c r="Q361" s="18">
        <f>Q362+Q363+Q365</f>
        <v>0</v>
      </c>
      <c r="R361" s="18">
        <f t="shared" si="103"/>
        <v>1122</v>
      </c>
      <c r="S361" s="18">
        <f>S362+S363+S365</f>
        <v>0</v>
      </c>
      <c r="T361" s="18">
        <f t="shared" si="104"/>
        <v>1122</v>
      </c>
      <c r="U361" s="18">
        <f>U362+U363+U365</f>
        <v>0</v>
      </c>
      <c r="V361" s="18">
        <f t="shared" si="105"/>
        <v>1122</v>
      </c>
      <c r="W361" s="18">
        <f>W362+W363+W365+W364</f>
        <v>112.1</v>
      </c>
      <c r="X361" s="18">
        <f t="shared" si="106"/>
        <v>1234.0999999999999</v>
      </c>
    </row>
    <row r="362" spans="1:27" x14ac:dyDescent="0.25">
      <c r="A362" s="7" t="s">
        <v>498</v>
      </c>
      <c r="B362" s="25" t="s">
        <v>18</v>
      </c>
      <c r="C362" s="25" t="s">
        <v>8</v>
      </c>
      <c r="D362" s="19">
        <v>775.6</v>
      </c>
      <c r="E362" s="19"/>
      <c r="F362" s="18">
        <f t="shared" si="91"/>
        <v>775.6</v>
      </c>
      <c r="G362" s="19"/>
      <c r="H362" s="18">
        <f t="shared" si="92"/>
        <v>775.6</v>
      </c>
      <c r="I362" s="19"/>
      <c r="J362" s="18">
        <f t="shared" si="93"/>
        <v>775.6</v>
      </c>
      <c r="K362" s="19"/>
      <c r="L362" s="18">
        <f t="shared" si="94"/>
        <v>775.6</v>
      </c>
      <c r="M362" s="45">
        <f>86.2-35</f>
        <v>51.2</v>
      </c>
      <c r="N362" s="18">
        <f t="shared" si="95"/>
        <v>826.80000000000007</v>
      </c>
      <c r="O362" s="64"/>
      <c r="P362" s="18">
        <f t="shared" si="102"/>
        <v>826.80000000000007</v>
      </c>
      <c r="Q362" s="64"/>
      <c r="R362" s="18">
        <f t="shared" si="103"/>
        <v>826.80000000000007</v>
      </c>
      <c r="S362" s="64"/>
      <c r="T362" s="18">
        <f t="shared" si="104"/>
        <v>826.80000000000007</v>
      </c>
      <c r="U362" s="64"/>
      <c r="V362" s="18">
        <f t="shared" si="105"/>
        <v>826.80000000000007</v>
      </c>
      <c r="W362" s="45">
        <v>20</v>
      </c>
      <c r="X362" s="18">
        <f t="shared" si="106"/>
        <v>846.80000000000007</v>
      </c>
      <c r="Z362" s="43">
        <f t="shared" ref="Z362:Z365" si="107">X362+Y362</f>
        <v>846.80000000000007</v>
      </c>
      <c r="AA362" s="43"/>
    </row>
    <row r="363" spans="1:27" ht="27" customHeight="1" x14ac:dyDescent="0.25">
      <c r="A363" s="9" t="s">
        <v>500</v>
      </c>
      <c r="B363" s="25" t="s">
        <v>18</v>
      </c>
      <c r="C363" s="25" t="s">
        <v>9</v>
      </c>
      <c r="D363" s="19">
        <v>234.2</v>
      </c>
      <c r="E363" s="19"/>
      <c r="F363" s="18">
        <f t="shared" si="91"/>
        <v>234.2</v>
      </c>
      <c r="G363" s="19"/>
      <c r="H363" s="18">
        <f t="shared" si="92"/>
        <v>234.2</v>
      </c>
      <c r="I363" s="19"/>
      <c r="J363" s="18">
        <f t="shared" si="93"/>
        <v>234.2</v>
      </c>
      <c r="K363" s="19"/>
      <c r="L363" s="18">
        <f t="shared" si="94"/>
        <v>234.2</v>
      </c>
      <c r="M363" s="45">
        <f>26-10</f>
        <v>16</v>
      </c>
      <c r="N363" s="18">
        <f t="shared" si="95"/>
        <v>250.2</v>
      </c>
      <c r="O363" s="64"/>
      <c r="P363" s="18">
        <f t="shared" si="102"/>
        <v>250.2</v>
      </c>
      <c r="Q363" s="64"/>
      <c r="R363" s="18">
        <f t="shared" si="103"/>
        <v>250.2</v>
      </c>
      <c r="S363" s="64"/>
      <c r="T363" s="18">
        <f t="shared" si="104"/>
        <v>250.2</v>
      </c>
      <c r="U363" s="64"/>
      <c r="V363" s="18">
        <f t="shared" si="105"/>
        <v>250.2</v>
      </c>
      <c r="W363" s="64"/>
      <c r="X363" s="18">
        <f t="shared" si="106"/>
        <v>250.2</v>
      </c>
      <c r="Z363" s="43">
        <f t="shared" si="107"/>
        <v>250.2</v>
      </c>
      <c r="AA363" s="43"/>
    </row>
    <row r="364" spans="1:27" ht="12.75" customHeight="1" x14ac:dyDescent="0.25">
      <c r="A364" s="9" t="s">
        <v>501</v>
      </c>
      <c r="B364" s="25" t="s">
        <v>18</v>
      </c>
      <c r="C364" s="25" t="s">
        <v>33</v>
      </c>
      <c r="D364" s="19"/>
      <c r="E364" s="19"/>
      <c r="F364" s="18"/>
      <c r="G364" s="19"/>
      <c r="H364" s="18"/>
      <c r="I364" s="19"/>
      <c r="J364" s="18"/>
      <c r="K364" s="19"/>
      <c r="L364" s="18"/>
      <c r="M364" s="45"/>
      <c r="N364" s="18"/>
      <c r="O364" s="64"/>
      <c r="P364" s="18"/>
      <c r="Q364" s="64"/>
      <c r="R364" s="18"/>
      <c r="S364" s="64"/>
      <c r="T364" s="18"/>
      <c r="U364" s="64"/>
      <c r="V364" s="18"/>
      <c r="W364" s="45">
        <v>62.8</v>
      </c>
      <c r="X364" s="18">
        <f t="shared" si="106"/>
        <v>62.8</v>
      </c>
      <c r="Z364" s="43">
        <f t="shared" si="107"/>
        <v>62.8</v>
      </c>
      <c r="AA364" s="43"/>
    </row>
    <row r="365" spans="1:27" ht="15.75" customHeight="1" x14ac:dyDescent="0.25">
      <c r="A365" s="7" t="s">
        <v>54</v>
      </c>
      <c r="B365" s="25" t="s">
        <v>18</v>
      </c>
      <c r="C365" s="25" t="s">
        <v>34</v>
      </c>
      <c r="D365" s="19"/>
      <c r="E365" s="19"/>
      <c r="F365" s="18"/>
      <c r="G365" s="19"/>
      <c r="H365" s="18"/>
      <c r="I365" s="19"/>
      <c r="J365" s="18"/>
      <c r="K365" s="19"/>
      <c r="L365" s="18"/>
      <c r="M365" s="45">
        <v>45</v>
      </c>
      <c r="N365" s="18">
        <f t="shared" si="95"/>
        <v>45</v>
      </c>
      <c r="O365" s="64"/>
      <c r="P365" s="18">
        <f t="shared" si="102"/>
        <v>45</v>
      </c>
      <c r="Q365" s="64"/>
      <c r="R365" s="18">
        <f t="shared" si="103"/>
        <v>45</v>
      </c>
      <c r="S365" s="64"/>
      <c r="T365" s="18">
        <f t="shared" si="104"/>
        <v>45</v>
      </c>
      <c r="U365" s="64"/>
      <c r="V365" s="18">
        <f t="shared" si="105"/>
        <v>45</v>
      </c>
      <c r="W365" s="45">
        <v>29.3</v>
      </c>
      <c r="X365" s="18">
        <f t="shared" si="106"/>
        <v>74.3</v>
      </c>
      <c r="Z365" s="43">
        <f t="shared" si="107"/>
        <v>74.3</v>
      </c>
      <c r="AA365" s="43"/>
    </row>
    <row r="366" spans="1:27" x14ac:dyDescent="0.25">
      <c r="A366" s="13" t="s">
        <v>422</v>
      </c>
      <c r="B366" s="24" t="s">
        <v>423</v>
      </c>
      <c r="C366" s="24" t="s">
        <v>2</v>
      </c>
      <c r="D366" s="18">
        <f>D367</f>
        <v>70</v>
      </c>
      <c r="E366" s="18">
        <f>E367</f>
        <v>0</v>
      </c>
      <c r="F366" s="18">
        <f t="shared" si="91"/>
        <v>70</v>
      </c>
      <c r="G366" s="18">
        <f>G367</f>
        <v>0</v>
      </c>
      <c r="H366" s="18">
        <f t="shared" si="92"/>
        <v>70</v>
      </c>
      <c r="I366" s="18">
        <f>I367</f>
        <v>0</v>
      </c>
      <c r="J366" s="18">
        <f t="shared" si="93"/>
        <v>70</v>
      </c>
      <c r="K366" s="18">
        <f>K367</f>
        <v>0</v>
      </c>
      <c r="L366" s="18">
        <f t="shared" si="94"/>
        <v>70</v>
      </c>
      <c r="M366" s="18">
        <f>M367</f>
        <v>0</v>
      </c>
      <c r="N366" s="18">
        <f t="shared" si="95"/>
        <v>70</v>
      </c>
      <c r="O366" s="18">
        <f>O367</f>
        <v>0</v>
      </c>
      <c r="P366" s="18">
        <f t="shared" si="102"/>
        <v>70</v>
      </c>
      <c r="Q366" s="18">
        <f>Q367</f>
        <v>0</v>
      </c>
      <c r="R366" s="18">
        <f t="shared" si="103"/>
        <v>70</v>
      </c>
      <c r="S366" s="18">
        <f>S367</f>
        <v>0</v>
      </c>
      <c r="T366" s="18">
        <f t="shared" si="104"/>
        <v>70</v>
      </c>
      <c r="U366" s="18">
        <f>U367</f>
        <v>0</v>
      </c>
      <c r="V366" s="18">
        <f t="shared" si="105"/>
        <v>70</v>
      </c>
      <c r="W366" s="18">
        <f>W367</f>
        <v>0</v>
      </c>
      <c r="X366" s="18">
        <f t="shared" si="106"/>
        <v>70</v>
      </c>
    </row>
    <row r="367" spans="1:27" x14ac:dyDescent="0.25">
      <c r="A367" s="7" t="s">
        <v>54</v>
      </c>
      <c r="B367" s="25" t="s">
        <v>423</v>
      </c>
      <c r="C367" s="25" t="s">
        <v>34</v>
      </c>
      <c r="D367" s="19">
        <v>70</v>
      </c>
      <c r="E367" s="19"/>
      <c r="F367" s="18">
        <f t="shared" si="91"/>
        <v>70</v>
      </c>
      <c r="G367" s="19"/>
      <c r="H367" s="18">
        <f t="shared" si="92"/>
        <v>70</v>
      </c>
      <c r="I367" s="19"/>
      <c r="J367" s="18">
        <f t="shared" si="93"/>
        <v>70</v>
      </c>
      <c r="K367" s="19"/>
      <c r="L367" s="18">
        <f t="shared" si="94"/>
        <v>70</v>
      </c>
      <c r="M367" s="19"/>
      <c r="N367" s="18">
        <f t="shared" si="95"/>
        <v>70</v>
      </c>
      <c r="O367" s="19"/>
      <c r="P367" s="18">
        <f t="shared" si="102"/>
        <v>70</v>
      </c>
      <c r="Q367" s="19"/>
      <c r="R367" s="18">
        <f t="shared" si="103"/>
        <v>70</v>
      </c>
      <c r="S367" s="64"/>
      <c r="T367" s="18">
        <f t="shared" si="104"/>
        <v>70</v>
      </c>
      <c r="U367" s="64"/>
      <c r="V367" s="18">
        <f t="shared" si="105"/>
        <v>70</v>
      </c>
      <c r="W367" s="64"/>
      <c r="X367" s="18">
        <f t="shared" si="106"/>
        <v>70</v>
      </c>
      <c r="Z367" s="43">
        <f>X367+Y367</f>
        <v>70</v>
      </c>
      <c r="AA367" s="43"/>
    </row>
    <row r="368" spans="1:27" ht="36.75" x14ac:dyDescent="0.25">
      <c r="A368" s="13" t="s">
        <v>19</v>
      </c>
      <c r="B368" s="24" t="s">
        <v>20</v>
      </c>
      <c r="C368" s="24" t="s">
        <v>2</v>
      </c>
      <c r="D368" s="18">
        <f>D369+D372+D376</f>
        <v>2644.6</v>
      </c>
      <c r="E368" s="18">
        <f>E369+E372+E376</f>
        <v>7289.4</v>
      </c>
      <c r="F368" s="18">
        <f t="shared" si="91"/>
        <v>9934</v>
      </c>
      <c r="G368" s="18">
        <f>G369+G372+G376</f>
        <v>46737.7</v>
      </c>
      <c r="H368" s="18">
        <f t="shared" si="92"/>
        <v>56671.7</v>
      </c>
      <c r="I368" s="18">
        <f>I369+I372+I376</f>
        <v>2357.6</v>
      </c>
      <c r="J368" s="18">
        <f t="shared" si="93"/>
        <v>59029.299999999996</v>
      </c>
      <c r="K368" s="18">
        <f>K369+K372+K376</f>
        <v>-54023.899999999994</v>
      </c>
      <c r="L368" s="18">
        <f t="shared" si="94"/>
        <v>5005.4000000000015</v>
      </c>
      <c r="M368" s="18">
        <f>M369+M372+M376</f>
        <v>33.699999999999996</v>
      </c>
      <c r="N368" s="18">
        <f t="shared" si="95"/>
        <v>5039.1000000000013</v>
      </c>
      <c r="O368" s="18">
        <f>O369+O372+O376</f>
        <v>0</v>
      </c>
      <c r="P368" s="18">
        <f t="shared" si="102"/>
        <v>5039.1000000000013</v>
      </c>
      <c r="Q368" s="18">
        <f>Q369+Q372+Q376</f>
        <v>400</v>
      </c>
      <c r="R368" s="18">
        <f t="shared" si="103"/>
        <v>5439.1000000000013</v>
      </c>
      <c r="S368" s="18">
        <f>S369+S372+S376</f>
        <v>0</v>
      </c>
      <c r="T368" s="18">
        <f t="shared" si="104"/>
        <v>5439.1000000000013</v>
      </c>
      <c r="U368" s="18">
        <f>U369+U372+U376</f>
        <v>-373.9</v>
      </c>
      <c r="V368" s="18">
        <f t="shared" si="105"/>
        <v>5065.2000000000016</v>
      </c>
      <c r="W368" s="18">
        <f>W369+W372+W376</f>
        <v>309.2</v>
      </c>
      <c r="X368" s="18">
        <f t="shared" si="106"/>
        <v>5374.4000000000015</v>
      </c>
    </row>
    <row r="369" spans="1:27" x14ac:dyDescent="0.25">
      <c r="A369" s="13" t="s">
        <v>424</v>
      </c>
      <c r="B369" s="24" t="s">
        <v>425</v>
      </c>
      <c r="C369" s="24" t="s">
        <v>2</v>
      </c>
      <c r="D369" s="18">
        <f>D370</f>
        <v>604</v>
      </c>
      <c r="E369" s="18">
        <f>E370</f>
        <v>0</v>
      </c>
      <c r="F369" s="18">
        <f t="shared" si="91"/>
        <v>604</v>
      </c>
      <c r="G369" s="18">
        <f>G370</f>
        <v>0</v>
      </c>
      <c r="H369" s="18">
        <f t="shared" si="92"/>
        <v>604</v>
      </c>
      <c r="I369" s="18">
        <f>I370</f>
        <v>0</v>
      </c>
      <c r="J369" s="18">
        <f t="shared" si="93"/>
        <v>604</v>
      </c>
      <c r="K369" s="18">
        <f>K370</f>
        <v>0</v>
      </c>
      <c r="L369" s="18">
        <f t="shared" si="94"/>
        <v>604</v>
      </c>
      <c r="M369" s="18">
        <f>M370</f>
        <v>0</v>
      </c>
      <c r="N369" s="18">
        <f t="shared" si="95"/>
        <v>604</v>
      </c>
      <c r="O369" s="18">
        <f>O370</f>
        <v>0</v>
      </c>
      <c r="P369" s="18">
        <f t="shared" si="102"/>
        <v>604</v>
      </c>
      <c r="Q369" s="18">
        <f>Q370</f>
        <v>300</v>
      </c>
      <c r="R369" s="18">
        <f t="shared" si="103"/>
        <v>904</v>
      </c>
      <c r="S369" s="18">
        <f>S370</f>
        <v>0</v>
      </c>
      <c r="T369" s="18">
        <f t="shared" si="104"/>
        <v>904</v>
      </c>
      <c r="U369" s="18">
        <f>U370</f>
        <v>0</v>
      </c>
      <c r="V369" s="18">
        <f t="shared" si="105"/>
        <v>904</v>
      </c>
      <c r="W369" s="18">
        <f>W370</f>
        <v>250</v>
      </c>
      <c r="X369" s="18">
        <f t="shared" si="106"/>
        <v>1154</v>
      </c>
    </row>
    <row r="370" spans="1:27" x14ac:dyDescent="0.25">
      <c r="A370" s="13" t="s">
        <v>426</v>
      </c>
      <c r="B370" s="24" t="s">
        <v>427</v>
      </c>
      <c r="C370" s="24" t="s">
        <v>2</v>
      </c>
      <c r="D370" s="18">
        <f>D371</f>
        <v>604</v>
      </c>
      <c r="E370" s="18">
        <f>E371</f>
        <v>0</v>
      </c>
      <c r="F370" s="18">
        <f t="shared" si="91"/>
        <v>604</v>
      </c>
      <c r="G370" s="18">
        <f>G371</f>
        <v>0</v>
      </c>
      <c r="H370" s="18">
        <f t="shared" si="92"/>
        <v>604</v>
      </c>
      <c r="I370" s="18">
        <f>I371</f>
        <v>0</v>
      </c>
      <c r="J370" s="18">
        <f t="shared" si="93"/>
        <v>604</v>
      </c>
      <c r="K370" s="18">
        <f>K371</f>
        <v>0</v>
      </c>
      <c r="L370" s="18">
        <f t="shared" si="94"/>
        <v>604</v>
      </c>
      <c r="M370" s="18">
        <f>M371</f>
        <v>0</v>
      </c>
      <c r="N370" s="18">
        <f t="shared" si="95"/>
        <v>604</v>
      </c>
      <c r="O370" s="18">
        <f>O371</f>
        <v>0</v>
      </c>
      <c r="P370" s="18">
        <f t="shared" si="102"/>
        <v>604</v>
      </c>
      <c r="Q370" s="18">
        <f>Q371</f>
        <v>300</v>
      </c>
      <c r="R370" s="18">
        <f t="shared" si="103"/>
        <v>904</v>
      </c>
      <c r="S370" s="18">
        <f>S371</f>
        <v>0</v>
      </c>
      <c r="T370" s="18">
        <f t="shared" si="104"/>
        <v>904</v>
      </c>
      <c r="U370" s="18">
        <f>U371</f>
        <v>0</v>
      </c>
      <c r="V370" s="18">
        <f t="shared" si="105"/>
        <v>904</v>
      </c>
      <c r="W370" s="18">
        <f>W371</f>
        <v>250</v>
      </c>
      <c r="X370" s="18">
        <f t="shared" si="106"/>
        <v>1154</v>
      </c>
    </row>
    <row r="371" spans="1:27" ht="24.75" x14ac:dyDescent="0.25">
      <c r="A371" s="9" t="s">
        <v>505</v>
      </c>
      <c r="B371" s="25" t="s">
        <v>427</v>
      </c>
      <c r="C371" s="25" t="s">
        <v>260</v>
      </c>
      <c r="D371" s="19">
        <v>604</v>
      </c>
      <c r="E371" s="19"/>
      <c r="F371" s="18">
        <f t="shared" si="91"/>
        <v>604</v>
      </c>
      <c r="G371" s="19"/>
      <c r="H371" s="18">
        <f t="shared" si="92"/>
        <v>604</v>
      </c>
      <c r="I371" s="19"/>
      <c r="J371" s="18">
        <f t="shared" si="93"/>
        <v>604</v>
      </c>
      <c r="K371" s="19"/>
      <c r="L371" s="18">
        <f t="shared" si="94"/>
        <v>604</v>
      </c>
      <c r="M371" s="19"/>
      <c r="N371" s="18">
        <f t="shared" si="95"/>
        <v>604</v>
      </c>
      <c r="O371" s="19"/>
      <c r="P371" s="18">
        <f t="shared" si="102"/>
        <v>604</v>
      </c>
      <c r="Q371" s="44">
        <v>300</v>
      </c>
      <c r="R371" s="18">
        <f t="shared" si="103"/>
        <v>904</v>
      </c>
      <c r="S371" s="64"/>
      <c r="T371" s="18">
        <f t="shared" si="104"/>
        <v>904</v>
      </c>
      <c r="U371" s="64"/>
      <c r="V371" s="18">
        <f t="shared" si="105"/>
        <v>904</v>
      </c>
      <c r="W371" s="44">
        <v>250</v>
      </c>
      <c r="X371" s="18">
        <f t="shared" si="106"/>
        <v>1154</v>
      </c>
      <c r="Y371" s="43">
        <v>250</v>
      </c>
      <c r="Z371" s="43">
        <f>X371+Y371</f>
        <v>1404</v>
      </c>
      <c r="AA371" s="43"/>
    </row>
    <row r="372" spans="1:27" ht="24.75" x14ac:dyDescent="0.25">
      <c r="A372" s="13" t="s">
        <v>345</v>
      </c>
      <c r="B372" s="24" t="s">
        <v>346</v>
      </c>
      <c r="C372" s="24" t="s">
        <v>2</v>
      </c>
      <c r="D372" s="18">
        <f>D373</f>
        <v>1050</v>
      </c>
      <c r="E372" s="18">
        <f>E373</f>
        <v>0</v>
      </c>
      <c r="F372" s="18">
        <f t="shared" si="91"/>
        <v>1050</v>
      </c>
      <c r="G372" s="18">
        <f>G373</f>
        <v>0</v>
      </c>
      <c r="H372" s="18">
        <f t="shared" si="92"/>
        <v>1050</v>
      </c>
      <c r="I372" s="18">
        <f>I373</f>
        <v>0</v>
      </c>
      <c r="J372" s="18">
        <f t="shared" si="93"/>
        <v>1050</v>
      </c>
      <c r="K372" s="18">
        <f>K373</f>
        <v>0</v>
      </c>
      <c r="L372" s="18">
        <f t="shared" si="94"/>
        <v>1050</v>
      </c>
      <c r="M372" s="18">
        <f>M373</f>
        <v>0</v>
      </c>
      <c r="N372" s="18">
        <f t="shared" si="95"/>
        <v>1050</v>
      </c>
      <c r="O372" s="18">
        <f>O373</f>
        <v>0</v>
      </c>
      <c r="P372" s="18">
        <f t="shared" si="102"/>
        <v>1050</v>
      </c>
      <c r="Q372" s="18">
        <f>Q373</f>
        <v>0</v>
      </c>
      <c r="R372" s="18">
        <f t="shared" si="103"/>
        <v>1050</v>
      </c>
      <c r="S372" s="18">
        <f>S373</f>
        <v>0</v>
      </c>
      <c r="T372" s="18">
        <f t="shared" si="104"/>
        <v>1050</v>
      </c>
      <c r="U372" s="18">
        <f>U373</f>
        <v>-373.9</v>
      </c>
      <c r="V372" s="18">
        <f t="shared" si="105"/>
        <v>676.1</v>
      </c>
      <c r="W372" s="18">
        <f>W373</f>
        <v>0</v>
      </c>
      <c r="X372" s="18">
        <f t="shared" si="106"/>
        <v>676.1</v>
      </c>
    </row>
    <row r="373" spans="1:27" ht="18.75" customHeight="1" x14ac:dyDescent="0.25">
      <c r="A373" s="13" t="s">
        <v>347</v>
      </c>
      <c r="B373" s="24" t="s">
        <v>348</v>
      </c>
      <c r="C373" s="24" t="s">
        <v>2</v>
      </c>
      <c r="D373" s="18">
        <f>D374+D375</f>
        <v>1050</v>
      </c>
      <c r="E373" s="18">
        <f>E374+E375</f>
        <v>0</v>
      </c>
      <c r="F373" s="18">
        <f t="shared" si="91"/>
        <v>1050</v>
      </c>
      <c r="G373" s="18">
        <f>G374+G375</f>
        <v>0</v>
      </c>
      <c r="H373" s="18">
        <f t="shared" si="92"/>
        <v>1050</v>
      </c>
      <c r="I373" s="18">
        <f>I374+I375</f>
        <v>0</v>
      </c>
      <c r="J373" s="18">
        <f t="shared" si="93"/>
        <v>1050</v>
      </c>
      <c r="K373" s="18">
        <f>K374+K375</f>
        <v>0</v>
      </c>
      <c r="L373" s="18">
        <f t="shared" si="94"/>
        <v>1050</v>
      </c>
      <c r="M373" s="18">
        <f>M374+M375</f>
        <v>0</v>
      </c>
      <c r="N373" s="18">
        <f t="shared" si="95"/>
        <v>1050</v>
      </c>
      <c r="O373" s="18">
        <f>O374+O375</f>
        <v>0</v>
      </c>
      <c r="P373" s="18">
        <f t="shared" si="102"/>
        <v>1050</v>
      </c>
      <c r="Q373" s="18">
        <f>Q374+Q375</f>
        <v>0</v>
      </c>
      <c r="R373" s="18">
        <f t="shared" si="103"/>
        <v>1050</v>
      </c>
      <c r="S373" s="18">
        <f>S374+S375</f>
        <v>0</v>
      </c>
      <c r="T373" s="18">
        <f t="shared" si="104"/>
        <v>1050</v>
      </c>
      <c r="U373" s="155">
        <f>U374+U375</f>
        <v>-373.9</v>
      </c>
      <c r="V373" s="18">
        <f t="shared" si="105"/>
        <v>676.1</v>
      </c>
      <c r="W373" s="155">
        <f>W374+W375</f>
        <v>0</v>
      </c>
      <c r="X373" s="18">
        <f t="shared" si="106"/>
        <v>676.1</v>
      </c>
    </row>
    <row r="374" spans="1:27" x14ac:dyDescent="0.25">
      <c r="A374" s="9" t="s">
        <v>511</v>
      </c>
      <c r="B374" s="25" t="s">
        <v>348</v>
      </c>
      <c r="C374" s="25" t="s">
        <v>66</v>
      </c>
      <c r="D374" s="19">
        <v>1000</v>
      </c>
      <c r="E374" s="19"/>
      <c r="F374" s="18">
        <f t="shared" si="91"/>
        <v>1000</v>
      </c>
      <c r="G374" s="19"/>
      <c r="H374" s="18">
        <f t="shared" si="92"/>
        <v>1000</v>
      </c>
      <c r="I374" s="19"/>
      <c r="J374" s="18">
        <f t="shared" si="93"/>
        <v>1000</v>
      </c>
      <c r="K374" s="19"/>
      <c r="L374" s="18">
        <f t="shared" si="94"/>
        <v>1000</v>
      </c>
      <c r="M374" s="19"/>
      <c r="N374" s="18">
        <f t="shared" si="95"/>
        <v>1000</v>
      </c>
      <c r="O374" s="19"/>
      <c r="P374" s="18">
        <f t="shared" si="102"/>
        <v>1000</v>
      </c>
      <c r="Q374" s="19"/>
      <c r="R374" s="18">
        <f t="shared" si="103"/>
        <v>1000</v>
      </c>
      <c r="S374" s="64"/>
      <c r="T374" s="18">
        <f t="shared" si="104"/>
        <v>1000</v>
      </c>
      <c r="U374" s="44">
        <v>-373.9</v>
      </c>
      <c r="V374" s="18">
        <f t="shared" si="105"/>
        <v>626.1</v>
      </c>
      <c r="W374" s="112">
        <f>373.9-373.9</f>
        <v>0</v>
      </c>
      <c r="X374" s="18">
        <f t="shared" si="106"/>
        <v>626.1</v>
      </c>
      <c r="Y374" s="43">
        <v>-373.9</v>
      </c>
      <c r="Z374" s="43">
        <f t="shared" ref="Z374:Z375" si="108">X374+Y374</f>
        <v>252.20000000000005</v>
      </c>
      <c r="AA374" s="43"/>
    </row>
    <row r="375" spans="1:27" x14ac:dyDescent="0.25">
      <c r="A375" s="7" t="s">
        <v>54</v>
      </c>
      <c r="B375" s="25" t="s">
        <v>348</v>
      </c>
      <c r="C375" s="25" t="s">
        <v>34</v>
      </c>
      <c r="D375" s="19">
        <v>50</v>
      </c>
      <c r="E375" s="19"/>
      <c r="F375" s="18">
        <f t="shared" si="91"/>
        <v>50</v>
      </c>
      <c r="G375" s="19"/>
      <c r="H375" s="18">
        <f t="shared" si="92"/>
        <v>50</v>
      </c>
      <c r="I375" s="19"/>
      <c r="J375" s="18">
        <f t="shared" si="93"/>
        <v>50</v>
      </c>
      <c r="K375" s="19"/>
      <c r="L375" s="18">
        <f t="shared" si="94"/>
        <v>50</v>
      </c>
      <c r="M375" s="19"/>
      <c r="N375" s="18">
        <f t="shared" si="95"/>
        <v>50</v>
      </c>
      <c r="O375" s="19"/>
      <c r="P375" s="18">
        <f t="shared" si="102"/>
        <v>50</v>
      </c>
      <c r="Q375" s="19"/>
      <c r="R375" s="18">
        <f t="shared" si="103"/>
        <v>50</v>
      </c>
      <c r="S375" s="64"/>
      <c r="T375" s="18">
        <f t="shared" si="104"/>
        <v>50</v>
      </c>
      <c r="U375" s="64"/>
      <c r="V375" s="18">
        <f t="shared" si="105"/>
        <v>50</v>
      </c>
      <c r="W375" s="64"/>
      <c r="X375" s="18">
        <f t="shared" si="106"/>
        <v>50</v>
      </c>
      <c r="Z375" s="43">
        <f t="shared" si="108"/>
        <v>50</v>
      </c>
      <c r="AA375" s="43"/>
    </row>
    <row r="376" spans="1:27" x14ac:dyDescent="0.25">
      <c r="A376" s="13" t="s">
        <v>21</v>
      </c>
      <c r="B376" s="24" t="s">
        <v>22</v>
      </c>
      <c r="C376" s="24" t="s">
        <v>2</v>
      </c>
      <c r="D376" s="18">
        <f>D377+D379+D384+D389</f>
        <v>990.59999999999991</v>
      </c>
      <c r="E376" s="18">
        <f>E377+E379+E384+E389+E386</f>
        <v>7289.4</v>
      </c>
      <c r="F376" s="18">
        <f t="shared" si="91"/>
        <v>8280</v>
      </c>
      <c r="G376" s="18">
        <f>G377+G379+G384+G389+G386</f>
        <v>46737.7</v>
      </c>
      <c r="H376" s="18">
        <f t="shared" si="92"/>
        <v>55017.7</v>
      </c>
      <c r="I376" s="18">
        <f>I377+I379+I384+I389+I386</f>
        <v>2357.6</v>
      </c>
      <c r="J376" s="18">
        <f t="shared" si="93"/>
        <v>57375.299999999996</v>
      </c>
      <c r="K376" s="18">
        <f>K377+K379+K384+K389+K386</f>
        <v>-54023.899999999994</v>
      </c>
      <c r="L376" s="18">
        <f t="shared" si="94"/>
        <v>3351.4000000000015</v>
      </c>
      <c r="M376" s="18">
        <f>M377+M379+M384+M389+M386</f>
        <v>33.699999999999996</v>
      </c>
      <c r="N376" s="18">
        <f t="shared" si="95"/>
        <v>3385.1000000000013</v>
      </c>
      <c r="O376" s="18">
        <f>O377+O379+O384+O389+O386</f>
        <v>0</v>
      </c>
      <c r="P376" s="18">
        <f t="shared" si="102"/>
        <v>3385.1000000000013</v>
      </c>
      <c r="Q376" s="18">
        <f>Q377+Q379+Q384+Q389+Q386</f>
        <v>100</v>
      </c>
      <c r="R376" s="18">
        <f t="shared" si="103"/>
        <v>3485.1000000000013</v>
      </c>
      <c r="S376" s="18">
        <f>S377+S379+S384+S389+S386</f>
        <v>0</v>
      </c>
      <c r="T376" s="18">
        <f t="shared" si="104"/>
        <v>3485.1000000000013</v>
      </c>
      <c r="U376" s="18">
        <f>U377+U379+U384+U389+U386</f>
        <v>0</v>
      </c>
      <c r="V376" s="18">
        <f t="shared" si="105"/>
        <v>3485.1000000000013</v>
      </c>
      <c r="W376" s="18">
        <f>W377+W379+W384+W389+W386</f>
        <v>59.2</v>
      </c>
      <c r="X376" s="18">
        <f t="shared" si="106"/>
        <v>3544.3000000000011</v>
      </c>
    </row>
    <row r="377" spans="1:27" ht="72.75" customHeight="1" x14ac:dyDescent="0.25">
      <c r="A377" s="13" t="s">
        <v>448</v>
      </c>
      <c r="B377" s="24" t="s">
        <v>449</v>
      </c>
      <c r="C377" s="24" t="s">
        <v>2</v>
      </c>
      <c r="D377" s="18">
        <f>D378</f>
        <v>123.3</v>
      </c>
      <c r="E377" s="18">
        <f>E378</f>
        <v>0</v>
      </c>
      <c r="F377" s="18">
        <f t="shared" si="91"/>
        <v>123.3</v>
      </c>
      <c r="G377" s="18">
        <f>G378</f>
        <v>0</v>
      </c>
      <c r="H377" s="18">
        <f t="shared" si="92"/>
        <v>123.3</v>
      </c>
      <c r="I377" s="18">
        <f>I378</f>
        <v>0</v>
      </c>
      <c r="J377" s="18">
        <f t="shared" si="93"/>
        <v>123.3</v>
      </c>
      <c r="K377" s="18">
        <f>K378</f>
        <v>29.1</v>
      </c>
      <c r="L377" s="18">
        <f t="shared" si="94"/>
        <v>152.4</v>
      </c>
      <c r="M377" s="18">
        <f>M378</f>
        <v>0</v>
      </c>
      <c r="N377" s="18">
        <f t="shared" si="95"/>
        <v>152.4</v>
      </c>
      <c r="O377" s="18">
        <f>O378</f>
        <v>0</v>
      </c>
      <c r="P377" s="18">
        <f t="shared" si="102"/>
        <v>152.4</v>
      </c>
      <c r="Q377" s="18">
        <f>Q378</f>
        <v>100</v>
      </c>
      <c r="R377" s="18">
        <f t="shared" si="103"/>
        <v>252.4</v>
      </c>
      <c r="S377" s="18">
        <f>S378</f>
        <v>0</v>
      </c>
      <c r="T377" s="18">
        <f t="shared" si="104"/>
        <v>252.4</v>
      </c>
      <c r="U377" s="18">
        <f>U378</f>
        <v>0</v>
      </c>
      <c r="V377" s="18">
        <f t="shared" si="105"/>
        <v>252.4</v>
      </c>
      <c r="W377" s="18">
        <f>W378</f>
        <v>0</v>
      </c>
      <c r="X377" s="18">
        <f t="shared" si="106"/>
        <v>252.4</v>
      </c>
    </row>
    <row r="378" spans="1:27" x14ac:dyDescent="0.25">
      <c r="A378" s="7" t="s">
        <v>54</v>
      </c>
      <c r="B378" s="25" t="s">
        <v>449</v>
      </c>
      <c r="C378" s="25" t="s">
        <v>34</v>
      </c>
      <c r="D378" s="19">
        <v>123.3</v>
      </c>
      <c r="E378" s="19"/>
      <c r="F378" s="18">
        <f t="shared" si="91"/>
        <v>123.3</v>
      </c>
      <c r="G378" s="19"/>
      <c r="H378" s="18">
        <f t="shared" si="92"/>
        <v>123.3</v>
      </c>
      <c r="I378" s="19"/>
      <c r="J378" s="18">
        <f t="shared" si="93"/>
        <v>123.3</v>
      </c>
      <c r="K378" s="45">
        <v>29.1</v>
      </c>
      <c r="L378" s="18">
        <f t="shared" si="94"/>
        <v>152.4</v>
      </c>
      <c r="M378" s="64"/>
      <c r="N378" s="18">
        <f t="shared" si="95"/>
        <v>152.4</v>
      </c>
      <c r="O378" s="64"/>
      <c r="P378" s="18">
        <f t="shared" si="102"/>
        <v>152.4</v>
      </c>
      <c r="Q378" s="45">
        <v>100</v>
      </c>
      <c r="R378" s="18">
        <f t="shared" si="103"/>
        <v>252.4</v>
      </c>
      <c r="S378" s="64"/>
      <c r="T378" s="18">
        <f t="shared" si="104"/>
        <v>252.4</v>
      </c>
      <c r="U378" s="64"/>
      <c r="V378" s="18">
        <f t="shared" si="105"/>
        <v>252.4</v>
      </c>
      <c r="W378" s="64"/>
      <c r="X378" s="18">
        <f t="shared" si="106"/>
        <v>252.4</v>
      </c>
      <c r="Z378" s="43">
        <f>X378+Y378</f>
        <v>252.4</v>
      </c>
      <c r="AA378" s="43"/>
    </row>
    <row r="379" spans="1:27" ht="63" customHeight="1" x14ac:dyDescent="0.25">
      <c r="A379" s="13" t="s">
        <v>23</v>
      </c>
      <c r="B379" s="24" t="s">
        <v>24</v>
      </c>
      <c r="C379" s="24" t="s">
        <v>2</v>
      </c>
      <c r="D379" s="18">
        <f>D380+D381</f>
        <v>499.8</v>
      </c>
      <c r="E379" s="18">
        <f>E380+E381</f>
        <v>0</v>
      </c>
      <c r="F379" s="18">
        <f t="shared" si="91"/>
        <v>499.8</v>
      </c>
      <c r="G379" s="18">
        <f>G380+G381</f>
        <v>0</v>
      </c>
      <c r="H379" s="18">
        <f t="shared" si="92"/>
        <v>499.8</v>
      </c>
      <c r="I379" s="18">
        <f>I380+I381</f>
        <v>0</v>
      </c>
      <c r="J379" s="18">
        <f t="shared" si="93"/>
        <v>499.8</v>
      </c>
      <c r="K379" s="18">
        <f>K380+K381</f>
        <v>0</v>
      </c>
      <c r="L379" s="18">
        <f t="shared" si="94"/>
        <v>499.8</v>
      </c>
      <c r="M379" s="18">
        <f>M380+M381+M383</f>
        <v>33.699999999999996</v>
      </c>
      <c r="N379" s="18">
        <f t="shared" si="95"/>
        <v>533.5</v>
      </c>
      <c r="O379" s="18">
        <f>O380+O381+O383</f>
        <v>0</v>
      </c>
      <c r="P379" s="18">
        <f t="shared" si="102"/>
        <v>533.5</v>
      </c>
      <c r="Q379" s="18">
        <f>Q380+Q381+Q383</f>
        <v>0</v>
      </c>
      <c r="R379" s="18">
        <f t="shared" si="103"/>
        <v>533.5</v>
      </c>
      <c r="S379" s="18">
        <f>S380+S381+S383</f>
        <v>0</v>
      </c>
      <c r="T379" s="18">
        <f t="shared" si="104"/>
        <v>533.5</v>
      </c>
      <c r="U379" s="18">
        <f>U380+U381+U383</f>
        <v>0</v>
      </c>
      <c r="V379" s="18">
        <f t="shared" si="105"/>
        <v>533.5</v>
      </c>
      <c r="W379" s="18">
        <f>W380+W381+W383+W382</f>
        <v>59.2</v>
      </c>
      <c r="X379" s="18">
        <f t="shared" si="106"/>
        <v>592.70000000000005</v>
      </c>
    </row>
    <row r="380" spans="1:27" x14ac:dyDescent="0.25">
      <c r="A380" s="7" t="s">
        <v>498</v>
      </c>
      <c r="B380" s="25" t="s">
        <v>24</v>
      </c>
      <c r="C380" s="25" t="s">
        <v>8</v>
      </c>
      <c r="D380" s="19">
        <v>383.8</v>
      </c>
      <c r="E380" s="19"/>
      <c r="F380" s="18">
        <f t="shared" si="91"/>
        <v>383.8</v>
      </c>
      <c r="G380" s="19"/>
      <c r="H380" s="18">
        <f t="shared" si="92"/>
        <v>383.8</v>
      </c>
      <c r="I380" s="19"/>
      <c r="J380" s="18">
        <f t="shared" si="93"/>
        <v>383.8</v>
      </c>
      <c r="K380" s="19"/>
      <c r="L380" s="18">
        <f t="shared" si="94"/>
        <v>383.8</v>
      </c>
      <c r="M380" s="45">
        <f>25.9-28</f>
        <v>-2.1000000000000014</v>
      </c>
      <c r="N380" s="18">
        <f t="shared" si="95"/>
        <v>381.7</v>
      </c>
      <c r="O380" s="64"/>
      <c r="P380" s="18">
        <f t="shared" si="102"/>
        <v>381.7</v>
      </c>
      <c r="Q380" s="64"/>
      <c r="R380" s="18">
        <f t="shared" si="103"/>
        <v>381.7</v>
      </c>
      <c r="S380" s="64"/>
      <c r="T380" s="18">
        <f t="shared" si="104"/>
        <v>381.7</v>
      </c>
      <c r="U380" s="64"/>
      <c r="V380" s="18">
        <f t="shared" si="105"/>
        <v>381.7</v>
      </c>
      <c r="W380" s="45">
        <v>-88.9</v>
      </c>
      <c r="X380" s="18">
        <f t="shared" si="106"/>
        <v>292.79999999999995</v>
      </c>
      <c r="Z380" s="43">
        <f t="shared" ref="Z380:Z383" si="109">X380+Y380</f>
        <v>292.79999999999995</v>
      </c>
      <c r="AA380" s="43"/>
    </row>
    <row r="381" spans="1:27" ht="25.5" customHeight="1" x14ac:dyDescent="0.25">
      <c r="A381" s="9" t="s">
        <v>500</v>
      </c>
      <c r="B381" s="25" t="s">
        <v>24</v>
      </c>
      <c r="C381" s="25" t="s">
        <v>9</v>
      </c>
      <c r="D381" s="19">
        <v>116</v>
      </c>
      <c r="E381" s="19"/>
      <c r="F381" s="18">
        <f t="shared" si="91"/>
        <v>116</v>
      </c>
      <c r="G381" s="19"/>
      <c r="H381" s="18">
        <f t="shared" si="92"/>
        <v>116</v>
      </c>
      <c r="I381" s="19"/>
      <c r="J381" s="18">
        <f t="shared" si="93"/>
        <v>116</v>
      </c>
      <c r="K381" s="19"/>
      <c r="L381" s="18">
        <f t="shared" si="94"/>
        <v>116</v>
      </c>
      <c r="M381" s="45">
        <f>7.8-8</f>
        <v>-0.20000000000000018</v>
      </c>
      <c r="N381" s="18">
        <f t="shared" si="95"/>
        <v>115.8</v>
      </c>
      <c r="O381" s="64"/>
      <c r="P381" s="18">
        <f t="shared" si="102"/>
        <v>115.8</v>
      </c>
      <c r="Q381" s="64"/>
      <c r="R381" s="18">
        <f t="shared" si="103"/>
        <v>115.8</v>
      </c>
      <c r="S381" s="64"/>
      <c r="T381" s="18">
        <f t="shared" si="104"/>
        <v>115.8</v>
      </c>
      <c r="U381" s="64"/>
      <c r="V381" s="18">
        <f t="shared" si="105"/>
        <v>115.8</v>
      </c>
      <c r="W381" s="45">
        <v>-29.9</v>
      </c>
      <c r="X381" s="18">
        <f t="shared" si="106"/>
        <v>85.9</v>
      </c>
      <c r="Z381" s="43">
        <f t="shared" si="109"/>
        <v>85.9</v>
      </c>
      <c r="AA381" s="43"/>
    </row>
    <row r="382" spans="1:27" ht="25.5" customHeight="1" x14ac:dyDescent="0.25">
      <c r="A382" s="9" t="s">
        <v>501</v>
      </c>
      <c r="B382" s="25" t="s">
        <v>24</v>
      </c>
      <c r="C382" s="25" t="s">
        <v>33</v>
      </c>
      <c r="D382" s="19"/>
      <c r="E382" s="19"/>
      <c r="F382" s="18"/>
      <c r="G382" s="19"/>
      <c r="H382" s="18"/>
      <c r="I382" s="19"/>
      <c r="J382" s="18"/>
      <c r="K382" s="19"/>
      <c r="L382" s="18"/>
      <c r="M382" s="45"/>
      <c r="N382" s="18"/>
      <c r="O382" s="64"/>
      <c r="P382" s="18"/>
      <c r="Q382" s="64"/>
      <c r="R382" s="18"/>
      <c r="S382" s="64"/>
      <c r="T382" s="18"/>
      <c r="U382" s="64"/>
      <c r="V382" s="18"/>
      <c r="W382" s="45">
        <v>163.30000000000001</v>
      </c>
      <c r="X382" s="18">
        <f t="shared" si="106"/>
        <v>163.30000000000001</v>
      </c>
      <c r="Z382" s="43">
        <f t="shared" si="109"/>
        <v>163.30000000000001</v>
      </c>
      <c r="AA382" s="43"/>
    </row>
    <row r="383" spans="1:27" ht="17.25" customHeight="1" x14ac:dyDescent="0.25">
      <c r="A383" s="7" t="s">
        <v>54</v>
      </c>
      <c r="B383" s="25" t="s">
        <v>24</v>
      </c>
      <c r="C383" s="25" t="s">
        <v>34</v>
      </c>
      <c r="D383" s="19"/>
      <c r="E383" s="19"/>
      <c r="F383" s="18"/>
      <c r="G383" s="19"/>
      <c r="H383" s="18"/>
      <c r="I383" s="19"/>
      <c r="J383" s="18"/>
      <c r="K383" s="19"/>
      <c r="L383" s="18"/>
      <c r="M383" s="45">
        <v>36</v>
      </c>
      <c r="N383" s="18">
        <f t="shared" si="95"/>
        <v>36</v>
      </c>
      <c r="O383" s="64"/>
      <c r="P383" s="18">
        <f t="shared" si="102"/>
        <v>36</v>
      </c>
      <c r="Q383" s="64"/>
      <c r="R383" s="18">
        <f t="shared" si="103"/>
        <v>36</v>
      </c>
      <c r="S383" s="64"/>
      <c r="T383" s="18">
        <f t="shared" si="104"/>
        <v>36</v>
      </c>
      <c r="U383" s="64"/>
      <c r="V383" s="18">
        <f t="shared" si="105"/>
        <v>36</v>
      </c>
      <c r="W383" s="45">
        <v>14.7</v>
      </c>
      <c r="X383" s="18">
        <f t="shared" si="106"/>
        <v>50.7</v>
      </c>
      <c r="Z383" s="43">
        <f t="shared" si="109"/>
        <v>50.7</v>
      </c>
      <c r="AA383" s="43"/>
    </row>
    <row r="384" spans="1:27" ht="18" customHeight="1" x14ac:dyDescent="0.25">
      <c r="A384" s="13" t="s">
        <v>347</v>
      </c>
      <c r="B384" s="24" t="s">
        <v>428</v>
      </c>
      <c r="C384" s="24" t="s">
        <v>2</v>
      </c>
      <c r="D384" s="18">
        <f>D385</f>
        <v>343.7</v>
      </c>
      <c r="E384" s="18">
        <f>E385</f>
        <v>0</v>
      </c>
      <c r="F384" s="18">
        <f t="shared" si="91"/>
        <v>343.7</v>
      </c>
      <c r="G384" s="18">
        <f>G385</f>
        <v>0</v>
      </c>
      <c r="H384" s="18">
        <f t="shared" si="92"/>
        <v>343.7</v>
      </c>
      <c r="I384" s="18">
        <f>I385</f>
        <v>0</v>
      </c>
      <c r="J384" s="18">
        <f t="shared" si="93"/>
        <v>343.7</v>
      </c>
      <c r="K384" s="18">
        <f>K385</f>
        <v>-43.7</v>
      </c>
      <c r="L384" s="18">
        <f t="shared" si="94"/>
        <v>300</v>
      </c>
      <c r="M384" s="18">
        <f>M385</f>
        <v>0</v>
      </c>
      <c r="N384" s="18">
        <f t="shared" si="95"/>
        <v>300</v>
      </c>
      <c r="O384" s="18">
        <f>O385</f>
        <v>0</v>
      </c>
      <c r="P384" s="18">
        <f t="shared" si="102"/>
        <v>300</v>
      </c>
      <c r="Q384" s="18">
        <f>Q385</f>
        <v>0</v>
      </c>
      <c r="R384" s="18">
        <f t="shared" si="103"/>
        <v>300</v>
      </c>
      <c r="S384" s="18">
        <f>S385</f>
        <v>0</v>
      </c>
      <c r="T384" s="18">
        <f t="shared" si="104"/>
        <v>300</v>
      </c>
      <c r="U384" s="18">
        <f>U385</f>
        <v>0</v>
      </c>
      <c r="V384" s="18">
        <f t="shared" si="105"/>
        <v>300</v>
      </c>
      <c r="W384" s="18">
        <f>W385</f>
        <v>0</v>
      </c>
      <c r="X384" s="18">
        <f t="shared" si="106"/>
        <v>300</v>
      </c>
    </row>
    <row r="385" spans="1:27" x14ac:dyDescent="0.25">
      <c r="A385" s="7" t="s">
        <v>506</v>
      </c>
      <c r="B385" s="25" t="s">
        <v>428</v>
      </c>
      <c r="C385" s="25" t="s">
        <v>429</v>
      </c>
      <c r="D385" s="19">
        <v>343.7</v>
      </c>
      <c r="E385" s="19"/>
      <c r="F385" s="18">
        <f t="shared" si="91"/>
        <v>343.7</v>
      </c>
      <c r="G385" s="19"/>
      <c r="H385" s="18">
        <f t="shared" si="92"/>
        <v>343.7</v>
      </c>
      <c r="I385" s="19"/>
      <c r="J385" s="18">
        <f t="shared" si="93"/>
        <v>343.7</v>
      </c>
      <c r="K385" s="106">
        <v>-43.7</v>
      </c>
      <c r="L385" s="18">
        <f t="shared" si="94"/>
        <v>300</v>
      </c>
      <c r="M385" s="64"/>
      <c r="N385" s="18">
        <f t="shared" si="95"/>
        <v>300</v>
      </c>
      <c r="O385" s="64"/>
      <c r="P385" s="18">
        <f t="shared" si="102"/>
        <v>300</v>
      </c>
      <c r="Q385" s="64"/>
      <c r="R385" s="18">
        <f t="shared" si="103"/>
        <v>300</v>
      </c>
      <c r="S385" s="64"/>
      <c r="T385" s="18">
        <f t="shared" si="104"/>
        <v>300</v>
      </c>
      <c r="U385" s="64"/>
      <c r="V385" s="18">
        <f t="shared" si="105"/>
        <v>300</v>
      </c>
      <c r="W385" s="64"/>
      <c r="X385" s="18">
        <f t="shared" si="106"/>
        <v>300</v>
      </c>
      <c r="Z385" s="43">
        <f>X385+Y385</f>
        <v>300</v>
      </c>
      <c r="AA385" s="43"/>
    </row>
    <row r="386" spans="1:27" ht="24.75" x14ac:dyDescent="0.25">
      <c r="A386" s="28" t="s">
        <v>225</v>
      </c>
      <c r="B386" s="29" t="s">
        <v>559</v>
      </c>
      <c r="C386" s="29" t="s">
        <v>2</v>
      </c>
      <c r="D386" s="19"/>
      <c r="E386" s="20">
        <f>E387</f>
        <v>7289.4</v>
      </c>
      <c r="F386" s="18">
        <f t="shared" si="91"/>
        <v>7289.4</v>
      </c>
      <c r="G386" s="20">
        <f>G387</f>
        <v>46737.7</v>
      </c>
      <c r="H386" s="18">
        <f t="shared" si="92"/>
        <v>54027.1</v>
      </c>
      <c r="I386" s="20">
        <f>I387+I388</f>
        <v>0</v>
      </c>
      <c r="J386" s="18">
        <f t="shared" si="93"/>
        <v>54027.1</v>
      </c>
      <c r="K386" s="47">
        <f>K387+K388</f>
        <v>-54009.299999999996</v>
      </c>
      <c r="L386" s="18">
        <f t="shared" si="94"/>
        <v>17.80000000000291</v>
      </c>
      <c r="M386" s="47">
        <f>M387+M388</f>
        <v>0</v>
      </c>
      <c r="N386" s="18">
        <f t="shared" si="95"/>
        <v>17.80000000000291</v>
      </c>
      <c r="O386" s="47">
        <f>O387+O388</f>
        <v>0</v>
      </c>
      <c r="P386" s="18">
        <f t="shared" si="102"/>
        <v>17.80000000000291</v>
      </c>
      <c r="Q386" s="47">
        <f>Q387+Q388</f>
        <v>0</v>
      </c>
      <c r="R386" s="18">
        <f t="shared" si="103"/>
        <v>17.80000000000291</v>
      </c>
      <c r="S386" s="47">
        <f>S387+S388</f>
        <v>0</v>
      </c>
      <c r="T386" s="18">
        <f t="shared" si="104"/>
        <v>17.80000000000291</v>
      </c>
      <c r="U386" s="47">
        <f>U387+U388</f>
        <v>0</v>
      </c>
      <c r="V386" s="18">
        <f t="shared" si="105"/>
        <v>17.80000000000291</v>
      </c>
      <c r="W386" s="47">
        <f>W387+W388</f>
        <v>0</v>
      </c>
      <c r="X386" s="18">
        <f t="shared" si="106"/>
        <v>17.80000000000291</v>
      </c>
    </row>
    <row r="387" spans="1:27" x14ac:dyDescent="0.25">
      <c r="A387" s="7" t="s">
        <v>54</v>
      </c>
      <c r="B387" s="31" t="s">
        <v>559</v>
      </c>
      <c r="C387" s="31" t="s">
        <v>34</v>
      </c>
      <c r="D387" s="19"/>
      <c r="E387" s="44">
        <v>7289.4</v>
      </c>
      <c r="F387" s="18">
        <f t="shared" si="91"/>
        <v>7289.4</v>
      </c>
      <c r="G387" s="44">
        <f>39000+7737.7</f>
        <v>46737.7</v>
      </c>
      <c r="H387" s="18">
        <f t="shared" si="92"/>
        <v>54027.1</v>
      </c>
      <c r="I387" s="62">
        <v>-54009.3</v>
      </c>
      <c r="J387" s="18">
        <f t="shared" si="93"/>
        <v>17.799999999995634</v>
      </c>
      <c r="K387" s="64"/>
      <c r="L387" s="18">
        <f t="shared" si="94"/>
        <v>17.799999999995634</v>
      </c>
      <c r="M387" s="64"/>
      <c r="N387" s="18">
        <f t="shared" si="95"/>
        <v>17.799999999995634</v>
      </c>
      <c r="O387" s="64"/>
      <c r="P387" s="18">
        <f t="shared" si="102"/>
        <v>17.799999999995634</v>
      </c>
      <c r="Q387" s="64"/>
      <c r="R387" s="18">
        <f t="shared" si="103"/>
        <v>17.799999999995634</v>
      </c>
      <c r="S387" s="64"/>
      <c r="T387" s="18">
        <f t="shared" si="104"/>
        <v>17.799999999995634</v>
      </c>
      <c r="U387" s="64"/>
      <c r="V387" s="18">
        <f t="shared" si="105"/>
        <v>17.799999999995634</v>
      </c>
      <c r="W387" s="64"/>
      <c r="X387" s="18">
        <f t="shared" si="106"/>
        <v>17.799999999995634</v>
      </c>
      <c r="Z387" s="43">
        <f t="shared" ref="Z387:Z388" si="110">X387+Y387</f>
        <v>17.799999999995634</v>
      </c>
      <c r="AA387" s="43"/>
    </row>
    <row r="388" spans="1:27" ht="24.75" hidden="1" x14ac:dyDescent="0.25">
      <c r="A388" s="8" t="s">
        <v>509</v>
      </c>
      <c r="B388" s="31" t="s">
        <v>559</v>
      </c>
      <c r="C388" s="31" t="s">
        <v>201</v>
      </c>
      <c r="D388" s="19"/>
      <c r="E388" s="44"/>
      <c r="F388" s="18"/>
      <c r="G388" s="44"/>
      <c r="H388" s="18"/>
      <c r="I388" s="62">
        <v>54009.3</v>
      </c>
      <c r="J388" s="18">
        <f t="shared" si="93"/>
        <v>54009.3</v>
      </c>
      <c r="K388" s="97">
        <f>-41149.9-5121.7-7737.7</f>
        <v>-54009.299999999996</v>
      </c>
      <c r="L388" s="18">
        <f t="shared" si="94"/>
        <v>0</v>
      </c>
      <c r="M388" s="64"/>
      <c r="N388" s="18">
        <f t="shared" si="95"/>
        <v>0</v>
      </c>
      <c r="O388" s="64"/>
      <c r="P388" s="18">
        <f t="shared" si="102"/>
        <v>0</v>
      </c>
      <c r="Q388" s="64"/>
      <c r="R388" s="18">
        <f t="shared" si="103"/>
        <v>0</v>
      </c>
      <c r="S388" s="64"/>
      <c r="T388" s="18">
        <f t="shared" si="104"/>
        <v>0</v>
      </c>
      <c r="U388" s="64"/>
      <c r="V388" s="18">
        <f t="shared" si="105"/>
        <v>0</v>
      </c>
      <c r="W388" s="64"/>
      <c r="X388" s="18">
        <f t="shared" si="106"/>
        <v>0</v>
      </c>
      <c r="Z388" s="43">
        <f t="shared" si="110"/>
        <v>0</v>
      </c>
      <c r="AA388" s="43"/>
    </row>
    <row r="389" spans="1:27" x14ac:dyDescent="0.25">
      <c r="A389" s="13" t="s">
        <v>430</v>
      </c>
      <c r="B389" s="24" t="s">
        <v>431</v>
      </c>
      <c r="C389" s="24" t="s">
        <v>2</v>
      </c>
      <c r="D389" s="18">
        <f>D391</f>
        <v>23.8</v>
      </c>
      <c r="E389" s="18">
        <f>E391</f>
        <v>0</v>
      </c>
      <c r="F389" s="18">
        <f t="shared" si="91"/>
        <v>23.8</v>
      </c>
      <c r="G389" s="18">
        <f>G391</f>
        <v>0</v>
      </c>
      <c r="H389" s="18">
        <f t="shared" si="92"/>
        <v>23.8</v>
      </c>
      <c r="I389" s="18">
        <f>I391+I390</f>
        <v>2357.6</v>
      </c>
      <c r="J389" s="18">
        <f t="shared" si="93"/>
        <v>2381.4</v>
      </c>
      <c r="K389" s="47">
        <f>K391+K390</f>
        <v>0</v>
      </c>
      <c r="L389" s="18">
        <f t="shared" si="94"/>
        <v>2381.4</v>
      </c>
      <c r="M389" s="47">
        <f>M391+M390</f>
        <v>0</v>
      </c>
      <c r="N389" s="18">
        <f t="shared" si="95"/>
        <v>2381.4</v>
      </c>
      <c r="O389" s="47">
        <f>O391+O390</f>
        <v>0</v>
      </c>
      <c r="P389" s="18">
        <f t="shared" si="102"/>
        <v>2381.4</v>
      </c>
      <c r="Q389" s="47">
        <f>Q391+Q390</f>
        <v>0</v>
      </c>
      <c r="R389" s="18">
        <f t="shared" si="103"/>
        <v>2381.4</v>
      </c>
      <c r="S389" s="47">
        <f>S391+S390</f>
        <v>0</v>
      </c>
      <c r="T389" s="18">
        <f t="shared" si="104"/>
        <v>2381.4</v>
      </c>
      <c r="U389" s="47">
        <f>U391+U390</f>
        <v>0</v>
      </c>
      <c r="V389" s="18">
        <f t="shared" si="105"/>
        <v>2381.4</v>
      </c>
      <c r="W389" s="47">
        <f>W391+W390</f>
        <v>0</v>
      </c>
      <c r="X389" s="18">
        <f t="shared" si="106"/>
        <v>2381.4</v>
      </c>
    </row>
    <row r="390" spans="1:27" x14ac:dyDescent="0.25">
      <c r="A390" s="7" t="s">
        <v>506</v>
      </c>
      <c r="B390" s="25" t="s">
        <v>431</v>
      </c>
      <c r="C390" s="25" t="s">
        <v>429</v>
      </c>
      <c r="D390" s="18"/>
      <c r="E390" s="18"/>
      <c r="F390" s="18"/>
      <c r="G390" s="18"/>
      <c r="H390" s="18"/>
      <c r="I390" s="45">
        <v>2357.6</v>
      </c>
      <c r="J390" s="18">
        <f t="shared" si="93"/>
        <v>2357.6</v>
      </c>
      <c r="K390" s="64"/>
      <c r="L390" s="18">
        <f t="shared" si="94"/>
        <v>2357.6</v>
      </c>
      <c r="M390" s="64"/>
      <c r="N390" s="18">
        <f t="shared" si="95"/>
        <v>2357.6</v>
      </c>
      <c r="O390" s="64"/>
      <c r="P390" s="18">
        <f t="shared" si="102"/>
        <v>2357.6</v>
      </c>
      <c r="Q390" s="64"/>
      <c r="R390" s="18">
        <f t="shared" si="103"/>
        <v>2357.6</v>
      </c>
      <c r="S390" s="64"/>
      <c r="T390" s="18">
        <f t="shared" si="104"/>
        <v>2357.6</v>
      </c>
      <c r="U390" s="64"/>
      <c r="V390" s="18">
        <f t="shared" si="105"/>
        <v>2357.6</v>
      </c>
      <c r="W390" s="64"/>
      <c r="X390" s="18">
        <f t="shared" si="106"/>
        <v>2357.6</v>
      </c>
      <c r="Z390" s="43">
        <f t="shared" ref="Z390:Z391" si="111">X390+Y390</f>
        <v>2357.6</v>
      </c>
      <c r="AA390" s="43"/>
    </row>
    <row r="391" spans="1:27" x14ac:dyDescent="0.25">
      <c r="A391" s="7" t="s">
        <v>506</v>
      </c>
      <c r="B391" s="25" t="s">
        <v>431</v>
      </c>
      <c r="C391" s="25" t="s">
        <v>429</v>
      </c>
      <c r="D391" s="19">
        <v>23.8</v>
      </c>
      <c r="E391" s="19"/>
      <c r="F391" s="18">
        <f t="shared" si="91"/>
        <v>23.8</v>
      </c>
      <c r="G391" s="19"/>
      <c r="H391" s="82">
        <f t="shared" si="92"/>
        <v>23.8</v>
      </c>
      <c r="I391" s="19"/>
      <c r="J391" s="18">
        <f t="shared" si="93"/>
        <v>23.8</v>
      </c>
      <c r="K391" s="64"/>
      <c r="L391" s="18">
        <f t="shared" si="94"/>
        <v>23.8</v>
      </c>
      <c r="M391" s="64"/>
      <c r="N391" s="18">
        <f t="shared" si="95"/>
        <v>23.8</v>
      </c>
      <c r="O391" s="64"/>
      <c r="P391" s="18">
        <f t="shared" si="102"/>
        <v>23.8</v>
      </c>
      <c r="Q391" s="64"/>
      <c r="R391" s="18">
        <f t="shared" si="103"/>
        <v>23.8</v>
      </c>
      <c r="S391" s="64"/>
      <c r="T391" s="18">
        <f t="shared" si="104"/>
        <v>23.8</v>
      </c>
      <c r="U391" s="64"/>
      <c r="V391" s="18">
        <f t="shared" si="105"/>
        <v>23.8</v>
      </c>
      <c r="W391" s="64"/>
      <c r="X391" s="18">
        <f t="shared" si="106"/>
        <v>23.8</v>
      </c>
      <c r="Z391" s="43">
        <f t="shared" si="111"/>
        <v>23.8</v>
      </c>
      <c r="AA391" s="43"/>
    </row>
    <row r="392" spans="1:27" ht="24.75" x14ac:dyDescent="0.25">
      <c r="A392" s="16" t="s">
        <v>159</v>
      </c>
      <c r="B392" s="22" t="s">
        <v>160</v>
      </c>
      <c r="C392" s="22" t="s">
        <v>2</v>
      </c>
      <c r="D392" s="17">
        <f>D393+D398+D401+D404+D407+D410</f>
        <v>512</v>
      </c>
      <c r="E392" s="17">
        <f>E393+E398+E401+E404+E407+E410</f>
        <v>0</v>
      </c>
      <c r="F392" s="17">
        <f t="shared" si="91"/>
        <v>512</v>
      </c>
      <c r="G392" s="17">
        <f>G393+G398+G401+G404+G407+G410</f>
        <v>0</v>
      </c>
      <c r="H392" s="17">
        <f t="shared" si="92"/>
        <v>512</v>
      </c>
      <c r="I392" s="17">
        <f>I393+I398+I401+I404+I407+I410</f>
        <v>0</v>
      </c>
      <c r="J392" s="17">
        <f t="shared" si="93"/>
        <v>512</v>
      </c>
      <c r="K392" s="17">
        <f>K393+K398+K401+K404+K407+K410</f>
        <v>0</v>
      </c>
      <c r="L392" s="17">
        <f t="shared" si="94"/>
        <v>512</v>
      </c>
      <c r="M392" s="17">
        <f>M393+M398+M401+M404+M407+M410</f>
        <v>0</v>
      </c>
      <c r="N392" s="17">
        <f t="shared" si="95"/>
        <v>512</v>
      </c>
      <c r="O392" s="17">
        <f>O393+O398+O401+O404+O407+O410</f>
        <v>0</v>
      </c>
      <c r="P392" s="17">
        <f t="shared" si="102"/>
        <v>512</v>
      </c>
      <c r="Q392" s="17">
        <f>Q393+Q398+Q401+Q404+Q407+Q410</f>
        <v>0</v>
      </c>
      <c r="R392" s="17">
        <f t="shared" si="103"/>
        <v>512</v>
      </c>
      <c r="S392" s="17">
        <f>S393+S398+S401+S404+S407+S410</f>
        <v>-236</v>
      </c>
      <c r="T392" s="17">
        <f t="shared" si="104"/>
        <v>276</v>
      </c>
      <c r="U392" s="17">
        <f>U393+U398+U401+U404+U407+U410</f>
        <v>0</v>
      </c>
      <c r="V392" s="17">
        <f t="shared" si="105"/>
        <v>276</v>
      </c>
      <c r="W392" s="17">
        <f>W393+W398+W401+W404+W407+W410</f>
        <v>0</v>
      </c>
      <c r="X392" s="17">
        <f t="shared" si="106"/>
        <v>276</v>
      </c>
    </row>
    <row r="393" spans="1:27" x14ac:dyDescent="0.25">
      <c r="A393" s="13" t="s">
        <v>161</v>
      </c>
      <c r="B393" s="24" t="s">
        <v>162</v>
      </c>
      <c r="C393" s="24" t="s">
        <v>2</v>
      </c>
      <c r="D393" s="18">
        <f>D394+D396</f>
        <v>200</v>
      </c>
      <c r="E393" s="18">
        <f>E394+E396</f>
        <v>0</v>
      </c>
      <c r="F393" s="18">
        <f t="shared" si="91"/>
        <v>200</v>
      </c>
      <c r="G393" s="18">
        <f>G394+G396</f>
        <v>0</v>
      </c>
      <c r="H393" s="18">
        <f t="shared" si="92"/>
        <v>200</v>
      </c>
      <c r="I393" s="18">
        <f>I394+I396</f>
        <v>0</v>
      </c>
      <c r="J393" s="18">
        <f t="shared" si="93"/>
        <v>200</v>
      </c>
      <c r="K393" s="18">
        <f>K394+K396</f>
        <v>0</v>
      </c>
      <c r="L393" s="18">
        <f t="shared" si="94"/>
        <v>200</v>
      </c>
      <c r="M393" s="18">
        <f>M394+M396</f>
        <v>0</v>
      </c>
      <c r="N393" s="18">
        <f t="shared" si="95"/>
        <v>200</v>
      </c>
      <c r="O393" s="18">
        <f>O394+O396</f>
        <v>0</v>
      </c>
      <c r="P393" s="18">
        <f t="shared" si="102"/>
        <v>200</v>
      </c>
      <c r="Q393" s="18">
        <f>Q394+Q396</f>
        <v>0</v>
      </c>
      <c r="R393" s="18">
        <f t="shared" si="103"/>
        <v>200</v>
      </c>
      <c r="S393" s="18">
        <f>S394+S396</f>
        <v>-100</v>
      </c>
      <c r="T393" s="18">
        <f t="shared" si="104"/>
        <v>100</v>
      </c>
      <c r="U393" s="18">
        <f>U394+U396</f>
        <v>0</v>
      </c>
      <c r="V393" s="18">
        <f t="shared" si="105"/>
        <v>100</v>
      </c>
      <c r="W393" s="18">
        <f>W394+W396</f>
        <v>0</v>
      </c>
      <c r="X393" s="18">
        <f t="shared" si="106"/>
        <v>100</v>
      </c>
    </row>
    <row r="394" spans="1:27" ht="24.75" hidden="1" x14ac:dyDescent="0.25">
      <c r="A394" s="13" t="s">
        <v>163</v>
      </c>
      <c r="B394" s="24" t="s">
        <v>164</v>
      </c>
      <c r="C394" s="24" t="s">
        <v>2</v>
      </c>
      <c r="D394" s="18">
        <f>D395</f>
        <v>50</v>
      </c>
      <c r="E394" s="18">
        <f>E395</f>
        <v>0</v>
      </c>
      <c r="F394" s="18">
        <f t="shared" si="91"/>
        <v>50</v>
      </c>
      <c r="G394" s="18">
        <f>G395</f>
        <v>0</v>
      </c>
      <c r="H394" s="18">
        <f t="shared" si="92"/>
        <v>50</v>
      </c>
      <c r="I394" s="18">
        <f>I395</f>
        <v>0</v>
      </c>
      <c r="J394" s="18">
        <f t="shared" si="93"/>
        <v>50</v>
      </c>
      <c r="K394" s="18">
        <f>K395</f>
        <v>0</v>
      </c>
      <c r="L394" s="18">
        <f t="shared" si="94"/>
        <v>50</v>
      </c>
      <c r="M394" s="18">
        <f>M395</f>
        <v>0</v>
      </c>
      <c r="N394" s="18">
        <f t="shared" si="95"/>
        <v>50</v>
      </c>
      <c r="O394" s="18">
        <f>O395</f>
        <v>0</v>
      </c>
      <c r="P394" s="18">
        <f t="shared" si="102"/>
        <v>50</v>
      </c>
      <c r="Q394" s="18">
        <f>Q395</f>
        <v>0</v>
      </c>
      <c r="R394" s="18">
        <f t="shared" si="103"/>
        <v>50</v>
      </c>
      <c r="S394" s="18">
        <f>S395</f>
        <v>-50</v>
      </c>
      <c r="T394" s="18">
        <f t="shared" si="104"/>
        <v>0</v>
      </c>
      <c r="U394" s="18">
        <f>U395</f>
        <v>0</v>
      </c>
      <c r="V394" s="18">
        <f t="shared" si="105"/>
        <v>0</v>
      </c>
      <c r="W394" s="18">
        <f>W395</f>
        <v>0</v>
      </c>
      <c r="X394" s="18">
        <f t="shared" si="106"/>
        <v>0</v>
      </c>
    </row>
    <row r="395" spans="1:27" hidden="1" x14ac:dyDescent="0.25">
      <c r="A395" s="7" t="s">
        <v>54</v>
      </c>
      <c r="B395" s="25" t="s">
        <v>164</v>
      </c>
      <c r="C395" s="25" t="s">
        <v>34</v>
      </c>
      <c r="D395" s="19">
        <v>50</v>
      </c>
      <c r="E395" s="19"/>
      <c r="F395" s="18">
        <f t="shared" si="91"/>
        <v>50</v>
      </c>
      <c r="G395" s="19"/>
      <c r="H395" s="18">
        <f t="shared" si="92"/>
        <v>50</v>
      </c>
      <c r="I395" s="19"/>
      <c r="J395" s="18">
        <f t="shared" si="93"/>
        <v>50</v>
      </c>
      <c r="K395" s="19"/>
      <c r="L395" s="18">
        <f t="shared" si="94"/>
        <v>50</v>
      </c>
      <c r="M395" s="19"/>
      <c r="N395" s="18">
        <f t="shared" si="95"/>
        <v>50</v>
      </c>
      <c r="O395" s="19"/>
      <c r="P395" s="18">
        <f t="shared" si="102"/>
        <v>50</v>
      </c>
      <c r="Q395" s="19"/>
      <c r="R395" s="18">
        <f t="shared" si="103"/>
        <v>50</v>
      </c>
      <c r="S395" s="44">
        <v>-50</v>
      </c>
      <c r="T395" s="18">
        <f t="shared" si="104"/>
        <v>0</v>
      </c>
      <c r="U395" s="64"/>
      <c r="V395" s="18">
        <f t="shared" si="105"/>
        <v>0</v>
      </c>
      <c r="W395" s="64"/>
      <c r="X395" s="18">
        <f t="shared" si="106"/>
        <v>0</v>
      </c>
      <c r="Z395" s="43">
        <f>X395+Y395</f>
        <v>0</v>
      </c>
      <c r="AA395" s="43"/>
    </row>
    <row r="396" spans="1:27" ht="24.75" x14ac:dyDescent="0.25">
      <c r="A396" s="13" t="s">
        <v>163</v>
      </c>
      <c r="B396" s="24" t="s">
        <v>164</v>
      </c>
      <c r="C396" s="24" t="s">
        <v>2</v>
      </c>
      <c r="D396" s="18">
        <f>D397</f>
        <v>150</v>
      </c>
      <c r="E396" s="18">
        <f>E397</f>
        <v>0</v>
      </c>
      <c r="F396" s="18">
        <f t="shared" si="91"/>
        <v>150</v>
      </c>
      <c r="G396" s="18">
        <f>G397</f>
        <v>0</v>
      </c>
      <c r="H396" s="18">
        <f t="shared" si="92"/>
        <v>150</v>
      </c>
      <c r="I396" s="18">
        <f>I397</f>
        <v>0</v>
      </c>
      <c r="J396" s="18">
        <f t="shared" si="93"/>
        <v>150</v>
      </c>
      <c r="K396" s="18">
        <f>K397</f>
        <v>0</v>
      </c>
      <c r="L396" s="18">
        <f t="shared" si="94"/>
        <v>150</v>
      </c>
      <c r="M396" s="18">
        <f>M397</f>
        <v>0</v>
      </c>
      <c r="N396" s="18">
        <f t="shared" si="95"/>
        <v>150</v>
      </c>
      <c r="O396" s="18">
        <f>O397</f>
        <v>0</v>
      </c>
      <c r="P396" s="18">
        <f t="shared" si="102"/>
        <v>150</v>
      </c>
      <c r="Q396" s="18">
        <f>Q397</f>
        <v>0</v>
      </c>
      <c r="R396" s="18">
        <f t="shared" si="103"/>
        <v>150</v>
      </c>
      <c r="S396" s="18">
        <f>S397</f>
        <v>-50</v>
      </c>
      <c r="T396" s="18">
        <f t="shared" si="104"/>
        <v>100</v>
      </c>
      <c r="U396" s="18">
        <f>U397</f>
        <v>0</v>
      </c>
      <c r="V396" s="18">
        <f t="shared" si="105"/>
        <v>100</v>
      </c>
      <c r="W396" s="18">
        <f>W397</f>
        <v>0</v>
      </c>
      <c r="X396" s="18">
        <f t="shared" si="106"/>
        <v>100</v>
      </c>
    </row>
    <row r="397" spans="1:27" x14ac:dyDescent="0.25">
      <c r="A397" s="9" t="s">
        <v>511</v>
      </c>
      <c r="B397" s="25" t="s">
        <v>164</v>
      </c>
      <c r="C397" s="25" t="s">
        <v>66</v>
      </c>
      <c r="D397" s="19">
        <v>150</v>
      </c>
      <c r="E397" s="19"/>
      <c r="F397" s="18">
        <f t="shared" si="91"/>
        <v>150</v>
      </c>
      <c r="G397" s="19"/>
      <c r="H397" s="18">
        <f t="shared" si="92"/>
        <v>150</v>
      </c>
      <c r="I397" s="19"/>
      <c r="J397" s="18">
        <f t="shared" si="93"/>
        <v>150</v>
      </c>
      <c r="K397" s="19"/>
      <c r="L397" s="18">
        <f t="shared" si="94"/>
        <v>150</v>
      </c>
      <c r="M397" s="19"/>
      <c r="N397" s="18">
        <f t="shared" si="95"/>
        <v>150</v>
      </c>
      <c r="O397" s="19"/>
      <c r="P397" s="18">
        <f t="shared" si="102"/>
        <v>150</v>
      </c>
      <c r="Q397" s="19"/>
      <c r="R397" s="18">
        <f t="shared" si="103"/>
        <v>150</v>
      </c>
      <c r="S397" s="44">
        <v>-50</v>
      </c>
      <c r="T397" s="18">
        <f t="shared" si="104"/>
        <v>100</v>
      </c>
      <c r="U397" s="64"/>
      <c r="V397" s="18">
        <f t="shared" si="105"/>
        <v>100</v>
      </c>
      <c r="W397" s="64"/>
      <c r="X397" s="18">
        <f t="shared" si="106"/>
        <v>100</v>
      </c>
      <c r="Z397" s="43">
        <f>X397+Y397</f>
        <v>100</v>
      </c>
      <c r="AA397" s="43"/>
    </row>
    <row r="398" spans="1:27" ht="16.5" customHeight="1" x14ac:dyDescent="0.25">
      <c r="A398" s="13" t="s">
        <v>349</v>
      </c>
      <c r="B398" s="24" t="s">
        <v>350</v>
      </c>
      <c r="C398" s="24" t="s">
        <v>2</v>
      </c>
      <c r="D398" s="18">
        <f>D399</f>
        <v>10</v>
      </c>
      <c r="E398" s="18">
        <f>E399</f>
        <v>0</v>
      </c>
      <c r="F398" s="18">
        <f t="shared" si="91"/>
        <v>10</v>
      </c>
      <c r="G398" s="18">
        <f>G399</f>
        <v>0</v>
      </c>
      <c r="H398" s="18">
        <f t="shared" si="92"/>
        <v>10</v>
      </c>
      <c r="I398" s="18">
        <f>I399</f>
        <v>0</v>
      </c>
      <c r="J398" s="18">
        <f t="shared" si="93"/>
        <v>10</v>
      </c>
      <c r="K398" s="18">
        <f>K399</f>
        <v>0</v>
      </c>
      <c r="L398" s="18">
        <f t="shared" si="94"/>
        <v>10</v>
      </c>
      <c r="M398" s="18">
        <f>M399</f>
        <v>0</v>
      </c>
      <c r="N398" s="18">
        <f t="shared" si="95"/>
        <v>10</v>
      </c>
      <c r="O398" s="18">
        <f>O399</f>
        <v>0</v>
      </c>
      <c r="P398" s="18">
        <f t="shared" si="102"/>
        <v>10</v>
      </c>
      <c r="Q398" s="18">
        <f>Q399</f>
        <v>0</v>
      </c>
      <c r="R398" s="18">
        <f t="shared" si="103"/>
        <v>10</v>
      </c>
      <c r="S398" s="18">
        <f>S399</f>
        <v>0</v>
      </c>
      <c r="T398" s="18">
        <f t="shared" si="104"/>
        <v>10</v>
      </c>
      <c r="U398" s="18">
        <f>U399</f>
        <v>0</v>
      </c>
      <c r="V398" s="18">
        <f t="shared" si="105"/>
        <v>10</v>
      </c>
      <c r="W398" s="18">
        <f>W399</f>
        <v>0</v>
      </c>
      <c r="X398" s="18">
        <f t="shared" si="106"/>
        <v>10</v>
      </c>
    </row>
    <row r="399" spans="1:27" ht="24.75" x14ac:dyDescent="0.25">
      <c r="A399" s="13" t="s">
        <v>163</v>
      </c>
      <c r="B399" s="24" t="s">
        <v>351</v>
      </c>
      <c r="C399" s="24" t="s">
        <v>2</v>
      </c>
      <c r="D399" s="18">
        <f>D400</f>
        <v>10</v>
      </c>
      <c r="E399" s="18">
        <f>E400</f>
        <v>0</v>
      </c>
      <c r="F399" s="18">
        <f t="shared" si="91"/>
        <v>10</v>
      </c>
      <c r="G399" s="18">
        <f>G400</f>
        <v>0</v>
      </c>
      <c r="H399" s="18">
        <f t="shared" si="92"/>
        <v>10</v>
      </c>
      <c r="I399" s="18">
        <f>I400</f>
        <v>0</v>
      </c>
      <c r="J399" s="18">
        <f t="shared" si="93"/>
        <v>10</v>
      </c>
      <c r="K399" s="18">
        <f>K400</f>
        <v>0</v>
      </c>
      <c r="L399" s="18">
        <f t="shared" si="94"/>
        <v>10</v>
      </c>
      <c r="M399" s="18">
        <f>M400</f>
        <v>0</v>
      </c>
      <c r="N399" s="18">
        <f t="shared" si="95"/>
        <v>10</v>
      </c>
      <c r="O399" s="18">
        <f>O400</f>
        <v>0</v>
      </c>
      <c r="P399" s="18">
        <f t="shared" si="102"/>
        <v>10</v>
      </c>
      <c r="Q399" s="18">
        <f>Q400</f>
        <v>0</v>
      </c>
      <c r="R399" s="18">
        <f t="shared" si="103"/>
        <v>10</v>
      </c>
      <c r="S399" s="18">
        <f>S400</f>
        <v>0</v>
      </c>
      <c r="T399" s="18">
        <f t="shared" si="104"/>
        <v>10</v>
      </c>
      <c r="U399" s="18">
        <f>U400</f>
        <v>0</v>
      </c>
      <c r="V399" s="18">
        <f t="shared" si="105"/>
        <v>10</v>
      </c>
      <c r="W399" s="18">
        <f>W400</f>
        <v>0</v>
      </c>
      <c r="X399" s="18">
        <f t="shared" si="106"/>
        <v>10</v>
      </c>
    </row>
    <row r="400" spans="1:27" x14ac:dyDescent="0.25">
      <c r="A400" s="9" t="s">
        <v>511</v>
      </c>
      <c r="B400" s="25" t="s">
        <v>351</v>
      </c>
      <c r="C400" s="25" t="s">
        <v>66</v>
      </c>
      <c r="D400" s="19">
        <v>10</v>
      </c>
      <c r="E400" s="19"/>
      <c r="F400" s="18">
        <f t="shared" si="91"/>
        <v>10</v>
      </c>
      <c r="G400" s="19"/>
      <c r="H400" s="18">
        <f t="shared" si="92"/>
        <v>10</v>
      </c>
      <c r="I400" s="19"/>
      <c r="J400" s="18">
        <f t="shared" si="93"/>
        <v>10</v>
      </c>
      <c r="K400" s="19"/>
      <c r="L400" s="18">
        <f t="shared" si="94"/>
        <v>10</v>
      </c>
      <c r="M400" s="19"/>
      <c r="N400" s="18">
        <f t="shared" si="95"/>
        <v>10</v>
      </c>
      <c r="O400" s="19"/>
      <c r="P400" s="18">
        <f t="shared" si="102"/>
        <v>10</v>
      </c>
      <c r="Q400" s="19"/>
      <c r="R400" s="18">
        <f t="shared" si="103"/>
        <v>10</v>
      </c>
      <c r="S400" s="64"/>
      <c r="T400" s="18">
        <f t="shared" si="104"/>
        <v>10</v>
      </c>
      <c r="U400" s="64"/>
      <c r="V400" s="18">
        <f t="shared" si="105"/>
        <v>10</v>
      </c>
      <c r="W400" s="64"/>
      <c r="X400" s="18">
        <f t="shared" si="106"/>
        <v>10</v>
      </c>
      <c r="Z400" s="43">
        <f>X400+Y400</f>
        <v>10</v>
      </c>
      <c r="AA400" s="43"/>
    </row>
    <row r="401" spans="1:27" x14ac:dyDescent="0.25">
      <c r="A401" s="13" t="s">
        <v>392</v>
      </c>
      <c r="B401" s="24" t="s">
        <v>393</v>
      </c>
      <c r="C401" s="24" t="s">
        <v>2</v>
      </c>
      <c r="D401" s="18">
        <f>D402</f>
        <v>30</v>
      </c>
      <c r="E401" s="18">
        <f>E402</f>
        <v>0</v>
      </c>
      <c r="F401" s="18">
        <f t="shared" si="91"/>
        <v>30</v>
      </c>
      <c r="G401" s="18">
        <f>G402</f>
        <v>0</v>
      </c>
      <c r="H401" s="18">
        <f t="shared" si="92"/>
        <v>30</v>
      </c>
      <c r="I401" s="18">
        <f>I402</f>
        <v>0</v>
      </c>
      <c r="J401" s="18">
        <f t="shared" si="93"/>
        <v>30</v>
      </c>
      <c r="K401" s="18">
        <f>K402</f>
        <v>0</v>
      </c>
      <c r="L401" s="18">
        <f t="shared" si="94"/>
        <v>30</v>
      </c>
      <c r="M401" s="18">
        <f>M402</f>
        <v>0</v>
      </c>
      <c r="N401" s="18">
        <f t="shared" si="95"/>
        <v>30</v>
      </c>
      <c r="O401" s="18">
        <f>O402</f>
        <v>0</v>
      </c>
      <c r="P401" s="18">
        <f t="shared" si="102"/>
        <v>30</v>
      </c>
      <c r="Q401" s="18">
        <f>Q402</f>
        <v>0</v>
      </c>
      <c r="R401" s="18">
        <f t="shared" si="103"/>
        <v>30</v>
      </c>
      <c r="S401" s="18">
        <f>S402</f>
        <v>0</v>
      </c>
      <c r="T401" s="18">
        <f t="shared" si="104"/>
        <v>30</v>
      </c>
      <c r="U401" s="18">
        <f>U402</f>
        <v>0</v>
      </c>
      <c r="V401" s="18">
        <f t="shared" si="105"/>
        <v>30</v>
      </c>
      <c r="W401" s="18">
        <f>W402</f>
        <v>0</v>
      </c>
      <c r="X401" s="18">
        <f t="shared" si="106"/>
        <v>30</v>
      </c>
    </row>
    <row r="402" spans="1:27" ht="24.75" x14ac:dyDescent="0.25">
      <c r="A402" s="13" t="s">
        <v>163</v>
      </c>
      <c r="B402" s="24" t="s">
        <v>394</v>
      </c>
      <c r="C402" s="24" t="s">
        <v>2</v>
      </c>
      <c r="D402" s="18">
        <f>D403</f>
        <v>30</v>
      </c>
      <c r="E402" s="18">
        <f>E403</f>
        <v>0</v>
      </c>
      <c r="F402" s="18">
        <f t="shared" si="91"/>
        <v>30</v>
      </c>
      <c r="G402" s="18">
        <f>G403</f>
        <v>0</v>
      </c>
      <c r="H402" s="18">
        <f t="shared" si="92"/>
        <v>30</v>
      </c>
      <c r="I402" s="18">
        <f>I403</f>
        <v>0</v>
      </c>
      <c r="J402" s="18">
        <f t="shared" si="93"/>
        <v>30</v>
      </c>
      <c r="K402" s="18">
        <f>K403</f>
        <v>0</v>
      </c>
      <c r="L402" s="18">
        <f t="shared" si="94"/>
        <v>30</v>
      </c>
      <c r="M402" s="18">
        <f>M403</f>
        <v>0</v>
      </c>
      <c r="N402" s="18">
        <f t="shared" si="95"/>
        <v>30</v>
      </c>
      <c r="O402" s="18">
        <f>O403</f>
        <v>0</v>
      </c>
      <c r="P402" s="18">
        <f t="shared" si="102"/>
        <v>30</v>
      </c>
      <c r="Q402" s="18">
        <f>Q403</f>
        <v>0</v>
      </c>
      <c r="R402" s="18">
        <f t="shared" si="103"/>
        <v>30</v>
      </c>
      <c r="S402" s="18">
        <f>S403</f>
        <v>0</v>
      </c>
      <c r="T402" s="18">
        <f t="shared" si="104"/>
        <v>30</v>
      </c>
      <c r="U402" s="18">
        <f>U403</f>
        <v>0</v>
      </c>
      <c r="V402" s="18">
        <f t="shared" si="105"/>
        <v>30</v>
      </c>
      <c r="W402" s="18">
        <f>W403</f>
        <v>0</v>
      </c>
      <c r="X402" s="18">
        <f t="shared" si="106"/>
        <v>30</v>
      </c>
    </row>
    <row r="403" spans="1:27" x14ac:dyDescent="0.25">
      <c r="A403" s="9" t="s">
        <v>511</v>
      </c>
      <c r="B403" s="25" t="s">
        <v>394</v>
      </c>
      <c r="C403" s="25" t="s">
        <v>66</v>
      </c>
      <c r="D403" s="19">
        <v>30</v>
      </c>
      <c r="E403" s="19"/>
      <c r="F403" s="18">
        <f t="shared" si="91"/>
        <v>30</v>
      </c>
      <c r="G403" s="19"/>
      <c r="H403" s="18">
        <f t="shared" si="92"/>
        <v>30</v>
      </c>
      <c r="I403" s="19"/>
      <c r="J403" s="18">
        <f t="shared" si="93"/>
        <v>30</v>
      </c>
      <c r="K403" s="19"/>
      <c r="L403" s="18">
        <f t="shared" si="94"/>
        <v>30</v>
      </c>
      <c r="M403" s="19"/>
      <c r="N403" s="18">
        <f t="shared" si="95"/>
        <v>30</v>
      </c>
      <c r="O403" s="19"/>
      <c r="P403" s="18">
        <f t="shared" si="102"/>
        <v>30</v>
      </c>
      <c r="Q403" s="19"/>
      <c r="R403" s="18">
        <f t="shared" si="103"/>
        <v>30</v>
      </c>
      <c r="S403" s="64"/>
      <c r="T403" s="18">
        <f t="shared" si="104"/>
        <v>30</v>
      </c>
      <c r="U403" s="64"/>
      <c r="V403" s="18">
        <f t="shared" si="105"/>
        <v>30</v>
      </c>
      <c r="W403" s="64"/>
      <c r="X403" s="18">
        <f t="shared" si="106"/>
        <v>30</v>
      </c>
      <c r="Z403" s="43">
        <f>X403+Y403</f>
        <v>30</v>
      </c>
      <c r="AA403" s="43"/>
    </row>
    <row r="404" spans="1:27" x14ac:dyDescent="0.25">
      <c r="A404" s="13" t="s">
        <v>475</v>
      </c>
      <c r="B404" s="24" t="s">
        <v>165</v>
      </c>
      <c r="C404" s="24" t="s">
        <v>2</v>
      </c>
      <c r="D404" s="18">
        <f>D405</f>
        <v>100</v>
      </c>
      <c r="E404" s="18">
        <f>E405</f>
        <v>0</v>
      </c>
      <c r="F404" s="18">
        <f t="shared" si="91"/>
        <v>100</v>
      </c>
      <c r="G404" s="18">
        <f>G405</f>
        <v>0</v>
      </c>
      <c r="H404" s="18">
        <f t="shared" si="92"/>
        <v>100</v>
      </c>
      <c r="I404" s="18">
        <f>I405</f>
        <v>0</v>
      </c>
      <c r="J404" s="18">
        <f t="shared" si="93"/>
        <v>100</v>
      </c>
      <c r="K404" s="18">
        <f>K405</f>
        <v>0</v>
      </c>
      <c r="L404" s="18">
        <f t="shared" si="94"/>
        <v>100</v>
      </c>
      <c r="M404" s="18">
        <f>M405</f>
        <v>0</v>
      </c>
      <c r="N404" s="18">
        <f t="shared" si="95"/>
        <v>100</v>
      </c>
      <c r="O404" s="18">
        <f>O405</f>
        <v>0</v>
      </c>
      <c r="P404" s="18">
        <f t="shared" si="102"/>
        <v>100</v>
      </c>
      <c r="Q404" s="18">
        <f>Q405</f>
        <v>0</v>
      </c>
      <c r="R404" s="18">
        <f t="shared" si="103"/>
        <v>100</v>
      </c>
      <c r="S404" s="18">
        <f>S405</f>
        <v>-100</v>
      </c>
      <c r="T404" s="18">
        <f t="shared" si="104"/>
        <v>0</v>
      </c>
      <c r="U404" s="18">
        <f>U405</f>
        <v>48</v>
      </c>
      <c r="V404" s="18">
        <f t="shared" si="105"/>
        <v>48</v>
      </c>
      <c r="W404" s="18">
        <f>W405</f>
        <v>0</v>
      </c>
      <c r="X404" s="18">
        <f t="shared" si="106"/>
        <v>48</v>
      </c>
    </row>
    <row r="405" spans="1:27" ht="24.75" x14ac:dyDescent="0.25">
      <c r="A405" s="13" t="s">
        <v>163</v>
      </c>
      <c r="B405" s="24" t="s">
        <v>166</v>
      </c>
      <c r="C405" s="24" t="s">
        <v>2</v>
      </c>
      <c r="D405" s="18">
        <f>D406</f>
        <v>100</v>
      </c>
      <c r="E405" s="18">
        <f>E406</f>
        <v>0</v>
      </c>
      <c r="F405" s="18">
        <f t="shared" si="91"/>
        <v>100</v>
      </c>
      <c r="G405" s="18">
        <f>G406</f>
        <v>0</v>
      </c>
      <c r="H405" s="18">
        <f t="shared" si="92"/>
        <v>100</v>
      </c>
      <c r="I405" s="18">
        <f>I406</f>
        <v>0</v>
      </c>
      <c r="J405" s="18">
        <f t="shared" si="93"/>
        <v>100</v>
      </c>
      <c r="K405" s="18">
        <f>K406</f>
        <v>0</v>
      </c>
      <c r="L405" s="18">
        <f t="shared" si="94"/>
        <v>100</v>
      </c>
      <c r="M405" s="18">
        <f>M406</f>
        <v>0</v>
      </c>
      <c r="N405" s="18">
        <f t="shared" si="95"/>
        <v>100</v>
      </c>
      <c r="O405" s="18">
        <f>O406</f>
        <v>0</v>
      </c>
      <c r="P405" s="18">
        <f t="shared" si="102"/>
        <v>100</v>
      </c>
      <c r="Q405" s="18">
        <f>Q406</f>
        <v>0</v>
      </c>
      <c r="R405" s="18">
        <f t="shared" si="103"/>
        <v>100</v>
      </c>
      <c r="S405" s="18">
        <f>S406</f>
        <v>-100</v>
      </c>
      <c r="T405" s="18">
        <f t="shared" si="104"/>
        <v>0</v>
      </c>
      <c r="U405" s="18">
        <f>U406</f>
        <v>48</v>
      </c>
      <c r="V405" s="18">
        <f t="shared" si="105"/>
        <v>48</v>
      </c>
      <c r="W405" s="18">
        <f>W406</f>
        <v>0</v>
      </c>
      <c r="X405" s="18">
        <f t="shared" si="106"/>
        <v>48</v>
      </c>
    </row>
    <row r="406" spans="1:27" x14ac:dyDescent="0.25">
      <c r="A406" s="7" t="s">
        <v>54</v>
      </c>
      <c r="B406" s="25" t="s">
        <v>166</v>
      </c>
      <c r="C406" s="25" t="s">
        <v>34</v>
      </c>
      <c r="D406" s="19">
        <v>100</v>
      </c>
      <c r="E406" s="19"/>
      <c r="F406" s="18">
        <f t="shared" si="91"/>
        <v>100</v>
      </c>
      <c r="G406" s="19"/>
      <c r="H406" s="18">
        <f t="shared" si="92"/>
        <v>100</v>
      </c>
      <c r="I406" s="19"/>
      <c r="J406" s="18">
        <f t="shared" si="93"/>
        <v>100</v>
      </c>
      <c r="K406" s="19"/>
      <c r="L406" s="18">
        <f t="shared" si="94"/>
        <v>100</v>
      </c>
      <c r="M406" s="19"/>
      <c r="N406" s="18">
        <f t="shared" si="95"/>
        <v>100</v>
      </c>
      <c r="O406" s="19"/>
      <c r="P406" s="18">
        <f t="shared" si="102"/>
        <v>100</v>
      </c>
      <c r="Q406" s="19"/>
      <c r="R406" s="18">
        <f t="shared" si="103"/>
        <v>100</v>
      </c>
      <c r="S406" s="44">
        <v>-100</v>
      </c>
      <c r="T406" s="18">
        <f t="shared" si="104"/>
        <v>0</v>
      </c>
      <c r="U406" s="96">
        <v>48</v>
      </c>
      <c r="V406" s="18">
        <f t="shared" si="105"/>
        <v>48</v>
      </c>
      <c r="W406" s="64"/>
      <c r="X406" s="18">
        <f t="shared" si="106"/>
        <v>48</v>
      </c>
      <c r="Z406" s="43">
        <f>X406+Y406</f>
        <v>48</v>
      </c>
      <c r="AA406" s="43"/>
    </row>
    <row r="407" spans="1:27" ht="24.75" x14ac:dyDescent="0.25">
      <c r="A407" s="13" t="s">
        <v>525</v>
      </c>
      <c r="B407" s="24" t="s">
        <v>170</v>
      </c>
      <c r="C407" s="24" t="s">
        <v>2</v>
      </c>
      <c r="D407" s="18">
        <f>D408</f>
        <v>86</v>
      </c>
      <c r="E407" s="18">
        <f>E408</f>
        <v>0</v>
      </c>
      <c r="F407" s="18">
        <f t="shared" si="91"/>
        <v>86</v>
      </c>
      <c r="G407" s="18">
        <f>G408</f>
        <v>0</v>
      </c>
      <c r="H407" s="18">
        <f t="shared" si="92"/>
        <v>86</v>
      </c>
      <c r="I407" s="18">
        <f>I408</f>
        <v>0</v>
      </c>
      <c r="J407" s="18">
        <f t="shared" si="93"/>
        <v>86</v>
      </c>
      <c r="K407" s="18">
        <f>K408</f>
        <v>0</v>
      </c>
      <c r="L407" s="18">
        <f t="shared" si="94"/>
        <v>86</v>
      </c>
      <c r="M407" s="18">
        <f>M408</f>
        <v>0</v>
      </c>
      <c r="N407" s="18">
        <f t="shared" si="95"/>
        <v>86</v>
      </c>
      <c r="O407" s="18">
        <f>O408</f>
        <v>0</v>
      </c>
      <c r="P407" s="18">
        <f t="shared" si="102"/>
        <v>86</v>
      </c>
      <c r="Q407" s="18">
        <f>Q408</f>
        <v>0</v>
      </c>
      <c r="R407" s="18">
        <f t="shared" si="103"/>
        <v>86</v>
      </c>
      <c r="S407" s="18">
        <f>S408</f>
        <v>0</v>
      </c>
      <c r="T407" s="18">
        <f t="shared" si="104"/>
        <v>86</v>
      </c>
      <c r="U407" s="18">
        <f>U408</f>
        <v>-48</v>
      </c>
      <c r="V407" s="18">
        <f t="shared" si="105"/>
        <v>38</v>
      </c>
      <c r="W407" s="18">
        <f>W408</f>
        <v>0</v>
      </c>
      <c r="X407" s="18">
        <f t="shared" si="106"/>
        <v>38</v>
      </c>
    </row>
    <row r="408" spans="1:27" ht="24.75" x14ac:dyDescent="0.25">
      <c r="A408" s="13" t="s">
        <v>163</v>
      </c>
      <c r="B408" s="24" t="s">
        <v>171</v>
      </c>
      <c r="C408" s="24" t="s">
        <v>2</v>
      </c>
      <c r="D408" s="18">
        <f>D409</f>
        <v>86</v>
      </c>
      <c r="E408" s="18">
        <f>E409</f>
        <v>0</v>
      </c>
      <c r="F408" s="18">
        <f t="shared" si="91"/>
        <v>86</v>
      </c>
      <c r="G408" s="18">
        <f>G409</f>
        <v>0</v>
      </c>
      <c r="H408" s="18">
        <f t="shared" si="92"/>
        <v>86</v>
      </c>
      <c r="I408" s="18">
        <f>I409</f>
        <v>0</v>
      </c>
      <c r="J408" s="18">
        <f t="shared" si="93"/>
        <v>86</v>
      </c>
      <c r="K408" s="18">
        <f>K409</f>
        <v>0</v>
      </c>
      <c r="L408" s="18">
        <f t="shared" si="94"/>
        <v>86</v>
      </c>
      <c r="M408" s="18">
        <f>M409</f>
        <v>0</v>
      </c>
      <c r="N408" s="18">
        <f t="shared" si="95"/>
        <v>86</v>
      </c>
      <c r="O408" s="18">
        <f>O409</f>
        <v>0</v>
      </c>
      <c r="P408" s="18">
        <f t="shared" si="102"/>
        <v>86</v>
      </c>
      <c r="Q408" s="18">
        <f>Q409</f>
        <v>0</v>
      </c>
      <c r="R408" s="18">
        <f t="shared" si="103"/>
        <v>86</v>
      </c>
      <c r="S408" s="18">
        <f>S409</f>
        <v>0</v>
      </c>
      <c r="T408" s="18">
        <f t="shared" si="104"/>
        <v>86</v>
      </c>
      <c r="U408" s="18">
        <f>U409</f>
        <v>-48</v>
      </c>
      <c r="V408" s="18">
        <f t="shared" si="105"/>
        <v>38</v>
      </c>
      <c r="W408" s="18">
        <f>W409</f>
        <v>0</v>
      </c>
      <c r="X408" s="18">
        <f t="shared" si="106"/>
        <v>38</v>
      </c>
    </row>
    <row r="409" spans="1:27" x14ac:dyDescent="0.25">
      <c r="A409" s="7" t="s">
        <v>54</v>
      </c>
      <c r="B409" s="25" t="s">
        <v>171</v>
      </c>
      <c r="C409" s="25" t="s">
        <v>34</v>
      </c>
      <c r="D409" s="19">
        <v>86</v>
      </c>
      <c r="E409" s="19"/>
      <c r="F409" s="18">
        <f t="shared" si="91"/>
        <v>86</v>
      </c>
      <c r="G409" s="19"/>
      <c r="H409" s="18">
        <f t="shared" si="92"/>
        <v>86</v>
      </c>
      <c r="I409" s="19"/>
      <c r="J409" s="18">
        <f t="shared" si="93"/>
        <v>86</v>
      </c>
      <c r="K409" s="19"/>
      <c r="L409" s="18">
        <f t="shared" si="94"/>
        <v>86</v>
      </c>
      <c r="M409" s="19"/>
      <c r="N409" s="18">
        <f t="shared" si="95"/>
        <v>86</v>
      </c>
      <c r="O409" s="19"/>
      <c r="P409" s="18">
        <f t="shared" si="102"/>
        <v>86</v>
      </c>
      <c r="Q409" s="19"/>
      <c r="R409" s="18">
        <f t="shared" si="103"/>
        <v>86</v>
      </c>
      <c r="S409" s="64"/>
      <c r="T409" s="18">
        <f t="shared" si="104"/>
        <v>86</v>
      </c>
      <c r="U409" s="96">
        <v>-48</v>
      </c>
      <c r="V409" s="18">
        <f t="shared" si="105"/>
        <v>38</v>
      </c>
      <c r="W409" s="64"/>
      <c r="X409" s="18">
        <f t="shared" si="106"/>
        <v>38</v>
      </c>
      <c r="Z409" s="43">
        <f>X409+Y409</f>
        <v>38</v>
      </c>
      <c r="AA409" s="43"/>
    </row>
    <row r="410" spans="1:27" ht="25.5" customHeight="1" x14ac:dyDescent="0.25">
      <c r="A410" s="13" t="s">
        <v>167</v>
      </c>
      <c r="B410" s="24" t="s">
        <v>168</v>
      </c>
      <c r="C410" s="24" t="s">
        <v>2</v>
      </c>
      <c r="D410" s="18">
        <f>D411</f>
        <v>86</v>
      </c>
      <c r="E410" s="18">
        <f>E411</f>
        <v>0</v>
      </c>
      <c r="F410" s="18">
        <f t="shared" si="91"/>
        <v>86</v>
      </c>
      <c r="G410" s="18">
        <f>G411</f>
        <v>0</v>
      </c>
      <c r="H410" s="18">
        <f t="shared" si="92"/>
        <v>86</v>
      </c>
      <c r="I410" s="18">
        <f>I411</f>
        <v>0</v>
      </c>
      <c r="J410" s="18">
        <f t="shared" si="93"/>
        <v>86</v>
      </c>
      <c r="K410" s="18">
        <f>K411</f>
        <v>0</v>
      </c>
      <c r="L410" s="18">
        <f t="shared" si="94"/>
        <v>86</v>
      </c>
      <c r="M410" s="18">
        <f>M411</f>
        <v>0</v>
      </c>
      <c r="N410" s="18">
        <f t="shared" si="95"/>
        <v>86</v>
      </c>
      <c r="O410" s="18">
        <f>O411</f>
        <v>0</v>
      </c>
      <c r="P410" s="18">
        <f t="shared" si="102"/>
        <v>86</v>
      </c>
      <c r="Q410" s="18">
        <f>Q411</f>
        <v>0</v>
      </c>
      <c r="R410" s="18">
        <f t="shared" si="103"/>
        <v>86</v>
      </c>
      <c r="S410" s="18">
        <f>S411</f>
        <v>-36</v>
      </c>
      <c r="T410" s="18">
        <f t="shared" si="104"/>
        <v>50</v>
      </c>
      <c r="U410" s="18">
        <f>U411</f>
        <v>0</v>
      </c>
      <c r="V410" s="18">
        <f t="shared" si="105"/>
        <v>50</v>
      </c>
      <c r="W410" s="18">
        <f>W411</f>
        <v>0</v>
      </c>
      <c r="X410" s="18">
        <f t="shared" si="106"/>
        <v>50</v>
      </c>
    </row>
    <row r="411" spans="1:27" ht="24.75" x14ac:dyDescent="0.25">
      <c r="A411" s="13" t="s">
        <v>163</v>
      </c>
      <c r="B411" s="24" t="s">
        <v>169</v>
      </c>
      <c r="C411" s="24" t="s">
        <v>2</v>
      </c>
      <c r="D411" s="18">
        <f>D412</f>
        <v>86</v>
      </c>
      <c r="E411" s="18">
        <f>E412</f>
        <v>0</v>
      </c>
      <c r="F411" s="18">
        <f t="shared" si="91"/>
        <v>86</v>
      </c>
      <c r="G411" s="18">
        <f>G412</f>
        <v>0</v>
      </c>
      <c r="H411" s="18">
        <f t="shared" si="92"/>
        <v>86</v>
      </c>
      <c r="I411" s="18">
        <f>I412</f>
        <v>0</v>
      </c>
      <c r="J411" s="18">
        <f t="shared" si="93"/>
        <v>86</v>
      </c>
      <c r="K411" s="18">
        <f>K412</f>
        <v>0</v>
      </c>
      <c r="L411" s="18">
        <f t="shared" si="94"/>
        <v>86</v>
      </c>
      <c r="M411" s="18">
        <f>M412</f>
        <v>0</v>
      </c>
      <c r="N411" s="18">
        <f t="shared" si="95"/>
        <v>86</v>
      </c>
      <c r="O411" s="18">
        <f>O412</f>
        <v>0</v>
      </c>
      <c r="P411" s="18">
        <f t="shared" si="102"/>
        <v>86</v>
      </c>
      <c r="Q411" s="18">
        <f>Q412</f>
        <v>0</v>
      </c>
      <c r="R411" s="18">
        <f t="shared" si="103"/>
        <v>86</v>
      </c>
      <c r="S411" s="18">
        <f>S412</f>
        <v>-36</v>
      </c>
      <c r="T411" s="18">
        <f t="shared" si="104"/>
        <v>50</v>
      </c>
      <c r="U411" s="18">
        <f>U412</f>
        <v>0</v>
      </c>
      <c r="V411" s="18">
        <f t="shared" si="105"/>
        <v>50</v>
      </c>
      <c r="W411" s="18">
        <f>W412</f>
        <v>0</v>
      </c>
      <c r="X411" s="18">
        <f t="shared" si="106"/>
        <v>50</v>
      </c>
    </row>
    <row r="412" spans="1:27" x14ac:dyDescent="0.25">
      <c r="A412" s="7" t="s">
        <v>54</v>
      </c>
      <c r="B412" s="25" t="s">
        <v>169</v>
      </c>
      <c r="C412" s="25" t="s">
        <v>34</v>
      </c>
      <c r="D412" s="19">
        <v>86</v>
      </c>
      <c r="E412" s="19"/>
      <c r="F412" s="18">
        <f t="shared" si="91"/>
        <v>86</v>
      </c>
      <c r="G412" s="19"/>
      <c r="H412" s="18">
        <f t="shared" si="92"/>
        <v>86</v>
      </c>
      <c r="I412" s="19"/>
      <c r="J412" s="18">
        <f t="shared" si="93"/>
        <v>86</v>
      </c>
      <c r="K412" s="19"/>
      <c r="L412" s="18">
        <f t="shared" si="94"/>
        <v>86</v>
      </c>
      <c r="M412" s="19"/>
      <c r="N412" s="18">
        <f t="shared" si="95"/>
        <v>86</v>
      </c>
      <c r="O412" s="19"/>
      <c r="P412" s="18">
        <f t="shared" si="102"/>
        <v>86</v>
      </c>
      <c r="Q412" s="19"/>
      <c r="R412" s="18">
        <f t="shared" si="103"/>
        <v>86</v>
      </c>
      <c r="S412" s="44">
        <v>-36</v>
      </c>
      <c r="T412" s="18">
        <f t="shared" si="104"/>
        <v>50</v>
      </c>
      <c r="U412" s="64"/>
      <c r="V412" s="18">
        <f t="shared" si="105"/>
        <v>50</v>
      </c>
      <c r="W412" s="64"/>
      <c r="X412" s="18">
        <f t="shared" si="106"/>
        <v>50</v>
      </c>
      <c r="Z412" s="43">
        <f>X412+Y412</f>
        <v>50</v>
      </c>
      <c r="AA412" s="43"/>
    </row>
    <row r="413" spans="1:27" ht="24.75" x14ac:dyDescent="0.25">
      <c r="A413" s="16" t="s">
        <v>141</v>
      </c>
      <c r="B413" s="22" t="s">
        <v>142</v>
      </c>
      <c r="C413" s="22" t="s">
        <v>2</v>
      </c>
      <c r="D413" s="17">
        <f>D414+D424</f>
        <v>5871.7</v>
      </c>
      <c r="E413" s="17">
        <f>E414+E424</f>
        <v>-997.8</v>
      </c>
      <c r="F413" s="17">
        <f t="shared" si="91"/>
        <v>4873.8999999999996</v>
      </c>
      <c r="G413" s="17">
        <f>G414+G424</f>
        <v>0</v>
      </c>
      <c r="H413" s="17">
        <f t="shared" si="92"/>
        <v>4873.8999999999996</v>
      </c>
      <c r="I413" s="17">
        <f>I414+I424</f>
        <v>0</v>
      </c>
      <c r="J413" s="17">
        <f t="shared" si="93"/>
        <v>4873.8999999999996</v>
      </c>
      <c r="K413" s="17">
        <f>K414+K424</f>
        <v>809.2</v>
      </c>
      <c r="L413" s="17">
        <f t="shared" si="94"/>
        <v>5683.0999999999995</v>
      </c>
      <c r="M413" s="17">
        <f>M414+M424</f>
        <v>100</v>
      </c>
      <c r="N413" s="17">
        <f t="shared" si="95"/>
        <v>5783.0999999999995</v>
      </c>
      <c r="O413" s="17">
        <f>O414+O424</f>
        <v>0</v>
      </c>
      <c r="P413" s="17">
        <f t="shared" si="102"/>
        <v>5783.0999999999995</v>
      </c>
      <c r="Q413" s="17">
        <f>Q414+Q424</f>
        <v>0</v>
      </c>
      <c r="R413" s="17">
        <f t="shared" si="103"/>
        <v>5783.0999999999995</v>
      </c>
      <c r="S413" s="17">
        <f>S414+S424</f>
        <v>-905.1</v>
      </c>
      <c r="T413" s="17">
        <f t="shared" si="104"/>
        <v>4877.9999999999991</v>
      </c>
      <c r="U413" s="17">
        <f>U414+U424</f>
        <v>0</v>
      </c>
      <c r="V413" s="17">
        <f t="shared" si="105"/>
        <v>4877.9999999999991</v>
      </c>
      <c r="W413" s="17">
        <f>W414+W424</f>
        <v>-35.299999999999997</v>
      </c>
      <c r="X413" s="17">
        <f t="shared" si="106"/>
        <v>4842.6999999999989</v>
      </c>
    </row>
    <row r="414" spans="1:27" ht="17.25" customHeight="1" x14ac:dyDescent="0.25">
      <c r="A414" s="13" t="s">
        <v>143</v>
      </c>
      <c r="B414" s="24" t="s">
        <v>144</v>
      </c>
      <c r="C414" s="24" t="s">
        <v>2</v>
      </c>
      <c r="D414" s="18">
        <f>D415</f>
        <v>2971.7</v>
      </c>
      <c r="E414" s="18">
        <f>E415</f>
        <v>2.2000000000000002</v>
      </c>
      <c r="F414" s="18">
        <f t="shared" si="91"/>
        <v>2973.8999999999996</v>
      </c>
      <c r="G414" s="18">
        <f>G415</f>
        <v>0</v>
      </c>
      <c r="H414" s="18">
        <f t="shared" si="92"/>
        <v>2973.8999999999996</v>
      </c>
      <c r="I414" s="18">
        <f>I415</f>
        <v>0</v>
      </c>
      <c r="J414" s="18">
        <f t="shared" si="93"/>
        <v>2973.8999999999996</v>
      </c>
      <c r="K414" s="18">
        <f>K415</f>
        <v>0</v>
      </c>
      <c r="L414" s="18">
        <f t="shared" si="94"/>
        <v>2973.8999999999996</v>
      </c>
      <c r="M414" s="18">
        <f>M415</f>
        <v>100</v>
      </c>
      <c r="N414" s="18">
        <f t="shared" si="95"/>
        <v>3073.8999999999996</v>
      </c>
      <c r="O414" s="18">
        <f>O415</f>
        <v>0</v>
      </c>
      <c r="P414" s="18">
        <f t="shared" si="102"/>
        <v>3073.8999999999996</v>
      </c>
      <c r="Q414" s="18">
        <f>Q415</f>
        <v>0</v>
      </c>
      <c r="R414" s="18">
        <f t="shared" si="103"/>
        <v>3073.8999999999996</v>
      </c>
      <c r="S414" s="18">
        <f>S415</f>
        <v>-500</v>
      </c>
      <c r="T414" s="18">
        <f t="shared" si="104"/>
        <v>2573.8999999999996</v>
      </c>
      <c r="U414" s="18">
        <f>U415</f>
        <v>0</v>
      </c>
      <c r="V414" s="18">
        <f t="shared" si="105"/>
        <v>2573.8999999999996</v>
      </c>
      <c r="W414" s="18">
        <f>W415</f>
        <v>-35.299999999999997</v>
      </c>
      <c r="X414" s="18">
        <f t="shared" si="106"/>
        <v>2538.5999999999995</v>
      </c>
    </row>
    <row r="415" spans="1:27" ht="24.75" x14ac:dyDescent="0.25">
      <c r="A415" s="13" t="s">
        <v>145</v>
      </c>
      <c r="B415" s="24" t="s">
        <v>146</v>
      </c>
      <c r="C415" s="24" t="s">
        <v>2</v>
      </c>
      <c r="D415" s="18">
        <f>D416+D418+D420</f>
        <v>2971.7</v>
      </c>
      <c r="E415" s="18">
        <f>E416+E418+E420</f>
        <v>2.2000000000000002</v>
      </c>
      <c r="F415" s="18">
        <f t="shared" si="91"/>
        <v>2973.8999999999996</v>
      </c>
      <c r="G415" s="18">
        <f>G416+G418+G420</f>
        <v>0</v>
      </c>
      <c r="H415" s="18">
        <f t="shared" si="92"/>
        <v>2973.8999999999996</v>
      </c>
      <c r="I415" s="18">
        <f>I416+I418+I420</f>
        <v>0</v>
      </c>
      <c r="J415" s="18">
        <f t="shared" si="93"/>
        <v>2973.8999999999996</v>
      </c>
      <c r="K415" s="18">
        <f>K416+K418+K420</f>
        <v>0</v>
      </c>
      <c r="L415" s="18">
        <f t="shared" si="94"/>
        <v>2973.8999999999996</v>
      </c>
      <c r="M415" s="18">
        <f>M416+M418+M420+M422</f>
        <v>100</v>
      </c>
      <c r="N415" s="18">
        <f t="shared" si="95"/>
        <v>3073.8999999999996</v>
      </c>
      <c r="O415" s="18">
        <f>O416+O418+O420+O422</f>
        <v>0</v>
      </c>
      <c r="P415" s="18">
        <f t="shared" si="102"/>
        <v>3073.8999999999996</v>
      </c>
      <c r="Q415" s="18">
        <f>Q416+Q418+Q420+Q422</f>
        <v>0</v>
      </c>
      <c r="R415" s="18">
        <f t="shared" si="103"/>
        <v>3073.8999999999996</v>
      </c>
      <c r="S415" s="18">
        <f>S416+S418+S420+S422</f>
        <v>-500</v>
      </c>
      <c r="T415" s="18">
        <f t="shared" si="104"/>
        <v>2573.8999999999996</v>
      </c>
      <c r="U415" s="18">
        <f>U416+U418+U420+U422</f>
        <v>0</v>
      </c>
      <c r="V415" s="18">
        <f t="shared" si="105"/>
        <v>2573.8999999999996</v>
      </c>
      <c r="W415" s="18">
        <f>W416+W418+W420+W422</f>
        <v>-35.299999999999997</v>
      </c>
      <c r="X415" s="18">
        <f t="shared" si="106"/>
        <v>2538.5999999999995</v>
      </c>
    </row>
    <row r="416" spans="1:27" ht="48.75" hidden="1" x14ac:dyDescent="0.25">
      <c r="A416" s="13" t="s">
        <v>147</v>
      </c>
      <c r="B416" s="24" t="s">
        <v>148</v>
      </c>
      <c r="C416" s="24" t="s">
        <v>2</v>
      </c>
      <c r="D416" s="18">
        <f>D417</f>
        <v>6.7</v>
      </c>
      <c r="E416" s="18">
        <f>E417</f>
        <v>2.2000000000000002</v>
      </c>
      <c r="F416" s="18">
        <f t="shared" si="91"/>
        <v>8.9</v>
      </c>
      <c r="G416" s="18">
        <f>G417</f>
        <v>0</v>
      </c>
      <c r="H416" s="18">
        <f t="shared" si="92"/>
        <v>8.9</v>
      </c>
      <c r="I416" s="18">
        <f>I417</f>
        <v>0</v>
      </c>
      <c r="J416" s="18">
        <f t="shared" si="93"/>
        <v>8.9</v>
      </c>
      <c r="K416" s="18">
        <f>K417</f>
        <v>0</v>
      </c>
      <c r="L416" s="18">
        <f t="shared" si="94"/>
        <v>8.9</v>
      </c>
      <c r="M416" s="18">
        <f>M417</f>
        <v>0</v>
      </c>
      <c r="N416" s="18">
        <f t="shared" si="95"/>
        <v>8.9</v>
      </c>
      <c r="O416" s="18">
        <f>O417</f>
        <v>0</v>
      </c>
      <c r="P416" s="18">
        <f t="shared" si="102"/>
        <v>8.9</v>
      </c>
      <c r="Q416" s="18">
        <f>Q417</f>
        <v>0</v>
      </c>
      <c r="R416" s="18">
        <f t="shared" si="103"/>
        <v>8.9</v>
      </c>
      <c r="S416" s="18">
        <f>S417</f>
        <v>0</v>
      </c>
      <c r="T416" s="18">
        <f t="shared" si="104"/>
        <v>8.9</v>
      </c>
      <c r="U416" s="18">
        <f>U417</f>
        <v>0</v>
      </c>
      <c r="V416" s="18">
        <f t="shared" si="105"/>
        <v>8.9</v>
      </c>
      <c r="W416" s="18">
        <f>W417</f>
        <v>-8.9</v>
      </c>
      <c r="X416" s="18">
        <f t="shared" si="106"/>
        <v>0</v>
      </c>
    </row>
    <row r="417" spans="1:27" hidden="1" x14ac:dyDescent="0.25">
      <c r="A417" s="7" t="s">
        <v>54</v>
      </c>
      <c r="B417" s="25" t="s">
        <v>148</v>
      </c>
      <c r="C417" s="25" t="s">
        <v>34</v>
      </c>
      <c r="D417" s="19">
        <v>6.7</v>
      </c>
      <c r="E417" s="45">
        <v>2.2000000000000002</v>
      </c>
      <c r="F417" s="18">
        <f t="shared" si="91"/>
        <v>8.9</v>
      </c>
      <c r="G417" s="64"/>
      <c r="H417" s="18">
        <f t="shared" si="92"/>
        <v>8.9</v>
      </c>
      <c r="I417" s="64"/>
      <c r="J417" s="18">
        <f t="shared" si="93"/>
        <v>8.9</v>
      </c>
      <c r="K417" s="64"/>
      <c r="L417" s="18">
        <f t="shared" si="94"/>
        <v>8.9</v>
      </c>
      <c r="M417" s="64"/>
      <c r="N417" s="18">
        <f t="shared" si="95"/>
        <v>8.9</v>
      </c>
      <c r="O417" s="64"/>
      <c r="P417" s="18">
        <f t="shared" si="102"/>
        <v>8.9</v>
      </c>
      <c r="Q417" s="64"/>
      <c r="R417" s="18">
        <f t="shared" si="103"/>
        <v>8.9</v>
      </c>
      <c r="S417" s="64"/>
      <c r="T417" s="18">
        <f t="shared" si="104"/>
        <v>8.9</v>
      </c>
      <c r="U417" s="64"/>
      <c r="V417" s="18">
        <f t="shared" si="105"/>
        <v>8.9</v>
      </c>
      <c r="W417" s="45">
        <v>-8.9</v>
      </c>
      <c r="X417" s="18">
        <f t="shared" si="106"/>
        <v>0</v>
      </c>
      <c r="Z417" s="43">
        <f>X417+Y417</f>
        <v>0</v>
      </c>
      <c r="AA417" s="43"/>
    </row>
    <row r="418" spans="1:27" x14ac:dyDescent="0.25">
      <c r="A418" s="13" t="s">
        <v>102</v>
      </c>
      <c r="B418" s="24" t="s">
        <v>395</v>
      </c>
      <c r="C418" s="24" t="s">
        <v>2</v>
      </c>
      <c r="D418" s="18">
        <f>D419</f>
        <v>200</v>
      </c>
      <c r="E418" s="18">
        <f>E419</f>
        <v>0</v>
      </c>
      <c r="F418" s="18">
        <f t="shared" si="91"/>
        <v>200</v>
      </c>
      <c r="G418" s="18">
        <f>G419</f>
        <v>0</v>
      </c>
      <c r="H418" s="18">
        <f t="shared" si="92"/>
        <v>200</v>
      </c>
      <c r="I418" s="18">
        <f>I419</f>
        <v>0</v>
      </c>
      <c r="J418" s="18">
        <f t="shared" si="93"/>
        <v>200</v>
      </c>
      <c r="K418" s="18">
        <f>K419</f>
        <v>0</v>
      </c>
      <c r="L418" s="18">
        <f t="shared" si="94"/>
        <v>200</v>
      </c>
      <c r="M418" s="18">
        <f>M419</f>
        <v>0</v>
      </c>
      <c r="N418" s="18">
        <f t="shared" si="95"/>
        <v>200</v>
      </c>
      <c r="O418" s="18">
        <f>O419</f>
        <v>0</v>
      </c>
      <c r="P418" s="18">
        <f t="shared" si="102"/>
        <v>200</v>
      </c>
      <c r="Q418" s="18">
        <f>Q419</f>
        <v>0</v>
      </c>
      <c r="R418" s="18">
        <f t="shared" si="103"/>
        <v>200</v>
      </c>
      <c r="S418" s="18">
        <f>S419</f>
        <v>0</v>
      </c>
      <c r="T418" s="18">
        <f t="shared" si="104"/>
        <v>200</v>
      </c>
      <c r="U418" s="18">
        <f>U419</f>
        <v>0</v>
      </c>
      <c r="V418" s="18">
        <f t="shared" si="105"/>
        <v>200</v>
      </c>
      <c r="W418" s="18">
        <f>W419</f>
        <v>0</v>
      </c>
      <c r="X418" s="18">
        <f t="shared" si="106"/>
        <v>200</v>
      </c>
    </row>
    <row r="419" spans="1:27" x14ac:dyDescent="0.25">
      <c r="A419" s="9" t="s">
        <v>511</v>
      </c>
      <c r="B419" s="25" t="s">
        <v>395</v>
      </c>
      <c r="C419" s="25" t="s">
        <v>66</v>
      </c>
      <c r="D419" s="19">
        <v>200</v>
      </c>
      <c r="E419" s="19"/>
      <c r="F419" s="18">
        <f t="shared" ref="F419:F1105" si="112">D419+E419</f>
        <v>200</v>
      </c>
      <c r="G419" s="19"/>
      <c r="H419" s="18">
        <f t="shared" ref="H419:H1105" si="113">F419+G419</f>
        <v>200</v>
      </c>
      <c r="I419" s="19"/>
      <c r="J419" s="18">
        <f t="shared" ref="J419:J1105" si="114">H419+I419</f>
        <v>200</v>
      </c>
      <c r="K419" s="19"/>
      <c r="L419" s="18">
        <f t="shared" ref="L419:L1105" si="115">J419+K419</f>
        <v>200</v>
      </c>
      <c r="M419" s="19"/>
      <c r="N419" s="18">
        <f t="shared" ref="N419:N1105" si="116">L419+M419</f>
        <v>200</v>
      </c>
      <c r="O419" s="19"/>
      <c r="P419" s="18">
        <f t="shared" si="102"/>
        <v>200</v>
      </c>
      <c r="Q419" s="19"/>
      <c r="R419" s="18">
        <f t="shared" si="103"/>
        <v>200</v>
      </c>
      <c r="S419" s="64"/>
      <c r="T419" s="18">
        <f t="shared" si="104"/>
        <v>200</v>
      </c>
      <c r="U419" s="64"/>
      <c r="V419" s="18">
        <f t="shared" si="105"/>
        <v>200</v>
      </c>
      <c r="W419" s="64"/>
      <c r="X419" s="18">
        <f t="shared" si="106"/>
        <v>200</v>
      </c>
      <c r="Z419" s="43">
        <f>X419+Y419</f>
        <v>200</v>
      </c>
      <c r="AA419" s="43"/>
    </row>
    <row r="420" spans="1:27" ht="24.75" x14ac:dyDescent="0.25">
      <c r="A420" s="13" t="s">
        <v>221</v>
      </c>
      <c r="B420" s="24" t="s">
        <v>222</v>
      </c>
      <c r="C420" s="24" t="s">
        <v>2</v>
      </c>
      <c r="D420" s="18">
        <f>D421</f>
        <v>2765</v>
      </c>
      <c r="E420" s="18">
        <f>E421</f>
        <v>0</v>
      </c>
      <c r="F420" s="18">
        <f t="shared" si="112"/>
        <v>2765</v>
      </c>
      <c r="G420" s="18">
        <f>G421</f>
        <v>0</v>
      </c>
      <c r="H420" s="18">
        <f t="shared" si="113"/>
        <v>2765</v>
      </c>
      <c r="I420" s="18">
        <f>I421</f>
        <v>0</v>
      </c>
      <c r="J420" s="18">
        <f t="shared" si="114"/>
        <v>2765</v>
      </c>
      <c r="K420" s="18">
        <f>K421</f>
        <v>0</v>
      </c>
      <c r="L420" s="18">
        <f t="shared" si="115"/>
        <v>2765</v>
      </c>
      <c r="M420" s="18">
        <f>M421</f>
        <v>0</v>
      </c>
      <c r="N420" s="18">
        <f t="shared" si="116"/>
        <v>2765</v>
      </c>
      <c r="O420" s="18">
        <f>O421</f>
        <v>0</v>
      </c>
      <c r="P420" s="18">
        <f t="shared" si="102"/>
        <v>2765</v>
      </c>
      <c r="Q420" s="18">
        <f>Q421</f>
        <v>0</v>
      </c>
      <c r="R420" s="18">
        <f t="shared" si="103"/>
        <v>2765</v>
      </c>
      <c r="S420" s="18">
        <f>S421</f>
        <v>-500</v>
      </c>
      <c r="T420" s="18">
        <f t="shared" si="104"/>
        <v>2265</v>
      </c>
      <c r="U420" s="18">
        <f>U421</f>
        <v>0</v>
      </c>
      <c r="V420" s="18">
        <f t="shared" si="105"/>
        <v>2265</v>
      </c>
      <c r="W420" s="18">
        <f>W421</f>
        <v>0</v>
      </c>
      <c r="X420" s="18">
        <f t="shared" si="106"/>
        <v>2265</v>
      </c>
    </row>
    <row r="421" spans="1:27" x14ac:dyDescent="0.25">
      <c r="A421" s="7" t="s">
        <v>54</v>
      </c>
      <c r="B421" s="25" t="s">
        <v>222</v>
      </c>
      <c r="C421" s="25" t="s">
        <v>34</v>
      </c>
      <c r="D421" s="19">
        <v>2765</v>
      </c>
      <c r="E421" s="19"/>
      <c r="F421" s="18">
        <f t="shared" si="112"/>
        <v>2765</v>
      </c>
      <c r="G421" s="19"/>
      <c r="H421" s="18">
        <f t="shared" si="113"/>
        <v>2765</v>
      </c>
      <c r="I421" s="19"/>
      <c r="J421" s="18">
        <f t="shared" si="114"/>
        <v>2765</v>
      </c>
      <c r="K421" s="19"/>
      <c r="L421" s="18">
        <f t="shared" si="115"/>
        <v>2765</v>
      </c>
      <c r="M421" s="19"/>
      <c r="N421" s="18">
        <f t="shared" si="116"/>
        <v>2765</v>
      </c>
      <c r="O421" s="19"/>
      <c r="P421" s="18">
        <f t="shared" si="102"/>
        <v>2765</v>
      </c>
      <c r="Q421" s="19"/>
      <c r="R421" s="18">
        <f t="shared" si="103"/>
        <v>2765</v>
      </c>
      <c r="S421" s="44">
        <v>-500</v>
      </c>
      <c r="T421" s="18">
        <f t="shared" si="104"/>
        <v>2265</v>
      </c>
      <c r="U421" s="64"/>
      <c r="V421" s="18">
        <f t="shared" si="105"/>
        <v>2265</v>
      </c>
      <c r="W421" s="64"/>
      <c r="X421" s="18">
        <f t="shared" si="106"/>
        <v>2265</v>
      </c>
      <c r="Z421" s="43">
        <f>X421+Y421</f>
        <v>2265</v>
      </c>
      <c r="AA421" s="43"/>
    </row>
    <row r="422" spans="1:27" ht="36.75" customHeight="1" x14ac:dyDescent="0.25">
      <c r="A422" s="13" t="s">
        <v>775</v>
      </c>
      <c r="B422" s="24" t="s">
        <v>773</v>
      </c>
      <c r="C422" s="24" t="s">
        <v>2</v>
      </c>
      <c r="D422" s="19"/>
      <c r="E422" s="19"/>
      <c r="F422" s="18"/>
      <c r="G422" s="19"/>
      <c r="H422" s="18"/>
      <c r="I422" s="19"/>
      <c r="J422" s="18"/>
      <c r="K422" s="19"/>
      <c r="L422" s="18"/>
      <c r="M422" s="18">
        <f>M423</f>
        <v>100</v>
      </c>
      <c r="N422" s="18">
        <f t="shared" si="116"/>
        <v>100</v>
      </c>
      <c r="O422" s="18">
        <f>O423</f>
        <v>0</v>
      </c>
      <c r="P422" s="18">
        <f t="shared" si="102"/>
        <v>100</v>
      </c>
      <c r="Q422" s="18">
        <f>Q423</f>
        <v>0</v>
      </c>
      <c r="R422" s="18">
        <f t="shared" si="103"/>
        <v>100</v>
      </c>
      <c r="S422" s="18">
        <f>S423</f>
        <v>0</v>
      </c>
      <c r="T422" s="18">
        <f t="shared" si="104"/>
        <v>100</v>
      </c>
      <c r="U422" s="18">
        <f>U423</f>
        <v>0</v>
      </c>
      <c r="V422" s="18">
        <f t="shared" si="105"/>
        <v>100</v>
      </c>
      <c r="W422" s="18">
        <f>W423</f>
        <v>-26.4</v>
      </c>
      <c r="X422" s="18">
        <f t="shared" si="106"/>
        <v>73.599999999999994</v>
      </c>
    </row>
    <row r="423" spans="1:27" x14ac:dyDescent="0.25">
      <c r="A423" s="7" t="s">
        <v>54</v>
      </c>
      <c r="B423" s="25" t="s">
        <v>773</v>
      </c>
      <c r="C423" s="25" t="s">
        <v>34</v>
      </c>
      <c r="D423" s="19"/>
      <c r="E423" s="19"/>
      <c r="F423" s="18"/>
      <c r="G423" s="19"/>
      <c r="H423" s="18"/>
      <c r="I423" s="19"/>
      <c r="J423" s="18"/>
      <c r="K423" s="19"/>
      <c r="L423" s="18"/>
      <c r="M423" s="44">
        <v>100</v>
      </c>
      <c r="N423" s="18">
        <f t="shared" si="116"/>
        <v>100</v>
      </c>
      <c r="O423" s="64"/>
      <c r="P423" s="18">
        <f t="shared" si="102"/>
        <v>100</v>
      </c>
      <c r="Q423" s="64"/>
      <c r="R423" s="18">
        <f t="shared" si="103"/>
        <v>100</v>
      </c>
      <c r="S423" s="64"/>
      <c r="T423" s="18">
        <f t="shared" si="104"/>
        <v>100</v>
      </c>
      <c r="U423" s="64"/>
      <c r="V423" s="18">
        <f t="shared" si="105"/>
        <v>100</v>
      </c>
      <c r="W423" s="44">
        <v>-26.4</v>
      </c>
      <c r="X423" s="18">
        <f t="shared" si="106"/>
        <v>73.599999999999994</v>
      </c>
      <c r="Y423" s="43">
        <v>-26.4</v>
      </c>
      <c r="Z423" s="43">
        <f>X423+Y423</f>
        <v>47.199999999999996</v>
      </c>
      <c r="AA423" s="43"/>
    </row>
    <row r="424" spans="1:27" ht="24.75" x14ac:dyDescent="0.25">
      <c r="A424" s="13" t="s">
        <v>476</v>
      </c>
      <c r="B424" s="24" t="s">
        <v>223</v>
      </c>
      <c r="C424" s="24" t="s">
        <v>2</v>
      </c>
      <c r="D424" s="18">
        <f>D425</f>
        <v>2900</v>
      </c>
      <c r="E424" s="18">
        <f>E425</f>
        <v>-1000</v>
      </c>
      <c r="F424" s="18">
        <f t="shared" si="112"/>
        <v>1900</v>
      </c>
      <c r="G424" s="18">
        <f>G425</f>
        <v>0</v>
      </c>
      <c r="H424" s="18">
        <f t="shared" si="113"/>
        <v>1900</v>
      </c>
      <c r="I424" s="18">
        <f>I425</f>
        <v>0</v>
      </c>
      <c r="J424" s="18">
        <f t="shared" si="114"/>
        <v>1900</v>
      </c>
      <c r="K424" s="18">
        <f>K425+K430+K432</f>
        <v>809.2</v>
      </c>
      <c r="L424" s="18">
        <f t="shared" si="115"/>
        <v>2709.2</v>
      </c>
      <c r="M424" s="18">
        <f>M425+M430+M432</f>
        <v>0</v>
      </c>
      <c r="N424" s="18">
        <f t="shared" si="116"/>
        <v>2709.2</v>
      </c>
      <c r="O424" s="18">
        <f>O425+O430+O432</f>
        <v>0</v>
      </c>
      <c r="P424" s="18">
        <f t="shared" si="102"/>
        <v>2709.2</v>
      </c>
      <c r="Q424" s="18">
        <f>Q425+Q430+Q432</f>
        <v>0</v>
      </c>
      <c r="R424" s="18">
        <f t="shared" si="103"/>
        <v>2709.2</v>
      </c>
      <c r="S424" s="18">
        <f>S425+S430+S432</f>
        <v>-405.1</v>
      </c>
      <c r="T424" s="18">
        <f t="shared" si="104"/>
        <v>2304.1</v>
      </c>
      <c r="U424" s="18">
        <f>U425+U430+U432</f>
        <v>0</v>
      </c>
      <c r="V424" s="18">
        <f t="shared" si="105"/>
        <v>2304.1</v>
      </c>
      <c r="W424" s="18">
        <f>W425+W430+W432</f>
        <v>0</v>
      </c>
      <c r="X424" s="18">
        <f t="shared" si="106"/>
        <v>2304.1</v>
      </c>
    </row>
    <row r="425" spans="1:27" ht="36.75" hidden="1" customHeight="1" x14ac:dyDescent="0.25">
      <c r="A425" s="13" t="s">
        <v>545</v>
      </c>
      <c r="B425" s="24" t="s">
        <v>224</v>
      </c>
      <c r="C425" s="24" t="s">
        <v>2</v>
      </c>
      <c r="D425" s="18">
        <f>D426+D428</f>
        <v>2900</v>
      </c>
      <c r="E425" s="18">
        <f>E426+E428</f>
        <v>-1000</v>
      </c>
      <c r="F425" s="18">
        <f t="shared" si="112"/>
        <v>1900</v>
      </c>
      <c r="G425" s="18">
        <f>G426+G428</f>
        <v>0</v>
      </c>
      <c r="H425" s="18">
        <f t="shared" si="113"/>
        <v>1900</v>
      </c>
      <c r="I425" s="18">
        <f>I426+I428</f>
        <v>0</v>
      </c>
      <c r="J425" s="18">
        <f t="shared" si="114"/>
        <v>1900</v>
      </c>
      <c r="K425" s="18">
        <f>K426+K428</f>
        <v>-1494.9</v>
      </c>
      <c r="L425" s="18">
        <f t="shared" si="115"/>
        <v>405.09999999999991</v>
      </c>
      <c r="M425" s="18">
        <f>M426+M428</f>
        <v>0</v>
      </c>
      <c r="N425" s="18">
        <f t="shared" si="116"/>
        <v>405.09999999999991</v>
      </c>
      <c r="O425" s="18">
        <f>O426+O428</f>
        <v>0</v>
      </c>
      <c r="P425" s="18">
        <f t="shared" si="102"/>
        <v>405.09999999999991</v>
      </c>
      <c r="Q425" s="18">
        <f>Q426+Q428</f>
        <v>0</v>
      </c>
      <c r="R425" s="18">
        <f t="shared" si="103"/>
        <v>405.09999999999991</v>
      </c>
      <c r="S425" s="18">
        <f>S426+S428</f>
        <v>-405.1</v>
      </c>
      <c r="T425" s="18">
        <f t="shared" si="104"/>
        <v>0</v>
      </c>
      <c r="U425" s="18">
        <f>U426+U428</f>
        <v>0</v>
      </c>
      <c r="V425" s="18">
        <f t="shared" si="105"/>
        <v>0</v>
      </c>
      <c r="W425" s="18">
        <f>W426+W428</f>
        <v>0</v>
      </c>
      <c r="X425" s="18">
        <f t="shared" si="106"/>
        <v>0</v>
      </c>
    </row>
    <row r="426" spans="1:27" ht="24.75" hidden="1" x14ac:dyDescent="0.25">
      <c r="A426" s="13" t="s">
        <v>225</v>
      </c>
      <c r="B426" s="24" t="s">
        <v>226</v>
      </c>
      <c r="C426" s="24" t="s">
        <v>2</v>
      </c>
      <c r="D426" s="18">
        <f>D427</f>
        <v>2000</v>
      </c>
      <c r="E426" s="18">
        <f>E427</f>
        <v>-1000</v>
      </c>
      <c r="F426" s="18">
        <f t="shared" si="112"/>
        <v>1000</v>
      </c>
      <c r="G426" s="18">
        <f>G427</f>
        <v>0</v>
      </c>
      <c r="H426" s="18">
        <f t="shared" si="113"/>
        <v>1000</v>
      </c>
      <c r="I426" s="18">
        <f>I427</f>
        <v>0</v>
      </c>
      <c r="J426" s="18">
        <f t="shared" si="114"/>
        <v>1000</v>
      </c>
      <c r="K426" s="18">
        <f>K427</f>
        <v>-594.9</v>
      </c>
      <c r="L426" s="18">
        <f t="shared" si="115"/>
        <v>405.1</v>
      </c>
      <c r="M426" s="18">
        <f>M427</f>
        <v>0</v>
      </c>
      <c r="N426" s="18">
        <f t="shared" si="116"/>
        <v>405.1</v>
      </c>
      <c r="O426" s="18">
        <f>O427</f>
        <v>0</v>
      </c>
      <c r="P426" s="18">
        <f t="shared" si="102"/>
        <v>405.1</v>
      </c>
      <c r="Q426" s="18">
        <f>Q427</f>
        <v>0</v>
      </c>
      <c r="R426" s="18">
        <f t="shared" si="103"/>
        <v>405.1</v>
      </c>
      <c r="S426" s="18">
        <f>S427</f>
        <v>-405.1</v>
      </c>
      <c r="T426" s="18">
        <f t="shared" si="104"/>
        <v>0</v>
      </c>
      <c r="U426" s="18">
        <f>U427</f>
        <v>0</v>
      </c>
      <c r="V426" s="18">
        <f t="shared" si="105"/>
        <v>0</v>
      </c>
      <c r="W426" s="18">
        <f>W427</f>
        <v>0</v>
      </c>
      <c r="X426" s="18">
        <f t="shared" si="106"/>
        <v>0</v>
      </c>
    </row>
    <row r="427" spans="1:27" hidden="1" x14ac:dyDescent="0.25">
      <c r="A427" s="7" t="s">
        <v>54</v>
      </c>
      <c r="B427" s="25" t="s">
        <v>226</v>
      </c>
      <c r="C427" s="25" t="s">
        <v>34</v>
      </c>
      <c r="D427" s="19">
        <v>2000</v>
      </c>
      <c r="E427" s="62">
        <v>-1000</v>
      </c>
      <c r="F427" s="18">
        <f t="shared" si="112"/>
        <v>1000</v>
      </c>
      <c r="G427" s="64"/>
      <c r="H427" s="18">
        <f t="shared" si="113"/>
        <v>1000</v>
      </c>
      <c r="I427" s="64"/>
      <c r="J427" s="18">
        <f t="shared" si="114"/>
        <v>1000</v>
      </c>
      <c r="K427" s="44">
        <f>-594.9</f>
        <v>-594.9</v>
      </c>
      <c r="L427" s="18">
        <f t="shared" si="115"/>
        <v>405.1</v>
      </c>
      <c r="M427" s="64"/>
      <c r="N427" s="18">
        <f t="shared" si="116"/>
        <v>405.1</v>
      </c>
      <c r="O427" s="64"/>
      <c r="P427" s="18">
        <f t="shared" si="102"/>
        <v>405.1</v>
      </c>
      <c r="Q427" s="64"/>
      <c r="R427" s="18">
        <f t="shared" si="103"/>
        <v>405.1</v>
      </c>
      <c r="S427" s="44">
        <v>-405.1</v>
      </c>
      <c r="T427" s="18">
        <f t="shared" si="104"/>
        <v>0</v>
      </c>
      <c r="U427" s="64"/>
      <c r="V427" s="18">
        <f t="shared" si="105"/>
        <v>0</v>
      </c>
      <c r="W427" s="64"/>
      <c r="X427" s="18">
        <f t="shared" si="106"/>
        <v>0</v>
      </c>
      <c r="Z427" s="43">
        <f>X427+Y427</f>
        <v>0</v>
      </c>
      <c r="AA427" s="43"/>
    </row>
    <row r="428" spans="1:27" hidden="1" x14ac:dyDescent="0.25">
      <c r="A428" s="14" t="s">
        <v>231</v>
      </c>
      <c r="B428" s="26" t="s">
        <v>526</v>
      </c>
      <c r="C428" s="26" t="s">
        <v>2</v>
      </c>
      <c r="D428" s="20">
        <f>D429</f>
        <v>900</v>
      </c>
      <c r="E428" s="20">
        <f>E429</f>
        <v>0</v>
      </c>
      <c r="F428" s="18">
        <f t="shared" si="112"/>
        <v>900</v>
      </c>
      <c r="G428" s="20">
        <f>G429</f>
        <v>0</v>
      </c>
      <c r="H428" s="18">
        <f t="shared" si="113"/>
        <v>900</v>
      </c>
      <c r="I428" s="20">
        <f>I429</f>
        <v>0</v>
      </c>
      <c r="J428" s="18">
        <f t="shared" si="114"/>
        <v>900</v>
      </c>
      <c r="K428" s="20">
        <f>K429</f>
        <v>-900</v>
      </c>
      <c r="L428" s="18">
        <f t="shared" si="115"/>
        <v>0</v>
      </c>
      <c r="M428" s="20">
        <f>M429</f>
        <v>0</v>
      </c>
      <c r="N428" s="18">
        <f t="shared" si="116"/>
        <v>0</v>
      </c>
      <c r="O428" s="20">
        <f>O429</f>
        <v>0</v>
      </c>
      <c r="P428" s="18">
        <f t="shared" si="102"/>
        <v>0</v>
      </c>
      <c r="Q428" s="20">
        <f>Q429</f>
        <v>0</v>
      </c>
      <c r="R428" s="18">
        <f t="shared" si="103"/>
        <v>0</v>
      </c>
      <c r="S428" s="20">
        <f>S429</f>
        <v>0</v>
      </c>
      <c r="T428" s="18">
        <f t="shared" si="104"/>
        <v>0</v>
      </c>
      <c r="U428" s="20">
        <f>U429</f>
        <v>0</v>
      </c>
      <c r="V428" s="18">
        <f t="shared" si="105"/>
        <v>0</v>
      </c>
      <c r="W428" s="20">
        <f>W429</f>
        <v>0</v>
      </c>
      <c r="X428" s="18">
        <f t="shared" si="106"/>
        <v>0</v>
      </c>
    </row>
    <row r="429" spans="1:27" hidden="1" x14ac:dyDescent="0.25">
      <c r="A429" s="9" t="s">
        <v>54</v>
      </c>
      <c r="B429" s="27" t="s">
        <v>526</v>
      </c>
      <c r="C429" s="27" t="s">
        <v>34</v>
      </c>
      <c r="D429" s="21">
        <v>900</v>
      </c>
      <c r="E429" s="21"/>
      <c r="F429" s="18">
        <f t="shared" si="112"/>
        <v>900</v>
      </c>
      <c r="G429" s="21"/>
      <c r="H429" s="18">
        <f t="shared" si="113"/>
        <v>900</v>
      </c>
      <c r="I429" s="21"/>
      <c r="J429" s="18">
        <f t="shared" si="114"/>
        <v>900</v>
      </c>
      <c r="K429" s="44">
        <v>-900</v>
      </c>
      <c r="L429" s="18">
        <f t="shared" si="115"/>
        <v>0</v>
      </c>
      <c r="M429" s="64"/>
      <c r="N429" s="18">
        <f t="shared" si="116"/>
        <v>0</v>
      </c>
      <c r="O429" s="64"/>
      <c r="P429" s="18">
        <f t="shared" si="102"/>
        <v>0</v>
      </c>
      <c r="Q429" s="64"/>
      <c r="R429" s="18">
        <f t="shared" si="103"/>
        <v>0</v>
      </c>
      <c r="S429" s="64"/>
      <c r="T429" s="18">
        <f t="shared" si="104"/>
        <v>0</v>
      </c>
      <c r="U429" s="64"/>
      <c r="V429" s="18">
        <f t="shared" si="105"/>
        <v>0</v>
      </c>
      <c r="W429" s="64"/>
      <c r="X429" s="18">
        <f t="shared" si="106"/>
        <v>0</v>
      </c>
      <c r="Z429" s="43">
        <f>X429+Y429</f>
        <v>0</v>
      </c>
      <c r="AA429" s="43"/>
    </row>
    <row r="430" spans="1:27" ht="24.75" x14ac:dyDescent="0.25">
      <c r="A430" s="28" t="s">
        <v>701</v>
      </c>
      <c r="B430" s="52" t="s">
        <v>702</v>
      </c>
      <c r="C430" s="53"/>
      <c r="D430" s="21"/>
      <c r="E430" s="21"/>
      <c r="F430" s="18"/>
      <c r="G430" s="21"/>
      <c r="H430" s="18"/>
      <c r="I430" s="21"/>
      <c r="J430" s="18"/>
      <c r="K430" s="20">
        <f>K431</f>
        <v>109.2</v>
      </c>
      <c r="L430" s="18">
        <f t="shared" si="115"/>
        <v>109.2</v>
      </c>
      <c r="M430" s="20">
        <f>M431</f>
        <v>0</v>
      </c>
      <c r="N430" s="18">
        <f t="shared" si="116"/>
        <v>109.2</v>
      </c>
      <c r="O430" s="20">
        <f>O431</f>
        <v>0</v>
      </c>
      <c r="P430" s="18">
        <f t="shared" si="102"/>
        <v>109.2</v>
      </c>
      <c r="Q430" s="20">
        <f>Q431</f>
        <v>0</v>
      </c>
      <c r="R430" s="18">
        <f t="shared" si="103"/>
        <v>109.2</v>
      </c>
      <c r="S430" s="20">
        <f>S431</f>
        <v>0</v>
      </c>
      <c r="T430" s="18">
        <f t="shared" si="104"/>
        <v>109.2</v>
      </c>
      <c r="U430" s="20">
        <f>U431</f>
        <v>0</v>
      </c>
      <c r="V430" s="18">
        <f t="shared" si="105"/>
        <v>109.2</v>
      </c>
      <c r="W430" s="20">
        <f>W431</f>
        <v>0</v>
      </c>
      <c r="X430" s="18">
        <f t="shared" si="106"/>
        <v>109.2</v>
      </c>
    </row>
    <row r="431" spans="1:27" x14ac:dyDescent="0.25">
      <c r="A431" s="7" t="s">
        <v>54</v>
      </c>
      <c r="B431" s="53" t="s">
        <v>702</v>
      </c>
      <c r="C431" s="53" t="s">
        <v>34</v>
      </c>
      <c r="D431" s="21"/>
      <c r="E431" s="21"/>
      <c r="F431" s="18"/>
      <c r="G431" s="21"/>
      <c r="H431" s="18"/>
      <c r="I431" s="21"/>
      <c r="J431" s="18"/>
      <c r="K431" s="44">
        <v>109.2</v>
      </c>
      <c r="L431" s="18">
        <f t="shared" si="115"/>
        <v>109.2</v>
      </c>
      <c r="M431" s="64"/>
      <c r="N431" s="18">
        <f t="shared" si="116"/>
        <v>109.2</v>
      </c>
      <c r="O431" s="64"/>
      <c r="P431" s="18">
        <f t="shared" si="102"/>
        <v>109.2</v>
      </c>
      <c r="Q431" s="64"/>
      <c r="R431" s="18">
        <f t="shared" si="103"/>
        <v>109.2</v>
      </c>
      <c r="S431" s="64"/>
      <c r="T431" s="18">
        <f t="shared" si="104"/>
        <v>109.2</v>
      </c>
      <c r="U431" s="64"/>
      <c r="V431" s="18">
        <f t="shared" si="105"/>
        <v>109.2</v>
      </c>
      <c r="W431" s="64"/>
      <c r="X431" s="18">
        <f t="shared" si="106"/>
        <v>109.2</v>
      </c>
      <c r="Z431" s="43">
        <f>X431+Y431</f>
        <v>109.2</v>
      </c>
      <c r="AA431" s="43"/>
    </row>
    <row r="432" spans="1:27" ht="24.75" x14ac:dyDescent="0.25">
      <c r="A432" s="28" t="s">
        <v>701</v>
      </c>
      <c r="B432" s="52" t="s">
        <v>703</v>
      </c>
      <c r="C432" s="53"/>
      <c r="D432" s="21"/>
      <c r="E432" s="21"/>
      <c r="F432" s="18"/>
      <c r="G432" s="21"/>
      <c r="H432" s="18"/>
      <c r="I432" s="21"/>
      <c r="J432" s="18"/>
      <c r="K432" s="20">
        <f>K433+K434</f>
        <v>2194.9</v>
      </c>
      <c r="L432" s="18">
        <f t="shared" si="115"/>
        <v>2194.9</v>
      </c>
      <c r="M432" s="20">
        <f>M433+M434</f>
        <v>0</v>
      </c>
      <c r="N432" s="18">
        <f t="shared" si="116"/>
        <v>2194.9</v>
      </c>
      <c r="O432" s="20">
        <f>O433+O434</f>
        <v>0</v>
      </c>
      <c r="P432" s="18">
        <f t="shared" ref="P432:P1125" si="117">N432+O432</f>
        <v>2194.9</v>
      </c>
      <c r="Q432" s="20">
        <f>Q433+Q434</f>
        <v>0</v>
      </c>
      <c r="R432" s="18">
        <f t="shared" ref="R432:R697" si="118">P432+Q432</f>
        <v>2194.9</v>
      </c>
      <c r="S432" s="20">
        <f>S433+S434</f>
        <v>0</v>
      </c>
      <c r="T432" s="18">
        <f t="shared" ref="T432:T694" si="119">R432+S432</f>
        <v>2194.9</v>
      </c>
      <c r="U432" s="20">
        <f>U433+U434</f>
        <v>0</v>
      </c>
      <c r="V432" s="18">
        <f t="shared" ref="V432:V693" si="120">T432+U432</f>
        <v>2194.9</v>
      </c>
      <c r="W432" s="20">
        <f>W433+W434</f>
        <v>0</v>
      </c>
      <c r="X432" s="18">
        <f t="shared" ref="X432:X686" si="121">V432+W432</f>
        <v>2194.9</v>
      </c>
    </row>
    <row r="433" spans="1:27" x14ac:dyDescent="0.25">
      <c r="A433" s="7" t="s">
        <v>54</v>
      </c>
      <c r="B433" s="53" t="s">
        <v>703</v>
      </c>
      <c r="C433" s="53" t="s">
        <v>34</v>
      </c>
      <c r="D433" s="21"/>
      <c r="E433" s="21"/>
      <c r="F433" s="18"/>
      <c r="G433" s="21"/>
      <c r="H433" s="18"/>
      <c r="I433" s="21"/>
      <c r="J433" s="18"/>
      <c r="K433" s="45">
        <v>1600</v>
      </c>
      <c r="L433" s="18">
        <f t="shared" si="115"/>
        <v>1600</v>
      </c>
      <c r="M433" s="64"/>
      <c r="N433" s="18">
        <f t="shared" si="116"/>
        <v>1600</v>
      </c>
      <c r="O433" s="64"/>
      <c r="P433" s="18">
        <f t="shared" si="117"/>
        <v>1600</v>
      </c>
      <c r="Q433" s="64"/>
      <c r="R433" s="18">
        <f t="shared" si="118"/>
        <v>1600</v>
      </c>
      <c r="S433" s="64"/>
      <c r="T433" s="18">
        <f t="shared" si="119"/>
        <v>1600</v>
      </c>
      <c r="U433" s="64"/>
      <c r="V433" s="18">
        <f t="shared" si="120"/>
        <v>1600</v>
      </c>
      <c r="W433" s="64"/>
      <c r="X433" s="18">
        <f t="shared" si="121"/>
        <v>1600</v>
      </c>
      <c r="Z433" s="43">
        <f t="shared" ref="Z433:Z434" si="122">X433+Y433</f>
        <v>1600</v>
      </c>
      <c r="AA433" s="43"/>
    </row>
    <row r="434" spans="1:27" x14ac:dyDescent="0.25">
      <c r="A434" s="7" t="s">
        <v>54</v>
      </c>
      <c r="B434" s="53" t="s">
        <v>703</v>
      </c>
      <c r="C434" s="53" t="s">
        <v>34</v>
      </c>
      <c r="D434" s="21"/>
      <c r="E434" s="21"/>
      <c r="F434" s="18"/>
      <c r="G434" s="21"/>
      <c r="H434" s="18"/>
      <c r="I434" s="21"/>
      <c r="J434" s="18"/>
      <c r="K434" s="44">
        <v>594.9</v>
      </c>
      <c r="L434" s="18">
        <f t="shared" si="115"/>
        <v>594.9</v>
      </c>
      <c r="M434" s="64"/>
      <c r="N434" s="18">
        <f t="shared" si="116"/>
        <v>594.9</v>
      </c>
      <c r="O434" s="64"/>
      <c r="P434" s="18">
        <f t="shared" si="117"/>
        <v>594.9</v>
      </c>
      <c r="Q434" s="64"/>
      <c r="R434" s="18">
        <f t="shared" si="118"/>
        <v>594.9</v>
      </c>
      <c r="S434" s="64"/>
      <c r="T434" s="18">
        <f t="shared" si="119"/>
        <v>594.9</v>
      </c>
      <c r="U434" s="64"/>
      <c r="V434" s="18">
        <f t="shared" si="120"/>
        <v>594.9</v>
      </c>
      <c r="W434" s="64"/>
      <c r="X434" s="18">
        <f t="shared" si="121"/>
        <v>594.9</v>
      </c>
      <c r="Z434" s="43">
        <f t="shared" si="122"/>
        <v>594.9</v>
      </c>
      <c r="AA434" s="43"/>
    </row>
    <row r="435" spans="1:27" ht="24.75" x14ac:dyDescent="0.25">
      <c r="A435" s="16" t="s">
        <v>477</v>
      </c>
      <c r="B435" s="22" t="s">
        <v>48</v>
      </c>
      <c r="C435" s="22" t="s">
        <v>2</v>
      </c>
      <c r="D435" s="17">
        <f>D436+D441+D444+D469</f>
        <v>82929.899999999994</v>
      </c>
      <c r="E435" s="17">
        <f>E436+E441+E444+E469</f>
        <v>52.4</v>
      </c>
      <c r="F435" s="17">
        <f t="shared" si="112"/>
        <v>82982.299999999988</v>
      </c>
      <c r="G435" s="17">
        <f>G436+G441+G444+G469</f>
        <v>0</v>
      </c>
      <c r="H435" s="17">
        <f t="shared" si="113"/>
        <v>82982.299999999988</v>
      </c>
      <c r="I435" s="17">
        <f>I436+I441+I444+I469</f>
        <v>1963.7</v>
      </c>
      <c r="J435" s="17">
        <f t="shared" si="114"/>
        <v>84945.999999999985</v>
      </c>
      <c r="K435" s="17">
        <f>K436+K441+K444+K469</f>
        <v>59413.700000000004</v>
      </c>
      <c r="L435" s="17">
        <f t="shared" si="115"/>
        <v>144359.69999999998</v>
      </c>
      <c r="M435" s="17">
        <f>M436+M441+M444+M469</f>
        <v>82448.899999999994</v>
      </c>
      <c r="N435" s="17">
        <f t="shared" si="116"/>
        <v>226808.59999999998</v>
      </c>
      <c r="O435" s="17">
        <f>O436+O441+O444+O469</f>
        <v>49571.599999999977</v>
      </c>
      <c r="P435" s="17">
        <f t="shared" si="117"/>
        <v>276380.19999999995</v>
      </c>
      <c r="Q435" s="17">
        <f>Q436+Q441+Q444+Q469</f>
        <v>18144.700000000012</v>
      </c>
      <c r="R435" s="17">
        <f t="shared" si="118"/>
        <v>294524.89999999997</v>
      </c>
      <c r="S435" s="17">
        <f>S436+S441+S444+S469</f>
        <v>4420.1000000000004</v>
      </c>
      <c r="T435" s="17">
        <f t="shared" si="119"/>
        <v>298944.99999999994</v>
      </c>
      <c r="U435" s="17">
        <f>U436+U441+U444+U469</f>
        <v>37349.700000000004</v>
      </c>
      <c r="V435" s="17">
        <f t="shared" si="120"/>
        <v>336294.69999999995</v>
      </c>
      <c r="W435" s="17">
        <f>W436+W441+W444+W469</f>
        <v>3694.9999999999964</v>
      </c>
      <c r="X435" s="17">
        <f t="shared" si="121"/>
        <v>339989.69999999995</v>
      </c>
    </row>
    <row r="436" spans="1:27" x14ac:dyDescent="0.25">
      <c r="A436" s="13" t="s">
        <v>56</v>
      </c>
      <c r="B436" s="24" t="s">
        <v>57</v>
      </c>
      <c r="C436" s="24" t="s">
        <v>2</v>
      </c>
      <c r="D436" s="18">
        <f>D437</f>
        <v>1500</v>
      </c>
      <c r="E436" s="18">
        <f>E437</f>
        <v>0</v>
      </c>
      <c r="F436" s="18">
        <f t="shared" si="112"/>
        <v>1500</v>
      </c>
      <c r="G436" s="18">
        <f>G437</f>
        <v>0</v>
      </c>
      <c r="H436" s="18">
        <f t="shared" si="113"/>
        <v>1500</v>
      </c>
      <c r="I436" s="18">
        <f>I437</f>
        <v>0</v>
      </c>
      <c r="J436" s="18">
        <f t="shared" si="114"/>
        <v>1500</v>
      </c>
      <c r="K436" s="18">
        <f>K437</f>
        <v>0</v>
      </c>
      <c r="L436" s="18">
        <f t="shared" si="115"/>
        <v>1500</v>
      </c>
      <c r="M436" s="18">
        <f>M437</f>
        <v>0</v>
      </c>
      <c r="N436" s="18">
        <f t="shared" si="116"/>
        <v>1500</v>
      </c>
      <c r="O436" s="18">
        <f>O437</f>
        <v>0</v>
      </c>
      <c r="P436" s="18">
        <f t="shared" si="117"/>
        <v>1500</v>
      </c>
      <c r="Q436" s="18">
        <f>Q437</f>
        <v>0</v>
      </c>
      <c r="R436" s="18">
        <f t="shared" si="118"/>
        <v>1500</v>
      </c>
      <c r="S436" s="18">
        <f>S437</f>
        <v>0</v>
      </c>
      <c r="T436" s="18">
        <f t="shared" si="119"/>
        <v>1500</v>
      </c>
      <c r="U436" s="18">
        <f>U437</f>
        <v>0</v>
      </c>
      <c r="V436" s="18">
        <f t="shared" si="120"/>
        <v>1500</v>
      </c>
      <c r="W436" s="18">
        <f>W437</f>
        <v>0</v>
      </c>
      <c r="X436" s="18">
        <f t="shared" si="121"/>
        <v>1500</v>
      </c>
    </row>
    <row r="437" spans="1:27" x14ac:dyDescent="0.25">
      <c r="A437" s="13" t="s">
        <v>55</v>
      </c>
      <c r="B437" s="24" t="s">
        <v>58</v>
      </c>
      <c r="C437" s="24" t="s">
        <v>2</v>
      </c>
      <c r="D437" s="18">
        <f>D440</f>
        <v>1500</v>
      </c>
      <c r="E437" s="18">
        <f>E440</f>
        <v>0</v>
      </c>
      <c r="F437" s="18">
        <f t="shared" si="112"/>
        <v>1500</v>
      </c>
      <c r="G437" s="18">
        <f>G440</f>
        <v>0</v>
      </c>
      <c r="H437" s="18">
        <f t="shared" si="113"/>
        <v>1500</v>
      </c>
      <c r="I437" s="18">
        <f>I440+I438+I439</f>
        <v>0</v>
      </c>
      <c r="J437" s="18">
        <f t="shared" si="114"/>
        <v>1500</v>
      </c>
      <c r="K437" s="18">
        <f>K440+K438+K439</f>
        <v>0</v>
      </c>
      <c r="L437" s="18">
        <f t="shared" si="115"/>
        <v>1500</v>
      </c>
      <c r="M437" s="18">
        <f>M440+M438+M439</f>
        <v>0</v>
      </c>
      <c r="N437" s="18">
        <f t="shared" si="116"/>
        <v>1500</v>
      </c>
      <c r="O437" s="18">
        <f>O440+O438+O439</f>
        <v>0</v>
      </c>
      <c r="P437" s="18">
        <f t="shared" si="117"/>
        <v>1500</v>
      </c>
      <c r="Q437" s="18">
        <f>Q440+Q438+Q439</f>
        <v>0</v>
      </c>
      <c r="R437" s="18">
        <f t="shared" si="118"/>
        <v>1500</v>
      </c>
      <c r="S437" s="18">
        <f>S440+S438+S439</f>
        <v>0</v>
      </c>
      <c r="T437" s="18">
        <f t="shared" si="119"/>
        <v>1500</v>
      </c>
      <c r="U437" s="18">
        <f>U440+U438+U439</f>
        <v>0</v>
      </c>
      <c r="V437" s="18">
        <f t="shared" si="120"/>
        <v>1500</v>
      </c>
      <c r="W437" s="18">
        <f>W440+W438+W439</f>
        <v>0</v>
      </c>
      <c r="X437" s="18">
        <f t="shared" si="121"/>
        <v>1500</v>
      </c>
    </row>
    <row r="438" spans="1:27" x14ac:dyDescent="0.25">
      <c r="A438" s="7" t="s">
        <v>54</v>
      </c>
      <c r="B438" s="25" t="s">
        <v>58</v>
      </c>
      <c r="C438" s="25" t="s">
        <v>34</v>
      </c>
      <c r="D438" s="18"/>
      <c r="E438" s="18"/>
      <c r="F438" s="18"/>
      <c r="G438" s="18"/>
      <c r="H438" s="18"/>
      <c r="I438" s="62">
        <v>10</v>
      </c>
      <c r="J438" s="18">
        <f t="shared" si="114"/>
        <v>10</v>
      </c>
      <c r="K438" s="106">
        <v>43.5</v>
      </c>
      <c r="L438" s="18">
        <f t="shared" si="115"/>
        <v>53.5</v>
      </c>
      <c r="M438" s="62">
        <v>644.4</v>
      </c>
      <c r="N438" s="18">
        <f t="shared" si="116"/>
        <v>697.9</v>
      </c>
      <c r="O438" s="64"/>
      <c r="P438" s="18">
        <f t="shared" si="117"/>
        <v>697.9</v>
      </c>
      <c r="Q438" s="44">
        <v>46.8</v>
      </c>
      <c r="R438" s="18">
        <f t="shared" si="118"/>
        <v>744.69999999999993</v>
      </c>
      <c r="S438" s="62">
        <v>250</v>
      </c>
      <c r="T438" s="18">
        <f t="shared" si="119"/>
        <v>994.69999999999993</v>
      </c>
      <c r="U438" s="64"/>
      <c r="V438" s="18">
        <f t="shared" si="120"/>
        <v>994.69999999999993</v>
      </c>
      <c r="W438" s="64"/>
      <c r="X438" s="18">
        <f t="shared" si="121"/>
        <v>994.69999999999993</v>
      </c>
      <c r="Z438" s="43">
        <f t="shared" ref="Z438:Z440" si="123">X438+Y438</f>
        <v>994.69999999999993</v>
      </c>
      <c r="AA438" s="43"/>
    </row>
    <row r="439" spans="1:27" ht="24.75" x14ac:dyDescent="0.25">
      <c r="A439" s="7" t="s">
        <v>505</v>
      </c>
      <c r="B439" s="25" t="s">
        <v>58</v>
      </c>
      <c r="C439" s="25" t="s">
        <v>260</v>
      </c>
      <c r="D439" s="18"/>
      <c r="E439" s="18"/>
      <c r="F439" s="18"/>
      <c r="G439" s="18"/>
      <c r="H439" s="18"/>
      <c r="I439" s="62">
        <v>34.5</v>
      </c>
      <c r="J439" s="18">
        <f t="shared" si="114"/>
        <v>34.5</v>
      </c>
      <c r="K439" s="106">
        <v>57.5</v>
      </c>
      <c r="L439" s="18">
        <f t="shared" si="115"/>
        <v>92</v>
      </c>
      <c r="M439" s="64"/>
      <c r="N439" s="18">
        <f t="shared" si="116"/>
        <v>92</v>
      </c>
      <c r="O439" s="64"/>
      <c r="P439" s="18">
        <f t="shared" si="117"/>
        <v>92</v>
      </c>
      <c r="Q439" s="44">
        <v>17.2</v>
      </c>
      <c r="R439" s="18">
        <f t="shared" si="118"/>
        <v>109.2</v>
      </c>
      <c r="S439" s="62">
        <v>52.9</v>
      </c>
      <c r="T439" s="18">
        <f t="shared" si="119"/>
        <v>162.1</v>
      </c>
      <c r="U439" s="96">
        <v>34.5</v>
      </c>
      <c r="V439" s="18">
        <f t="shared" si="120"/>
        <v>196.6</v>
      </c>
      <c r="W439" s="64"/>
      <c r="X439" s="18">
        <f t="shared" si="121"/>
        <v>196.6</v>
      </c>
      <c r="Z439" s="43">
        <f t="shared" si="123"/>
        <v>196.6</v>
      </c>
      <c r="AA439" s="43"/>
    </row>
    <row r="440" spans="1:27" x14ac:dyDescent="0.25">
      <c r="A440" s="7" t="s">
        <v>516</v>
      </c>
      <c r="B440" s="25" t="s">
        <v>58</v>
      </c>
      <c r="C440" s="25" t="s">
        <v>59</v>
      </c>
      <c r="D440" s="19">
        <v>1500</v>
      </c>
      <c r="E440" s="19"/>
      <c r="F440" s="18">
        <f t="shared" si="112"/>
        <v>1500</v>
      </c>
      <c r="G440" s="19"/>
      <c r="H440" s="18">
        <f t="shared" si="113"/>
        <v>1500</v>
      </c>
      <c r="I440" s="62">
        <v>-44.5</v>
      </c>
      <c r="J440" s="18">
        <f t="shared" si="114"/>
        <v>1455.5</v>
      </c>
      <c r="K440" s="106">
        <v>-101</v>
      </c>
      <c r="L440" s="18">
        <f t="shared" si="115"/>
        <v>1354.5</v>
      </c>
      <c r="M440" s="62">
        <v>-644.4</v>
      </c>
      <c r="N440" s="18">
        <f t="shared" si="116"/>
        <v>710.1</v>
      </c>
      <c r="O440" s="64"/>
      <c r="P440" s="18">
        <f t="shared" si="117"/>
        <v>710.1</v>
      </c>
      <c r="Q440" s="44">
        <v>-64</v>
      </c>
      <c r="R440" s="18">
        <f t="shared" si="118"/>
        <v>646.1</v>
      </c>
      <c r="S440" s="62">
        <v>-302.89999999999998</v>
      </c>
      <c r="T440" s="18">
        <f t="shared" si="119"/>
        <v>343.20000000000005</v>
      </c>
      <c r="U440" s="96">
        <v>-34.5</v>
      </c>
      <c r="V440" s="18">
        <f t="shared" si="120"/>
        <v>308.70000000000005</v>
      </c>
      <c r="W440" s="64"/>
      <c r="X440" s="18">
        <f t="shared" si="121"/>
        <v>308.70000000000005</v>
      </c>
      <c r="Z440" s="43">
        <f t="shared" si="123"/>
        <v>308.70000000000005</v>
      </c>
      <c r="AA440" s="43"/>
    </row>
    <row r="441" spans="1:27" x14ac:dyDescent="0.25">
      <c r="A441" s="13" t="s">
        <v>458</v>
      </c>
      <c r="B441" s="24" t="s">
        <v>459</v>
      </c>
      <c r="C441" s="24" t="s">
        <v>2</v>
      </c>
      <c r="D441" s="18">
        <f>D442</f>
        <v>17000</v>
      </c>
      <c r="E441" s="18">
        <f>E442</f>
        <v>0</v>
      </c>
      <c r="F441" s="18">
        <f t="shared" si="112"/>
        <v>17000</v>
      </c>
      <c r="G441" s="18">
        <f>G442</f>
        <v>0</v>
      </c>
      <c r="H441" s="18">
        <f t="shared" si="113"/>
        <v>17000</v>
      </c>
      <c r="I441" s="18">
        <f>I442</f>
        <v>1963.7</v>
      </c>
      <c r="J441" s="18">
        <f t="shared" si="114"/>
        <v>18963.7</v>
      </c>
      <c r="K441" s="18">
        <f>K442</f>
        <v>0</v>
      </c>
      <c r="L441" s="18">
        <f t="shared" si="115"/>
        <v>18963.7</v>
      </c>
      <c r="M441" s="18">
        <f>M442</f>
        <v>-5230.3</v>
      </c>
      <c r="N441" s="18">
        <f t="shared" si="116"/>
        <v>13733.400000000001</v>
      </c>
      <c r="O441" s="18">
        <f>O442</f>
        <v>0</v>
      </c>
      <c r="P441" s="18">
        <f t="shared" si="117"/>
        <v>13733.400000000001</v>
      </c>
      <c r="Q441" s="18">
        <f>Q442</f>
        <v>-600</v>
      </c>
      <c r="R441" s="18">
        <f t="shared" si="118"/>
        <v>13133.400000000001</v>
      </c>
      <c r="S441" s="18">
        <f>S442</f>
        <v>0</v>
      </c>
      <c r="T441" s="18">
        <f t="shared" si="119"/>
        <v>13133.400000000001</v>
      </c>
      <c r="U441" s="18">
        <f>U442</f>
        <v>0</v>
      </c>
      <c r="V441" s="18">
        <f t="shared" si="120"/>
        <v>13133.400000000001</v>
      </c>
      <c r="W441" s="18">
        <f>W442</f>
        <v>0</v>
      </c>
      <c r="X441" s="18">
        <f t="shared" si="121"/>
        <v>13133.400000000001</v>
      </c>
    </row>
    <row r="442" spans="1:27" x14ac:dyDescent="0.25">
      <c r="A442" s="13" t="s">
        <v>460</v>
      </c>
      <c r="B442" s="24" t="s">
        <v>461</v>
      </c>
      <c r="C442" s="24" t="s">
        <v>2</v>
      </c>
      <c r="D442" s="18">
        <f>D443</f>
        <v>17000</v>
      </c>
      <c r="E442" s="18">
        <f>E443</f>
        <v>0</v>
      </c>
      <c r="F442" s="18">
        <f t="shared" si="112"/>
        <v>17000</v>
      </c>
      <c r="G442" s="18">
        <f>G443</f>
        <v>0</v>
      </c>
      <c r="H442" s="18">
        <f t="shared" si="113"/>
        <v>17000</v>
      </c>
      <c r="I442" s="18">
        <f>I443</f>
        <v>1963.7</v>
      </c>
      <c r="J442" s="18">
        <f t="shared" si="114"/>
        <v>18963.7</v>
      </c>
      <c r="K442" s="18">
        <f>K443</f>
        <v>0</v>
      </c>
      <c r="L442" s="18">
        <f t="shared" si="115"/>
        <v>18963.7</v>
      </c>
      <c r="M442" s="18">
        <f>M443</f>
        <v>-5230.3</v>
      </c>
      <c r="N442" s="18">
        <f t="shared" si="116"/>
        <v>13733.400000000001</v>
      </c>
      <c r="O442" s="18">
        <f>O443</f>
        <v>0</v>
      </c>
      <c r="P442" s="18">
        <f t="shared" si="117"/>
        <v>13733.400000000001</v>
      </c>
      <c r="Q442" s="18">
        <f>Q443</f>
        <v>-600</v>
      </c>
      <c r="R442" s="18">
        <f t="shared" si="118"/>
        <v>13133.400000000001</v>
      </c>
      <c r="S442" s="18">
        <f>S443</f>
        <v>0</v>
      </c>
      <c r="T442" s="18">
        <f t="shared" si="119"/>
        <v>13133.400000000001</v>
      </c>
      <c r="U442" s="18">
        <f>U443</f>
        <v>0</v>
      </c>
      <c r="V442" s="18">
        <f t="shared" si="120"/>
        <v>13133.400000000001</v>
      </c>
      <c r="W442" s="18">
        <f>W443</f>
        <v>0</v>
      </c>
      <c r="X442" s="18">
        <f t="shared" si="121"/>
        <v>13133.400000000001</v>
      </c>
    </row>
    <row r="443" spans="1:27" x14ac:dyDescent="0.25">
      <c r="A443" s="7" t="s">
        <v>513</v>
      </c>
      <c r="B443" s="25" t="s">
        <v>461</v>
      </c>
      <c r="C443" s="25" t="s">
        <v>462</v>
      </c>
      <c r="D443" s="19">
        <v>17000</v>
      </c>
      <c r="E443" s="19"/>
      <c r="F443" s="18">
        <f t="shared" si="112"/>
        <v>17000</v>
      </c>
      <c r="G443" s="19"/>
      <c r="H443" s="18">
        <f t="shared" si="113"/>
        <v>17000</v>
      </c>
      <c r="I443" s="81">
        <v>1963.7</v>
      </c>
      <c r="J443" s="18">
        <f t="shared" si="114"/>
        <v>18963.7</v>
      </c>
      <c r="K443" s="81">
        <f>2898.3-2898.3</f>
        <v>0</v>
      </c>
      <c r="L443" s="18">
        <f t="shared" si="115"/>
        <v>18963.7</v>
      </c>
      <c r="M443" s="44">
        <v>-5230.3</v>
      </c>
      <c r="N443" s="18">
        <f t="shared" si="116"/>
        <v>13733.400000000001</v>
      </c>
      <c r="O443" s="64"/>
      <c r="P443" s="18">
        <f t="shared" si="117"/>
        <v>13733.400000000001</v>
      </c>
      <c r="Q443" s="44">
        <v>-600</v>
      </c>
      <c r="R443" s="18">
        <f t="shared" si="118"/>
        <v>13133.400000000001</v>
      </c>
      <c r="S443" s="64"/>
      <c r="T443" s="18">
        <f t="shared" si="119"/>
        <v>13133.400000000001</v>
      </c>
      <c r="U443" s="64"/>
      <c r="V443" s="18">
        <f t="shared" si="120"/>
        <v>13133.400000000001</v>
      </c>
      <c r="W443" s="64"/>
      <c r="X443" s="18">
        <f t="shared" si="121"/>
        <v>13133.400000000001</v>
      </c>
      <c r="Z443" s="43">
        <f>X443+Y443</f>
        <v>13133.400000000001</v>
      </c>
      <c r="AA443" s="43"/>
    </row>
    <row r="444" spans="1:27" x14ac:dyDescent="0.25">
      <c r="A444" s="13" t="s">
        <v>49</v>
      </c>
      <c r="B444" s="24" t="s">
        <v>50</v>
      </c>
      <c r="C444" s="24" t="s">
        <v>2</v>
      </c>
      <c r="D444" s="18">
        <f>D450+D462</f>
        <v>48979.899999999994</v>
      </c>
      <c r="E444" s="18">
        <f>E450+E462</f>
        <v>52.4</v>
      </c>
      <c r="F444" s="18">
        <f t="shared" si="112"/>
        <v>49032.299999999996</v>
      </c>
      <c r="G444" s="18">
        <f>G450+G462</f>
        <v>0</v>
      </c>
      <c r="H444" s="18">
        <f t="shared" si="113"/>
        <v>49032.299999999996</v>
      </c>
      <c r="I444" s="18">
        <f>I450+I462</f>
        <v>0</v>
      </c>
      <c r="J444" s="18">
        <f t="shared" si="114"/>
        <v>49032.299999999996</v>
      </c>
      <c r="K444" s="18">
        <f>K450+K462</f>
        <v>1063.5999999999999</v>
      </c>
      <c r="L444" s="18">
        <f t="shared" si="115"/>
        <v>50095.899999999994</v>
      </c>
      <c r="M444" s="18">
        <f>M450+M462</f>
        <v>0</v>
      </c>
      <c r="N444" s="18">
        <f t="shared" si="116"/>
        <v>50095.899999999994</v>
      </c>
      <c r="O444" s="18">
        <f>O450+O462</f>
        <v>-1000</v>
      </c>
      <c r="P444" s="18">
        <f t="shared" si="117"/>
        <v>49095.899999999994</v>
      </c>
      <c r="Q444" s="18">
        <f>Q450+Q462+Q445</f>
        <v>6793.5000000000009</v>
      </c>
      <c r="R444" s="18">
        <f t="shared" si="118"/>
        <v>55889.399999999994</v>
      </c>
      <c r="S444" s="18">
        <f>S450+S462+S445</f>
        <v>-999.8</v>
      </c>
      <c r="T444" s="18">
        <f t="shared" si="119"/>
        <v>54889.599999999991</v>
      </c>
      <c r="U444" s="18">
        <f>U450+U462+U445+U457</f>
        <v>187.59999999999991</v>
      </c>
      <c r="V444" s="18">
        <f t="shared" si="120"/>
        <v>55077.19999999999</v>
      </c>
      <c r="W444" s="18">
        <f>W450+W462+W445+W457</f>
        <v>300</v>
      </c>
      <c r="X444" s="18">
        <f t="shared" si="121"/>
        <v>55377.19999999999</v>
      </c>
    </row>
    <row r="445" spans="1:27" x14ac:dyDescent="0.25">
      <c r="A445" s="33" t="s">
        <v>662</v>
      </c>
      <c r="B445" s="26" t="s">
        <v>1140</v>
      </c>
      <c r="C445" s="26"/>
      <c r="D445" s="18"/>
      <c r="E445" s="18"/>
      <c r="F445" s="18"/>
      <c r="G445" s="18"/>
      <c r="H445" s="18"/>
      <c r="I445" s="18"/>
      <c r="J445" s="18"/>
      <c r="K445" s="18"/>
      <c r="L445" s="18"/>
      <c r="M445" s="18"/>
      <c r="N445" s="18"/>
      <c r="O445" s="18"/>
      <c r="P445" s="18"/>
      <c r="Q445" s="20">
        <f>Q448+Q449</f>
        <v>155.6</v>
      </c>
      <c r="R445" s="18">
        <f t="shared" ref="R445:R449" si="124">P445+Q445</f>
        <v>155.6</v>
      </c>
      <c r="S445" s="20">
        <f>S448+S449</f>
        <v>0</v>
      </c>
      <c r="T445" s="18">
        <f t="shared" si="119"/>
        <v>155.6</v>
      </c>
      <c r="U445" s="20">
        <f>U448+U449+U447+U446</f>
        <v>531.1</v>
      </c>
      <c r="V445" s="18">
        <f t="shared" si="120"/>
        <v>686.7</v>
      </c>
      <c r="W445" s="20">
        <f>W448+W449+W447+W446</f>
        <v>0</v>
      </c>
      <c r="X445" s="18">
        <f t="shared" si="121"/>
        <v>686.7</v>
      </c>
    </row>
    <row r="446" spans="1:27" x14ac:dyDescent="0.25">
      <c r="A446" s="8" t="s">
        <v>496</v>
      </c>
      <c r="B446" s="27" t="s">
        <v>1140</v>
      </c>
      <c r="C446" s="27" t="s">
        <v>71</v>
      </c>
      <c r="D446" s="18"/>
      <c r="E446" s="18"/>
      <c r="F446" s="18"/>
      <c r="G446" s="18"/>
      <c r="H446" s="18"/>
      <c r="I446" s="18"/>
      <c r="J446" s="18"/>
      <c r="K446" s="18"/>
      <c r="L446" s="18"/>
      <c r="M446" s="18"/>
      <c r="N446" s="18"/>
      <c r="O446" s="18"/>
      <c r="P446" s="18"/>
      <c r="Q446" s="20"/>
      <c r="R446" s="18"/>
      <c r="S446" s="20"/>
      <c r="T446" s="18"/>
      <c r="U446" s="157">
        <v>407.9</v>
      </c>
      <c r="V446" s="18">
        <f t="shared" ref="V446:V447" si="125">T446+U446</f>
        <v>407.9</v>
      </c>
      <c r="W446" s="64"/>
      <c r="X446" s="18">
        <f t="shared" si="121"/>
        <v>407.9</v>
      </c>
      <c r="Z446" s="43">
        <f t="shared" ref="Z446:Z449" si="126">X446+Y446</f>
        <v>407.9</v>
      </c>
      <c r="AA446" s="43"/>
    </row>
    <row r="447" spans="1:27" ht="24.75" x14ac:dyDescent="0.25">
      <c r="A447" s="8" t="s">
        <v>497</v>
      </c>
      <c r="B447" s="27" t="s">
        <v>1140</v>
      </c>
      <c r="C447" s="27" t="s">
        <v>74</v>
      </c>
      <c r="D447" s="18"/>
      <c r="E447" s="18"/>
      <c r="F447" s="18"/>
      <c r="G447" s="18"/>
      <c r="H447" s="18"/>
      <c r="I447" s="18"/>
      <c r="J447" s="18"/>
      <c r="K447" s="18"/>
      <c r="L447" s="18"/>
      <c r="M447" s="18"/>
      <c r="N447" s="18"/>
      <c r="O447" s="18"/>
      <c r="P447" s="18"/>
      <c r="Q447" s="20"/>
      <c r="R447" s="18"/>
      <c r="S447" s="20"/>
      <c r="T447" s="18"/>
      <c r="U447" s="157">
        <v>123.2</v>
      </c>
      <c r="V447" s="18">
        <f t="shared" si="125"/>
        <v>123.2</v>
      </c>
      <c r="W447" s="64"/>
      <c r="X447" s="18">
        <f t="shared" si="121"/>
        <v>123.2</v>
      </c>
      <c r="Z447" s="43">
        <f t="shared" si="126"/>
        <v>123.2</v>
      </c>
      <c r="AA447" s="43"/>
    </row>
    <row r="448" spans="1:27" x14ac:dyDescent="0.25">
      <c r="A448" s="8" t="s">
        <v>498</v>
      </c>
      <c r="B448" s="27" t="s">
        <v>1140</v>
      </c>
      <c r="C448" s="27" t="s">
        <v>8</v>
      </c>
      <c r="D448" s="18"/>
      <c r="E448" s="18"/>
      <c r="F448" s="18"/>
      <c r="G448" s="18"/>
      <c r="H448" s="18"/>
      <c r="I448" s="18"/>
      <c r="J448" s="18"/>
      <c r="K448" s="18"/>
      <c r="L448" s="18"/>
      <c r="M448" s="18"/>
      <c r="N448" s="18"/>
      <c r="O448" s="18"/>
      <c r="P448" s="18"/>
      <c r="Q448" s="45">
        <v>119.5</v>
      </c>
      <c r="R448" s="18">
        <f t="shared" si="124"/>
        <v>119.5</v>
      </c>
      <c r="S448" s="64"/>
      <c r="T448" s="18">
        <f t="shared" si="119"/>
        <v>119.5</v>
      </c>
      <c r="U448" s="64"/>
      <c r="V448" s="18">
        <f t="shared" si="120"/>
        <v>119.5</v>
      </c>
      <c r="W448" s="64"/>
      <c r="X448" s="18">
        <f t="shared" si="121"/>
        <v>119.5</v>
      </c>
      <c r="Z448" s="43">
        <f t="shared" si="126"/>
        <v>119.5</v>
      </c>
      <c r="AA448" s="43"/>
    </row>
    <row r="449" spans="1:27" ht="36.75" x14ac:dyDescent="0.25">
      <c r="A449" s="8" t="s">
        <v>500</v>
      </c>
      <c r="B449" s="27" t="s">
        <v>1140</v>
      </c>
      <c r="C449" s="27" t="s">
        <v>9</v>
      </c>
      <c r="D449" s="18"/>
      <c r="E449" s="18"/>
      <c r="F449" s="18"/>
      <c r="G449" s="18"/>
      <c r="H449" s="18"/>
      <c r="I449" s="18"/>
      <c r="J449" s="18"/>
      <c r="K449" s="18"/>
      <c r="L449" s="18"/>
      <c r="M449" s="18"/>
      <c r="N449" s="18"/>
      <c r="O449" s="18"/>
      <c r="P449" s="18"/>
      <c r="Q449" s="45">
        <v>36.1</v>
      </c>
      <c r="R449" s="18">
        <f t="shared" si="124"/>
        <v>36.1</v>
      </c>
      <c r="S449" s="64"/>
      <c r="T449" s="18">
        <f t="shared" si="119"/>
        <v>36.1</v>
      </c>
      <c r="U449" s="64"/>
      <c r="V449" s="18">
        <f t="shared" si="120"/>
        <v>36.1</v>
      </c>
      <c r="W449" s="64"/>
      <c r="X449" s="18">
        <f t="shared" si="121"/>
        <v>36.1</v>
      </c>
      <c r="Z449" s="43">
        <f t="shared" si="126"/>
        <v>36.1</v>
      </c>
      <c r="AA449" s="43"/>
    </row>
    <row r="450" spans="1:27" x14ac:dyDescent="0.25">
      <c r="A450" s="13" t="s">
        <v>44</v>
      </c>
      <c r="B450" s="24" t="s">
        <v>51</v>
      </c>
      <c r="C450" s="24" t="s">
        <v>2</v>
      </c>
      <c r="D450" s="18">
        <f>D451+D452+D453+D454</f>
        <v>10116</v>
      </c>
      <c r="E450" s="18">
        <f>E451+E452+E453+E454+E455</f>
        <v>52.4</v>
      </c>
      <c r="F450" s="18">
        <f t="shared" si="112"/>
        <v>10168.4</v>
      </c>
      <c r="G450" s="18">
        <f>G451+G452+G453+G454+G455</f>
        <v>0</v>
      </c>
      <c r="H450" s="18">
        <f t="shared" si="113"/>
        <v>10168.4</v>
      </c>
      <c r="I450" s="18">
        <f>I451+I452+I453+I454+I455</f>
        <v>0</v>
      </c>
      <c r="J450" s="18">
        <f t="shared" si="114"/>
        <v>10168.4</v>
      </c>
      <c r="K450" s="18">
        <f>K451+K452+K453+K454+K455+K456</f>
        <v>1063.5999999999999</v>
      </c>
      <c r="L450" s="18">
        <f t="shared" si="115"/>
        <v>11232</v>
      </c>
      <c r="M450" s="18">
        <f>M451+M452+M453+M454+M455+M456</f>
        <v>0</v>
      </c>
      <c r="N450" s="18">
        <f t="shared" si="116"/>
        <v>11232</v>
      </c>
      <c r="O450" s="18">
        <f>O451+O452+O453+O454+O455+O456</f>
        <v>-1000</v>
      </c>
      <c r="P450" s="18">
        <f t="shared" si="117"/>
        <v>10232</v>
      </c>
      <c r="Q450" s="18">
        <f>Q451+Q452+Q453+Q454+Q455+Q456</f>
        <v>952.3</v>
      </c>
      <c r="R450" s="18">
        <f t="shared" si="118"/>
        <v>11184.3</v>
      </c>
      <c r="S450" s="18">
        <f>S451+S452+S453+S454+S455+S456</f>
        <v>-1000</v>
      </c>
      <c r="T450" s="18">
        <f t="shared" si="119"/>
        <v>10184.299999999999</v>
      </c>
      <c r="U450" s="18">
        <f>U451+U452+U453+U454+U455+U456</f>
        <v>-1017</v>
      </c>
      <c r="V450" s="18">
        <f t="shared" si="120"/>
        <v>9167.2999999999993</v>
      </c>
      <c r="W450" s="18">
        <f>W451+W452+W453+W454+W455+W456</f>
        <v>300</v>
      </c>
      <c r="X450" s="18">
        <f t="shared" si="121"/>
        <v>9467.2999999999993</v>
      </c>
    </row>
    <row r="451" spans="1:27" x14ac:dyDescent="0.25">
      <c r="A451" s="7" t="s">
        <v>498</v>
      </c>
      <c r="B451" s="25" t="s">
        <v>51</v>
      </c>
      <c r="C451" s="25" t="s">
        <v>8</v>
      </c>
      <c r="D451" s="19">
        <v>6990.2</v>
      </c>
      <c r="E451" s="19"/>
      <c r="F451" s="18">
        <f t="shared" si="112"/>
        <v>6990.2</v>
      </c>
      <c r="G451" s="19"/>
      <c r="H451" s="18">
        <f t="shared" si="113"/>
        <v>6990.2</v>
      </c>
      <c r="I451" s="19"/>
      <c r="J451" s="18">
        <f t="shared" si="114"/>
        <v>6990.2</v>
      </c>
      <c r="K451" s="19"/>
      <c r="L451" s="18">
        <f t="shared" si="115"/>
        <v>6990.2</v>
      </c>
      <c r="M451" s="19"/>
      <c r="N451" s="18">
        <f t="shared" si="116"/>
        <v>6990.2</v>
      </c>
      <c r="O451" s="19"/>
      <c r="P451" s="18">
        <f t="shared" si="117"/>
        <v>6990.2</v>
      </c>
      <c r="Q451" s="19"/>
      <c r="R451" s="18">
        <f t="shared" si="118"/>
        <v>6990.2</v>
      </c>
      <c r="S451" s="64"/>
      <c r="T451" s="18">
        <f t="shared" si="119"/>
        <v>6990.2</v>
      </c>
      <c r="U451" s="96">
        <v>-492</v>
      </c>
      <c r="V451" s="18">
        <f t="shared" si="120"/>
        <v>6498.2</v>
      </c>
      <c r="W451" s="64"/>
      <c r="X451" s="18">
        <f t="shared" si="121"/>
        <v>6498.2</v>
      </c>
      <c r="Z451" s="43">
        <f t="shared" ref="Z451:Z456" si="127">X451+Y451</f>
        <v>6498.2</v>
      </c>
      <c r="AA451" s="43"/>
    </row>
    <row r="452" spans="1:27" ht="30" customHeight="1" x14ac:dyDescent="0.25">
      <c r="A452" s="9" t="s">
        <v>500</v>
      </c>
      <c r="B452" s="25" t="s">
        <v>51</v>
      </c>
      <c r="C452" s="25" t="s">
        <v>9</v>
      </c>
      <c r="D452" s="19">
        <v>2095</v>
      </c>
      <c r="E452" s="19"/>
      <c r="F452" s="18">
        <f t="shared" si="112"/>
        <v>2095</v>
      </c>
      <c r="G452" s="19"/>
      <c r="H452" s="18">
        <f t="shared" si="113"/>
        <v>2095</v>
      </c>
      <c r="I452" s="19"/>
      <c r="J452" s="18">
        <f t="shared" si="114"/>
        <v>2095</v>
      </c>
      <c r="K452" s="19"/>
      <c r="L452" s="18">
        <f t="shared" si="115"/>
        <v>2095</v>
      </c>
      <c r="M452" s="19"/>
      <c r="N452" s="18">
        <f t="shared" si="116"/>
        <v>2095</v>
      </c>
      <c r="O452" s="19"/>
      <c r="P452" s="18">
        <f t="shared" si="117"/>
        <v>2095</v>
      </c>
      <c r="Q452" s="19"/>
      <c r="R452" s="18">
        <f t="shared" si="118"/>
        <v>2095</v>
      </c>
      <c r="S452" s="64"/>
      <c r="T452" s="18">
        <f t="shared" si="119"/>
        <v>2095</v>
      </c>
      <c r="U452" s="96">
        <v>-148</v>
      </c>
      <c r="V452" s="18">
        <f t="shared" si="120"/>
        <v>1947</v>
      </c>
      <c r="W452" s="64"/>
      <c r="X452" s="18">
        <f t="shared" si="121"/>
        <v>1947</v>
      </c>
      <c r="Z452" s="43">
        <f t="shared" si="127"/>
        <v>1947</v>
      </c>
      <c r="AA452" s="43"/>
    </row>
    <row r="453" spans="1:27" ht="16.5" customHeight="1" x14ac:dyDescent="0.25">
      <c r="A453" s="9" t="s">
        <v>501</v>
      </c>
      <c r="B453" s="25" t="s">
        <v>51</v>
      </c>
      <c r="C453" s="25" t="s">
        <v>33</v>
      </c>
      <c r="D453" s="19">
        <v>281</v>
      </c>
      <c r="E453" s="19"/>
      <c r="F453" s="18">
        <f t="shared" si="112"/>
        <v>281</v>
      </c>
      <c r="G453" s="19"/>
      <c r="H453" s="18">
        <f t="shared" si="113"/>
        <v>281</v>
      </c>
      <c r="I453" s="19"/>
      <c r="J453" s="18">
        <f t="shared" si="114"/>
        <v>281</v>
      </c>
      <c r="K453" s="19"/>
      <c r="L453" s="18">
        <f t="shared" si="115"/>
        <v>281</v>
      </c>
      <c r="M453" s="19"/>
      <c r="N453" s="18">
        <f t="shared" si="116"/>
        <v>281</v>
      </c>
      <c r="O453" s="19"/>
      <c r="P453" s="18">
        <f t="shared" si="117"/>
        <v>281</v>
      </c>
      <c r="Q453" s="19"/>
      <c r="R453" s="18">
        <f t="shared" si="118"/>
        <v>281</v>
      </c>
      <c r="S453" s="64"/>
      <c r="T453" s="18">
        <f t="shared" si="119"/>
        <v>281</v>
      </c>
      <c r="U453" s="121"/>
      <c r="V453" s="18">
        <f t="shared" si="120"/>
        <v>281</v>
      </c>
      <c r="W453" s="121"/>
      <c r="X453" s="18">
        <f t="shared" si="121"/>
        <v>281</v>
      </c>
      <c r="Z453" s="43">
        <f t="shared" si="127"/>
        <v>281</v>
      </c>
      <c r="AA453" s="43"/>
    </row>
    <row r="454" spans="1:27" x14ac:dyDescent="0.25">
      <c r="A454" s="7" t="s">
        <v>54</v>
      </c>
      <c r="B454" s="25" t="s">
        <v>51</v>
      </c>
      <c r="C454" s="25" t="s">
        <v>34</v>
      </c>
      <c r="D454" s="19">
        <v>749.8</v>
      </c>
      <c r="E454" s="19"/>
      <c r="F454" s="18">
        <f t="shared" si="112"/>
        <v>749.8</v>
      </c>
      <c r="G454" s="19"/>
      <c r="H454" s="18">
        <f t="shared" si="113"/>
        <v>749.8</v>
      </c>
      <c r="I454" s="19"/>
      <c r="J454" s="18">
        <f t="shared" si="114"/>
        <v>749.8</v>
      </c>
      <c r="K454" s="97">
        <f>363.5+700</f>
        <v>1063.5</v>
      </c>
      <c r="L454" s="18">
        <f t="shared" si="115"/>
        <v>1813.3</v>
      </c>
      <c r="M454" s="64"/>
      <c r="N454" s="18">
        <f t="shared" si="116"/>
        <v>1813.3</v>
      </c>
      <c r="O454" s="96">
        <v>-1000</v>
      </c>
      <c r="P454" s="18">
        <f t="shared" si="117"/>
        <v>813.3</v>
      </c>
      <c r="Q454" s="44">
        <f>1000-47.7</f>
        <v>952.3</v>
      </c>
      <c r="R454" s="18">
        <f t="shared" si="118"/>
        <v>1765.6</v>
      </c>
      <c r="S454" s="44">
        <v>-1000</v>
      </c>
      <c r="T454" s="18">
        <f t="shared" si="119"/>
        <v>765.59999999999991</v>
      </c>
      <c r="U454" s="44">
        <f>-77-300</f>
        <v>-377</v>
      </c>
      <c r="V454" s="18">
        <f t="shared" si="120"/>
        <v>388.59999999999991</v>
      </c>
      <c r="W454" s="112">
        <v>300</v>
      </c>
      <c r="X454" s="18">
        <f t="shared" si="121"/>
        <v>688.59999999999991</v>
      </c>
      <c r="Z454" s="43">
        <f t="shared" si="127"/>
        <v>688.59999999999991</v>
      </c>
      <c r="AA454" s="43"/>
    </row>
    <row r="455" spans="1:27" ht="24.75" x14ac:dyDescent="0.25">
      <c r="A455" s="7" t="s">
        <v>505</v>
      </c>
      <c r="B455" s="27" t="s">
        <v>51</v>
      </c>
      <c r="C455" s="27" t="s">
        <v>260</v>
      </c>
      <c r="D455" s="19"/>
      <c r="E455" s="62">
        <v>52.4</v>
      </c>
      <c r="F455" s="18">
        <f t="shared" si="112"/>
        <v>52.4</v>
      </c>
      <c r="G455" s="64"/>
      <c r="H455" s="18">
        <f t="shared" si="113"/>
        <v>52.4</v>
      </c>
      <c r="I455" s="64"/>
      <c r="J455" s="18">
        <f t="shared" si="114"/>
        <v>52.4</v>
      </c>
      <c r="K455" s="64"/>
      <c r="L455" s="18">
        <f t="shared" si="115"/>
        <v>52.4</v>
      </c>
      <c r="M455" s="64"/>
      <c r="N455" s="18">
        <f t="shared" si="116"/>
        <v>52.4</v>
      </c>
      <c r="O455" s="64"/>
      <c r="P455" s="18">
        <f t="shared" si="117"/>
        <v>52.4</v>
      </c>
      <c r="Q455" s="64"/>
      <c r="R455" s="18">
        <f t="shared" si="118"/>
        <v>52.4</v>
      </c>
      <c r="S455" s="64"/>
      <c r="T455" s="18">
        <f t="shared" si="119"/>
        <v>52.4</v>
      </c>
      <c r="U455" s="64"/>
      <c r="V455" s="18">
        <f t="shared" si="120"/>
        <v>52.4</v>
      </c>
      <c r="W455" s="64"/>
      <c r="X455" s="18">
        <f t="shared" si="121"/>
        <v>52.4</v>
      </c>
      <c r="Z455" s="43">
        <f t="shared" si="127"/>
        <v>52.4</v>
      </c>
      <c r="AA455" s="43"/>
    </row>
    <row r="456" spans="1:27" x14ac:dyDescent="0.25">
      <c r="A456" s="7" t="s">
        <v>39</v>
      </c>
      <c r="B456" s="27" t="s">
        <v>51</v>
      </c>
      <c r="C456" s="27" t="s">
        <v>40</v>
      </c>
      <c r="D456" s="19"/>
      <c r="E456" s="62"/>
      <c r="F456" s="18"/>
      <c r="G456" s="64"/>
      <c r="H456" s="18"/>
      <c r="I456" s="64"/>
      <c r="J456" s="18"/>
      <c r="K456" s="44">
        <v>0.1</v>
      </c>
      <c r="L456" s="18">
        <f t="shared" si="115"/>
        <v>0.1</v>
      </c>
      <c r="M456" s="64"/>
      <c r="N456" s="18">
        <f t="shared" si="116"/>
        <v>0.1</v>
      </c>
      <c r="O456" s="64"/>
      <c r="P456" s="18">
        <f t="shared" si="117"/>
        <v>0.1</v>
      </c>
      <c r="Q456" s="64"/>
      <c r="R456" s="18">
        <f t="shared" si="118"/>
        <v>0.1</v>
      </c>
      <c r="S456" s="64"/>
      <c r="T456" s="18">
        <f t="shared" si="119"/>
        <v>0.1</v>
      </c>
      <c r="U456" s="64"/>
      <c r="V456" s="18">
        <f t="shared" si="120"/>
        <v>0.1</v>
      </c>
      <c r="W456" s="64"/>
      <c r="X456" s="18">
        <f t="shared" si="121"/>
        <v>0.1</v>
      </c>
      <c r="Z456" s="43">
        <f t="shared" si="127"/>
        <v>0.1</v>
      </c>
      <c r="AA456" s="43"/>
    </row>
    <row r="457" spans="1:27" x14ac:dyDescent="0.25">
      <c r="A457" s="101" t="s">
        <v>734</v>
      </c>
      <c r="B457" s="26" t="s">
        <v>1288</v>
      </c>
      <c r="C457" s="26" t="s">
        <v>2</v>
      </c>
      <c r="D457" s="19"/>
      <c r="E457" s="62"/>
      <c r="F457" s="18"/>
      <c r="G457" s="64"/>
      <c r="H457" s="18"/>
      <c r="I457" s="64"/>
      <c r="J457" s="18"/>
      <c r="K457" s="44"/>
      <c r="L457" s="18"/>
      <c r="M457" s="64"/>
      <c r="N457" s="18"/>
      <c r="O457" s="64"/>
      <c r="P457" s="18"/>
      <c r="Q457" s="64"/>
      <c r="R457" s="18"/>
      <c r="S457" s="64"/>
      <c r="T457" s="18"/>
      <c r="U457" s="20">
        <f>U458+U459+U460+U461</f>
        <v>673.49999999999989</v>
      </c>
      <c r="V457" s="18">
        <f t="shared" ref="V457:V461" si="128">T457+U457</f>
        <v>673.49999999999989</v>
      </c>
      <c r="W457" s="20">
        <f>W458+W459+W460+W461</f>
        <v>0</v>
      </c>
      <c r="X457" s="18">
        <f t="shared" si="121"/>
        <v>673.49999999999989</v>
      </c>
    </row>
    <row r="458" spans="1:27" x14ac:dyDescent="0.25">
      <c r="A458" s="8" t="s">
        <v>496</v>
      </c>
      <c r="B458" s="27" t="s">
        <v>1288</v>
      </c>
      <c r="C458" s="27" t="s">
        <v>71</v>
      </c>
      <c r="D458" s="19"/>
      <c r="E458" s="62"/>
      <c r="F458" s="18"/>
      <c r="G458" s="64"/>
      <c r="H458" s="18"/>
      <c r="I458" s="64"/>
      <c r="J458" s="18"/>
      <c r="K458" s="44"/>
      <c r="L458" s="18"/>
      <c r="M458" s="64"/>
      <c r="N458" s="18"/>
      <c r="O458" s="64"/>
      <c r="P458" s="18"/>
      <c r="Q458" s="64"/>
      <c r="R458" s="18"/>
      <c r="S458" s="64"/>
      <c r="T458" s="18"/>
      <c r="U458" s="151">
        <v>446.5</v>
      </c>
      <c r="V458" s="18">
        <f t="shared" si="128"/>
        <v>446.5</v>
      </c>
      <c r="W458" s="64"/>
      <c r="X458" s="18">
        <f t="shared" si="121"/>
        <v>446.5</v>
      </c>
      <c r="Z458" s="43">
        <f t="shared" ref="Z458:Z461" si="129">X458+Y458</f>
        <v>446.5</v>
      </c>
      <c r="AA458" s="43"/>
    </row>
    <row r="459" spans="1:27" ht="24.75" x14ac:dyDescent="0.25">
      <c r="A459" s="8" t="s">
        <v>497</v>
      </c>
      <c r="B459" s="27" t="s">
        <v>1288</v>
      </c>
      <c r="C459" s="27" t="s">
        <v>74</v>
      </c>
      <c r="D459" s="19"/>
      <c r="E459" s="62"/>
      <c r="F459" s="18"/>
      <c r="G459" s="64"/>
      <c r="H459" s="18"/>
      <c r="I459" s="64"/>
      <c r="J459" s="18"/>
      <c r="K459" s="44"/>
      <c r="L459" s="18"/>
      <c r="M459" s="64"/>
      <c r="N459" s="18"/>
      <c r="O459" s="64"/>
      <c r="P459" s="18"/>
      <c r="Q459" s="64"/>
      <c r="R459" s="18"/>
      <c r="S459" s="64"/>
      <c r="T459" s="18"/>
      <c r="U459" s="151">
        <v>134.80000000000001</v>
      </c>
      <c r="V459" s="18">
        <f t="shared" si="128"/>
        <v>134.80000000000001</v>
      </c>
      <c r="W459" s="64"/>
      <c r="X459" s="18">
        <f t="shared" si="121"/>
        <v>134.80000000000001</v>
      </c>
      <c r="Z459" s="43">
        <f t="shared" si="129"/>
        <v>134.80000000000001</v>
      </c>
      <c r="AA459" s="43"/>
    </row>
    <row r="460" spans="1:27" x14ac:dyDescent="0.25">
      <c r="A460" s="8" t="s">
        <v>498</v>
      </c>
      <c r="B460" s="27" t="s">
        <v>1288</v>
      </c>
      <c r="C460" s="27" t="s">
        <v>8</v>
      </c>
      <c r="D460" s="19"/>
      <c r="E460" s="62"/>
      <c r="F460" s="18"/>
      <c r="G460" s="64"/>
      <c r="H460" s="18"/>
      <c r="I460" s="64"/>
      <c r="J460" s="18"/>
      <c r="K460" s="44"/>
      <c r="L460" s="18"/>
      <c r="M460" s="64"/>
      <c r="N460" s="18"/>
      <c r="O460" s="64"/>
      <c r="P460" s="18"/>
      <c r="Q460" s="64"/>
      <c r="R460" s="18"/>
      <c r="S460" s="64"/>
      <c r="T460" s="18"/>
      <c r="U460" s="152">
        <v>70.8</v>
      </c>
      <c r="V460" s="18">
        <f t="shared" si="128"/>
        <v>70.8</v>
      </c>
      <c r="W460" s="77"/>
      <c r="X460" s="18">
        <f t="shared" si="121"/>
        <v>70.8</v>
      </c>
      <c r="Z460" s="43">
        <f t="shared" si="129"/>
        <v>70.8</v>
      </c>
      <c r="AA460" s="43"/>
    </row>
    <row r="461" spans="1:27" ht="36.75" x14ac:dyDescent="0.25">
      <c r="A461" s="8" t="s">
        <v>500</v>
      </c>
      <c r="B461" s="27" t="s">
        <v>1288</v>
      </c>
      <c r="C461" s="27" t="s">
        <v>9</v>
      </c>
      <c r="D461" s="19"/>
      <c r="E461" s="62"/>
      <c r="F461" s="18"/>
      <c r="G461" s="64"/>
      <c r="H461" s="18"/>
      <c r="I461" s="64"/>
      <c r="J461" s="18"/>
      <c r="K461" s="44"/>
      <c r="L461" s="18"/>
      <c r="M461" s="64"/>
      <c r="N461" s="18"/>
      <c r="O461" s="64"/>
      <c r="P461" s="18"/>
      <c r="Q461" s="64"/>
      <c r="R461" s="18"/>
      <c r="S461" s="64"/>
      <c r="T461" s="18"/>
      <c r="U461" s="152">
        <v>21.4</v>
      </c>
      <c r="V461" s="18">
        <f t="shared" si="128"/>
        <v>21.4</v>
      </c>
      <c r="W461" s="77"/>
      <c r="X461" s="18">
        <f t="shared" si="121"/>
        <v>21.4</v>
      </c>
      <c r="Z461" s="43">
        <f t="shared" si="129"/>
        <v>21.4</v>
      </c>
      <c r="AA461" s="43"/>
    </row>
    <row r="462" spans="1:27" ht="24.75" x14ac:dyDescent="0.25">
      <c r="A462" s="13" t="s">
        <v>69</v>
      </c>
      <c r="B462" s="24" t="s">
        <v>70</v>
      </c>
      <c r="C462" s="24" t="s">
        <v>2</v>
      </c>
      <c r="D462" s="18">
        <f>D463+D464+D465+D466+D467</f>
        <v>38863.899999999994</v>
      </c>
      <c r="E462" s="18">
        <f>E463+E464+E465+E466+E467</f>
        <v>0</v>
      </c>
      <c r="F462" s="18">
        <f t="shared" si="112"/>
        <v>38863.899999999994</v>
      </c>
      <c r="G462" s="18">
        <f>G463+G464+G465+G466+G467</f>
        <v>0</v>
      </c>
      <c r="H462" s="18">
        <f t="shared" si="113"/>
        <v>38863.899999999994</v>
      </c>
      <c r="I462" s="18">
        <f>I463+I464+I465+I466+I467</f>
        <v>0</v>
      </c>
      <c r="J462" s="18">
        <f t="shared" si="114"/>
        <v>38863.899999999994</v>
      </c>
      <c r="K462" s="18">
        <f>K463+K464+K465+K466+K467</f>
        <v>0</v>
      </c>
      <c r="L462" s="18">
        <f t="shared" si="115"/>
        <v>38863.899999999994</v>
      </c>
      <c r="M462" s="18">
        <f>M463+M464+M465+M466+M467</f>
        <v>0</v>
      </c>
      <c r="N462" s="18">
        <f t="shared" si="116"/>
        <v>38863.899999999994</v>
      </c>
      <c r="O462" s="18">
        <f>O463+O464+O465+O466+O467</f>
        <v>0</v>
      </c>
      <c r="P462" s="18">
        <f t="shared" si="117"/>
        <v>38863.899999999994</v>
      </c>
      <c r="Q462" s="18">
        <f>Q463+Q464+Q465+Q466+Q467</f>
        <v>5685.6</v>
      </c>
      <c r="R462" s="18">
        <f t="shared" si="118"/>
        <v>44549.499999999993</v>
      </c>
      <c r="S462" s="18">
        <f>S463+S464+S465+S466+S467+S468</f>
        <v>0.2</v>
      </c>
      <c r="T462" s="18">
        <f t="shared" si="119"/>
        <v>44549.69999999999</v>
      </c>
      <c r="U462" s="18">
        <f>U463+U464+U465+U466+U467+U468</f>
        <v>0</v>
      </c>
      <c r="V462" s="18">
        <f t="shared" si="120"/>
        <v>44549.69999999999</v>
      </c>
      <c r="W462" s="18">
        <f>W463+W464+W465+W466+W467+W468</f>
        <v>0</v>
      </c>
      <c r="X462" s="18">
        <f t="shared" si="121"/>
        <v>44549.69999999999</v>
      </c>
    </row>
    <row r="463" spans="1:27" x14ac:dyDescent="0.25">
      <c r="A463" s="7" t="s">
        <v>496</v>
      </c>
      <c r="B463" s="25" t="s">
        <v>70</v>
      </c>
      <c r="C463" s="25" t="s">
        <v>71</v>
      </c>
      <c r="D463" s="19">
        <v>28577.5</v>
      </c>
      <c r="E463" s="19"/>
      <c r="F463" s="18">
        <f t="shared" si="112"/>
        <v>28577.5</v>
      </c>
      <c r="G463" s="19"/>
      <c r="H463" s="18">
        <f t="shared" si="113"/>
        <v>28577.5</v>
      </c>
      <c r="I463" s="19"/>
      <c r="J463" s="18">
        <f t="shared" si="114"/>
        <v>28577.5</v>
      </c>
      <c r="K463" s="19"/>
      <c r="L463" s="18">
        <f t="shared" si="115"/>
        <v>28577.5</v>
      </c>
      <c r="M463" s="19"/>
      <c r="N463" s="18">
        <f t="shared" si="116"/>
        <v>28577.5</v>
      </c>
      <c r="O463" s="19"/>
      <c r="P463" s="18">
        <f t="shared" si="117"/>
        <v>28577.5</v>
      </c>
      <c r="Q463" s="44">
        <f>4433.9+0.5</f>
        <v>4434.3999999999996</v>
      </c>
      <c r="R463" s="18">
        <f t="shared" si="118"/>
        <v>33011.9</v>
      </c>
      <c r="S463" s="64"/>
      <c r="T463" s="18">
        <f t="shared" si="119"/>
        <v>33011.9</v>
      </c>
      <c r="U463" s="64"/>
      <c r="V463" s="18">
        <f t="shared" si="120"/>
        <v>33011.9</v>
      </c>
      <c r="W463" s="44">
        <v>-2.5</v>
      </c>
      <c r="X463" s="18">
        <f t="shared" si="121"/>
        <v>33009.4</v>
      </c>
      <c r="Y463" s="43">
        <v>-2.5</v>
      </c>
      <c r="Z463" s="43">
        <f t="shared" ref="Z463:Z468" si="130">X463+Y463</f>
        <v>33006.9</v>
      </c>
      <c r="AA463" s="43"/>
    </row>
    <row r="464" spans="1:27" hidden="1" x14ac:dyDescent="0.25">
      <c r="A464" s="7" t="s">
        <v>72</v>
      </c>
      <c r="B464" s="25" t="s">
        <v>70</v>
      </c>
      <c r="C464" s="25" t="s">
        <v>73</v>
      </c>
      <c r="D464" s="19">
        <v>0.7</v>
      </c>
      <c r="E464" s="19"/>
      <c r="F464" s="18">
        <f t="shared" si="112"/>
        <v>0.7</v>
      </c>
      <c r="G464" s="19"/>
      <c r="H464" s="18">
        <f t="shared" si="113"/>
        <v>0.7</v>
      </c>
      <c r="I464" s="19"/>
      <c r="J464" s="18">
        <f t="shared" si="114"/>
        <v>0.7</v>
      </c>
      <c r="K464" s="19"/>
      <c r="L464" s="18">
        <f t="shared" si="115"/>
        <v>0.7</v>
      </c>
      <c r="M464" s="19"/>
      <c r="N464" s="18">
        <f t="shared" si="116"/>
        <v>0.7</v>
      </c>
      <c r="O464" s="19"/>
      <c r="P464" s="18">
        <f t="shared" si="117"/>
        <v>0.7</v>
      </c>
      <c r="Q464" s="44">
        <v>-0.7</v>
      </c>
      <c r="R464" s="18">
        <f t="shared" si="118"/>
        <v>0</v>
      </c>
      <c r="S464" s="64"/>
      <c r="T464" s="18">
        <f t="shared" si="119"/>
        <v>0</v>
      </c>
      <c r="U464" s="64"/>
      <c r="V464" s="18">
        <f t="shared" si="120"/>
        <v>0</v>
      </c>
      <c r="W464" s="64"/>
      <c r="X464" s="18">
        <f t="shared" si="121"/>
        <v>0</v>
      </c>
      <c r="Z464" s="43">
        <f t="shared" si="130"/>
        <v>0</v>
      </c>
      <c r="AA464" s="43"/>
    </row>
    <row r="465" spans="1:27" ht="24.75" x14ac:dyDescent="0.25">
      <c r="A465" s="7" t="s">
        <v>497</v>
      </c>
      <c r="B465" s="25" t="s">
        <v>70</v>
      </c>
      <c r="C465" s="25" t="s">
        <v>74</v>
      </c>
      <c r="D465" s="19">
        <v>8329</v>
      </c>
      <c r="E465" s="19"/>
      <c r="F465" s="18">
        <f t="shared" si="112"/>
        <v>8329</v>
      </c>
      <c r="G465" s="19"/>
      <c r="H465" s="18">
        <f t="shared" si="113"/>
        <v>8329</v>
      </c>
      <c r="I465" s="19"/>
      <c r="J465" s="18">
        <f t="shared" si="114"/>
        <v>8329</v>
      </c>
      <c r="K465" s="19"/>
      <c r="L465" s="18">
        <f t="shared" si="115"/>
        <v>8329</v>
      </c>
      <c r="M465" s="19"/>
      <c r="N465" s="18">
        <f t="shared" si="116"/>
        <v>8329</v>
      </c>
      <c r="O465" s="19"/>
      <c r="P465" s="18">
        <f t="shared" si="117"/>
        <v>8329</v>
      </c>
      <c r="Q465" s="44">
        <v>1251.9000000000001</v>
      </c>
      <c r="R465" s="18">
        <f t="shared" si="118"/>
        <v>9580.9</v>
      </c>
      <c r="S465" s="64"/>
      <c r="T465" s="18">
        <f t="shared" si="119"/>
        <v>9580.9</v>
      </c>
      <c r="U465" s="64"/>
      <c r="V465" s="18">
        <f t="shared" si="120"/>
        <v>9580.9</v>
      </c>
      <c r="W465" s="44">
        <v>2.5</v>
      </c>
      <c r="X465" s="18">
        <f t="shared" si="121"/>
        <v>9583.4</v>
      </c>
      <c r="Y465" s="43">
        <v>2.5</v>
      </c>
      <c r="Z465" s="43">
        <f t="shared" si="130"/>
        <v>9585.9</v>
      </c>
      <c r="AA465" s="43"/>
    </row>
    <row r="466" spans="1:27" ht="18.75" customHeight="1" x14ac:dyDescent="0.25">
      <c r="A466" s="9" t="s">
        <v>501</v>
      </c>
      <c r="B466" s="25" t="s">
        <v>70</v>
      </c>
      <c r="C466" s="25" t="s">
        <v>33</v>
      </c>
      <c r="D466" s="19">
        <v>1037</v>
      </c>
      <c r="E466" s="19"/>
      <c r="F466" s="18">
        <f t="shared" si="112"/>
        <v>1037</v>
      </c>
      <c r="G466" s="19"/>
      <c r="H466" s="18">
        <f t="shared" si="113"/>
        <v>1037</v>
      </c>
      <c r="I466" s="19"/>
      <c r="J466" s="18">
        <f t="shared" si="114"/>
        <v>1037</v>
      </c>
      <c r="K466" s="106">
        <v>27.4</v>
      </c>
      <c r="L466" s="18">
        <f t="shared" si="115"/>
        <v>1064.4000000000001</v>
      </c>
      <c r="M466" s="62">
        <v>151.30000000000001</v>
      </c>
      <c r="N466" s="18">
        <f t="shared" si="116"/>
        <v>1215.7</v>
      </c>
      <c r="O466" s="64"/>
      <c r="P466" s="18">
        <f t="shared" si="117"/>
        <v>1215.7</v>
      </c>
      <c r="Q466" s="44">
        <v>205.8</v>
      </c>
      <c r="R466" s="18">
        <f t="shared" si="118"/>
        <v>1421.5</v>
      </c>
      <c r="S466" s="64"/>
      <c r="T466" s="18">
        <f t="shared" si="119"/>
        <v>1421.5</v>
      </c>
      <c r="U466" s="96">
        <v>184.2</v>
      </c>
      <c r="V466" s="18">
        <f t="shared" si="120"/>
        <v>1605.7</v>
      </c>
      <c r="W466" s="64"/>
      <c r="X466" s="18">
        <f t="shared" si="121"/>
        <v>1605.7</v>
      </c>
      <c r="Z466" s="43">
        <f t="shared" si="130"/>
        <v>1605.7</v>
      </c>
      <c r="AA466" s="43"/>
    </row>
    <row r="467" spans="1:27" x14ac:dyDescent="0.25">
      <c r="A467" s="7" t="s">
        <v>54</v>
      </c>
      <c r="B467" s="25" t="s">
        <v>70</v>
      </c>
      <c r="C467" s="25" t="s">
        <v>34</v>
      </c>
      <c r="D467" s="19">
        <v>919.7</v>
      </c>
      <c r="E467" s="19"/>
      <c r="F467" s="18">
        <f t="shared" si="112"/>
        <v>919.7</v>
      </c>
      <c r="G467" s="19"/>
      <c r="H467" s="18">
        <f t="shared" si="113"/>
        <v>919.7</v>
      </c>
      <c r="I467" s="19"/>
      <c r="J467" s="18">
        <f t="shared" si="114"/>
        <v>919.7</v>
      </c>
      <c r="K467" s="106">
        <v>-27.4</v>
      </c>
      <c r="L467" s="18">
        <f t="shared" si="115"/>
        <v>892.30000000000007</v>
      </c>
      <c r="M467" s="62">
        <v>-151.30000000000001</v>
      </c>
      <c r="N467" s="18">
        <f t="shared" si="116"/>
        <v>741</v>
      </c>
      <c r="O467" s="64"/>
      <c r="P467" s="18">
        <f t="shared" si="117"/>
        <v>741</v>
      </c>
      <c r="Q467" s="44">
        <v>-205.8</v>
      </c>
      <c r="R467" s="18">
        <f t="shared" si="118"/>
        <v>535.20000000000005</v>
      </c>
      <c r="S467" s="64"/>
      <c r="T467" s="18">
        <f t="shared" si="119"/>
        <v>535.20000000000005</v>
      </c>
      <c r="U467" s="96">
        <v>-184.2</v>
      </c>
      <c r="V467" s="18">
        <f t="shared" si="120"/>
        <v>351.00000000000006</v>
      </c>
      <c r="W467" s="44"/>
      <c r="X467" s="18">
        <f t="shared" si="121"/>
        <v>351.00000000000006</v>
      </c>
      <c r="Z467" s="43">
        <f t="shared" si="130"/>
        <v>351.00000000000006</v>
      </c>
      <c r="AA467" s="43"/>
    </row>
    <row r="468" spans="1:27" x14ac:dyDescent="0.25">
      <c r="A468" s="7"/>
      <c r="B468" s="25" t="s">
        <v>70</v>
      </c>
      <c r="C468" s="25" t="s">
        <v>40</v>
      </c>
      <c r="D468" s="19"/>
      <c r="E468" s="19"/>
      <c r="F468" s="18"/>
      <c r="G468" s="19"/>
      <c r="H468" s="18"/>
      <c r="I468" s="19"/>
      <c r="J468" s="18"/>
      <c r="K468" s="106"/>
      <c r="L468" s="18"/>
      <c r="M468" s="62"/>
      <c r="N468" s="18"/>
      <c r="O468" s="64"/>
      <c r="P468" s="18"/>
      <c r="Q468" s="44"/>
      <c r="R468" s="18"/>
      <c r="S468" s="62">
        <v>0.2</v>
      </c>
      <c r="T468" s="18">
        <f t="shared" ref="T468" si="131">R468+S468</f>
        <v>0.2</v>
      </c>
      <c r="U468" s="64"/>
      <c r="V468" s="18">
        <f t="shared" si="120"/>
        <v>0.2</v>
      </c>
      <c r="W468" s="64"/>
      <c r="X468" s="18">
        <f t="shared" si="121"/>
        <v>0.2</v>
      </c>
      <c r="Z468" s="43">
        <f t="shared" si="130"/>
        <v>0.2</v>
      </c>
      <c r="AA468" s="43"/>
    </row>
    <row r="469" spans="1:27" ht="24.75" x14ac:dyDescent="0.25">
      <c r="A469" s="13" t="s">
        <v>75</v>
      </c>
      <c r="B469" s="24" t="s">
        <v>76</v>
      </c>
      <c r="C469" s="24" t="s">
        <v>2</v>
      </c>
      <c r="D469" s="18">
        <f>D472</f>
        <v>15450</v>
      </c>
      <c r="E469" s="18">
        <f>E472</f>
        <v>0</v>
      </c>
      <c r="F469" s="18">
        <f t="shared" si="112"/>
        <v>15450</v>
      </c>
      <c r="G469" s="18">
        <f>G472</f>
        <v>0</v>
      </c>
      <c r="H469" s="18">
        <f>F469+G469</f>
        <v>15450</v>
      </c>
      <c r="I469" s="18">
        <f>I472</f>
        <v>0</v>
      </c>
      <c r="J469" s="18">
        <f>H469+I469</f>
        <v>15450</v>
      </c>
      <c r="K469" s="18">
        <f>K472</f>
        <v>58350.100000000006</v>
      </c>
      <c r="L469" s="18">
        <f t="shared" si="115"/>
        <v>73800.100000000006</v>
      </c>
      <c r="M469" s="18">
        <f>M472+M470+M1039</f>
        <v>87679.2</v>
      </c>
      <c r="N469" s="18">
        <f t="shared" si="116"/>
        <v>161479.29999999999</v>
      </c>
      <c r="O469" s="18">
        <f>O472+O470+O1039</f>
        <v>50571.599999999977</v>
      </c>
      <c r="P469" s="18">
        <f t="shared" si="117"/>
        <v>212050.89999999997</v>
      </c>
      <c r="Q469" s="18">
        <f>Q472+Q470+Q1039</f>
        <v>11951.200000000012</v>
      </c>
      <c r="R469" s="18">
        <f t="shared" si="118"/>
        <v>224002.09999999998</v>
      </c>
      <c r="S469" s="18">
        <f>S472+S470+S1039</f>
        <v>5419.9000000000005</v>
      </c>
      <c r="T469" s="18">
        <f t="shared" si="119"/>
        <v>229421.99999999997</v>
      </c>
      <c r="U469" s="18">
        <f>U472+U470+U1039</f>
        <v>37162.100000000006</v>
      </c>
      <c r="V469" s="18">
        <f t="shared" si="120"/>
        <v>266584.09999999998</v>
      </c>
      <c r="W469" s="18">
        <f>W472+W470+W1039</f>
        <v>3394.9999999999964</v>
      </c>
      <c r="X469" s="18">
        <f t="shared" si="121"/>
        <v>269979.09999999998</v>
      </c>
    </row>
    <row r="470" spans="1:27" ht="36.75" x14ac:dyDescent="0.25">
      <c r="A470" s="33" t="s">
        <v>744</v>
      </c>
      <c r="B470" s="26" t="s">
        <v>745</v>
      </c>
      <c r="C470" s="26"/>
      <c r="D470" s="20"/>
      <c r="E470" s="20"/>
      <c r="F470" s="20"/>
      <c r="G470" s="20"/>
      <c r="H470" s="20"/>
      <c r="I470" s="20"/>
      <c r="J470" s="20"/>
      <c r="K470" s="20"/>
      <c r="L470" s="20"/>
      <c r="M470" s="20">
        <f>M471</f>
        <v>792</v>
      </c>
      <c r="N470" s="18">
        <f t="shared" si="116"/>
        <v>792</v>
      </c>
      <c r="O470" s="20">
        <f>O471</f>
        <v>0</v>
      </c>
      <c r="P470" s="18">
        <f t="shared" si="117"/>
        <v>792</v>
      </c>
      <c r="Q470" s="20">
        <f>Q471</f>
        <v>99499.1</v>
      </c>
      <c r="R470" s="18">
        <f t="shared" si="118"/>
        <v>100291.1</v>
      </c>
      <c r="S470" s="20">
        <f>S471</f>
        <v>0</v>
      </c>
      <c r="T470" s="18">
        <f t="shared" si="119"/>
        <v>100291.1</v>
      </c>
      <c r="U470" s="20">
        <f>U471</f>
        <v>0</v>
      </c>
      <c r="V470" s="18">
        <f t="shared" si="120"/>
        <v>100291.1</v>
      </c>
      <c r="W470" s="20">
        <f>W471</f>
        <v>36137.199999999997</v>
      </c>
      <c r="X470" s="18">
        <f t="shared" si="121"/>
        <v>136428.29999999999</v>
      </c>
    </row>
    <row r="471" spans="1:27" x14ac:dyDescent="0.25">
      <c r="A471" s="7" t="s">
        <v>54</v>
      </c>
      <c r="B471" s="27" t="s">
        <v>745</v>
      </c>
      <c r="C471" s="27" t="s">
        <v>34</v>
      </c>
      <c r="D471" s="20"/>
      <c r="E471" s="20"/>
      <c r="F471" s="20"/>
      <c r="G471" s="20"/>
      <c r="H471" s="20"/>
      <c r="I471" s="20"/>
      <c r="J471" s="20"/>
      <c r="K471" s="20"/>
      <c r="L471" s="20"/>
      <c r="M471" s="55">
        <v>792</v>
      </c>
      <c r="N471" s="18">
        <f t="shared" si="116"/>
        <v>792</v>
      </c>
      <c r="O471" s="77"/>
      <c r="P471" s="18">
        <f t="shared" si="117"/>
        <v>792</v>
      </c>
      <c r="Q471" s="55">
        <v>99499.1</v>
      </c>
      <c r="R471" s="18">
        <f t="shared" si="118"/>
        <v>100291.1</v>
      </c>
      <c r="S471" s="77"/>
      <c r="T471" s="18">
        <f t="shared" si="119"/>
        <v>100291.1</v>
      </c>
      <c r="U471" s="77"/>
      <c r="V471" s="18">
        <f t="shared" si="120"/>
        <v>100291.1</v>
      </c>
      <c r="W471" s="55">
        <f>36137.2</f>
        <v>36137.199999999997</v>
      </c>
      <c r="X471" s="18">
        <f t="shared" si="121"/>
        <v>136428.29999999999</v>
      </c>
      <c r="Z471" s="43">
        <f>X471+Y471</f>
        <v>136428.29999999999</v>
      </c>
      <c r="AA471" s="43"/>
    </row>
    <row r="472" spans="1:27" x14ac:dyDescent="0.25">
      <c r="A472" s="13" t="s">
        <v>478</v>
      </c>
      <c r="B472" s="24" t="s">
        <v>479</v>
      </c>
      <c r="C472" s="24"/>
      <c r="D472" s="18">
        <f t="shared" ref="D472:E473" si="132">D473</f>
        <v>15450</v>
      </c>
      <c r="E472" s="18">
        <f t="shared" si="132"/>
        <v>0</v>
      </c>
      <c r="F472" s="18">
        <f t="shared" si="112"/>
        <v>15450</v>
      </c>
      <c r="G472" s="18">
        <f>G473</f>
        <v>0</v>
      </c>
      <c r="H472" s="18">
        <f>F472+G472</f>
        <v>15450</v>
      </c>
      <c r="I472" s="18">
        <f>I473+I475+I590</f>
        <v>0</v>
      </c>
      <c r="J472" s="18">
        <f>H472+I472</f>
        <v>15450</v>
      </c>
      <c r="K472" s="18">
        <f>K473+K475+K567+K585+K590</f>
        <v>58350.100000000006</v>
      </c>
      <c r="L472" s="18">
        <f t="shared" si="115"/>
        <v>73800.100000000006</v>
      </c>
      <c r="M472" s="18">
        <f>M473+M475+M567+M585+M590</f>
        <v>86727.2</v>
      </c>
      <c r="N472" s="18">
        <f t="shared" si="116"/>
        <v>160527.29999999999</v>
      </c>
      <c r="O472" s="18">
        <f>O473+O475+O567+O585+O590</f>
        <v>50571.599999999977</v>
      </c>
      <c r="P472" s="18">
        <f t="shared" si="117"/>
        <v>211098.89999999997</v>
      </c>
      <c r="Q472" s="18">
        <f>Q473+Q475+Q567+Q585+Q590</f>
        <v>-87547.9</v>
      </c>
      <c r="R472" s="18">
        <f t="shared" si="118"/>
        <v>123550.99999999997</v>
      </c>
      <c r="S472" s="18">
        <f>S473+S475+S567+S585+S590</f>
        <v>5419.9000000000005</v>
      </c>
      <c r="T472" s="18">
        <f t="shared" si="119"/>
        <v>128970.89999999997</v>
      </c>
      <c r="U472" s="18">
        <f>U473+U475+U567+U585+U590</f>
        <v>37162.100000000006</v>
      </c>
      <c r="V472" s="18">
        <f t="shared" si="120"/>
        <v>166132.99999999997</v>
      </c>
      <c r="W472" s="18">
        <f>W473+W475+W567+W585+W590</f>
        <v>-32742.2</v>
      </c>
      <c r="X472" s="18">
        <f t="shared" si="121"/>
        <v>133390.79999999996</v>
      </c>
    </row>
    <row r="473" spans="1:27" x14ac:dyDescent="0.25">
      <c r="A473" s="13" t="s">
        <v>478</v>
      </c>
      <c r="B473" s="24" t="s">
        <v>675</v>
      </c>
      <c r="C473" s="24" t="s">
        <v>2</v>
      </c>
      <c r="D473" s="18">
        <f t="shared" si="132"/>
        <v>15450</v>
      </c>
      <c r="E473" s="18">
        <f t="shared" si="132"/>
        <v>0</v>
      </c>
      <c r="F473" s="18">
        <f t="shared" si="112"/>
        <v>15450</v>
      </c>
      <c r="G473" s="18">
        <f>G474+G475</f>
        <v>0</v>
      </c>
      <c r="H473" s="18">
        <f>H474</f>
        <v>9258.6</v>
      </c>
      <c r="I473" s="18">
        <f>I474</f>
        <v>-250.79999999999998</v>
      </c>
      <c r="J473" s="18">
        <f>J474</f>
        <v>9007.8000000000011</v>
      </c>
      <c r="K473" s="47">
        <f>K474</f>
        <v>-9007.7999999999993</v>
      </c>
      <c r="L473" s="18">
        <f t="shared" si="115"/>
        <v>0</v>
      </c>
      <c r="M473" s="47">
        <f>M474</f>
        <v>0</v>
      </c>
      <c r="N473" s="18">
        <f t="shared" si="116"/>
        <v>0</v>
      </c>
      <c r="O473" s="47">
        <f>O474</f>
        <v>0</v>
      </c>
      <c r="P473" s="18">
        <f t="shared" si="117"/>
        <v>0</v>
      </c>
      <c r="Q473" s="47">
        <f>Q474</f>
        <v>0.2</v>
      </c>
      <c r="R473" s="18">
        <f t="shared" si="118"/>
        <v>0.2</v>
      </c>
      <c r="S473" s="47">
        <f>S474</f>
        <v>0</v>
      </c>
      <c r="T473" s="18">
        <f t="shared" si="119"/>
        <v>0.2</v>
      </c>
      <c r="U473" s="47">
        <f>U474</f>
        <v>500</v>
      </c>
      <c r="V473" s="18">
        <f t="shared" si="120"/>
        <v>500.2</v>
      </c>
      <c r="W473" s="47">
        <f>W474</f>
        <v>-18.8</v>
      </c>
      <c r="X473" s="18">
        <f t="shared" si="121"/>
        <v>481.4</v>
      </c>
    </row>
    <row r="474" spans="1:27" x14ac:dyDescent="0.25">
      <c r="A474" s="7" t="s">
        <v>54</v>
      </c>
      <c r="B474" s="25" t="s">
        <v>675</v>
      </c>
      <c r="C474" s="25" t="s">
        <v>34</v>
      </c>
      <c r="D474" s="19">
        <v>15450</v>
      </c>
      <c r="E474" s="19"/>
      <c r="F474" s="18">
        <f t="shared" si="112"/>
        <v>15450</v>
      </c>
      <c r="G474" s="44">
        <v>-6191.4</v>
      </c>
      <c r="H474" s="18">
        <f t="shared" si="113"/>
        <v>9258.6</v>
      </c>
      <c r="I474" s="62">
        <f>-100-67.7-20.1-63</f>
        <v>-250.79999999999998</v>
      </c>
      <c r="J474" s="18">
        <f t="shared" si="114"/>
        <v>9007.8000000000011</v>
      </c>
      <c r="K474" s="96">
        <v>-9007.7999999999993</v>
      </c>
      <c r="L474" s="18">
        <f t="shared" si="115"/>
        <v>0</v>
      </c>
      <c r="M474" s="64"/>
      <c r="N474" s="18">
        <f t="shared" si="116"/>
        <v>0</v>
      </c>
      <c r="O474" s="64"/>
      <c r="P474" s="18">
        <f t="shared" si="117"/>
        <v>0</v>
      </c>
      <c r="Q474" s="44">
        <v>0.2</v>
      </c>
      <c r="R474" s="18">
        <f t="shared" si="118"/>
        <v>0.2</v>
      </c>
      <c r="S474" s="64"/>
      <c r="T474" s="18">
        <f t="shared" si="119"/>
        <v>0.2</v>
      </c>
      <c r="U474" s="44">
        <v>500</v>
      </c>
      <c r="V474" s="18">
        <f t="shared" si="120"/>
        <v>500.2</v>
      </c>
      <c r="W474" s="44">
        <v>-18.8</v>
      </c>
      <c r="X474" s="18">
        <f t="shared" si="121"/>
        <v>481.4</v>
      </c>
      <c r="Y474" s="43">
        <v>-18.8</v>
      </c>
      <c r="Z474" s="43">
        <f>X474+Y474</f>
        <v>462.59999999999997</v>
      </c>
      <c r="AA474" s="43"/>
    </row>
    <row r="475" spans="1:27" x14ac:dyDescent="0.25">
      <c r="A475" s="13" t="s">
        <v>478</v>
      </c>
      <c r="B475" s="24" t="s">
        <v>675</v>
      </c>
      <c r="C475" s="24" t="s">
        <v>2</v>
      </c>
      <c r="D475" s="19"/>
      <c r="E475" s="19"/>
      <c r="F475" s="18"/>
      <c r="G475" s="88">
        <f>G479+G481+G483+G485+G487+G489+G491+G493+G495+G497+G499+G501+G503+G505+G507+G509+G511+G513+G515+G517+G519+G521+G523+G525+G527+G529+G531+G533+G535+G537+G539+G541+G543+G545+G547+G549+G551+G553+G555+G557+G559+G561+G563+G565</f>
        <v>6191.3999999999987</v>
      </c>
      <c r="H475" s="18">
        <f>F475+G475</f>
        <v>6191.3999999999987</v>
      </c>
      <c r="I475" s="94">
        <f>I476</f>
        <v>83.1</v>
      </c>
      <c r="J475" s="18">
        <f t="shared" si="114"/>
        <v>6274.4999999999991</v>
      </c>
      <c r="K475" s="94">
        <f>K479+K481+K483+K485+K487+K489+K491+K493+K495+K497+K499+K501+K503+K505+K507+K509+K511+K513+K515+K517+K519+K521+K523+K525+K527+K529+K531+K533+K535+K537+K539+K541+K543+K545+K547+K549+K551+K553+K555+K557+K559+K561+K563+K565+K476</f>
        <v>6482.7</v>
      </c>
      <c r="L475" s="18">
        <f t="shared" si="115"/>
        <v>12757.199999999999</v>
      </c>
      <c r="M475" s="94">
        <f>M479+M481+M483+M485+M487+M489+M491+M493+M495+M497+M499+M501+M503+M505+M507+M509+M511+M513+M515+M517+M519+M521+M523+M525+M527+M529+M531+M533+M535+M537+M539+M541+M543+M545+M547+M549+M551+M553+M555+M557+M559+M561+M563+M565+M476</f>
        <v>28097.1</v>
      </c>
      <c r="N475" s="18">
        <f t="shared" si="116"/>
        <v>40854.299999999996</v>
      </c>
      <c r="O475" s="94">
        <f>O479+O481+O483+O485+O487+O489+O491+O493+O495+O497+O499+O501+O503+O505+O507+O509+O511+O513+O515+O517+O519+O521+O523+O525+O527+O529+O531+O533+O535+O537+O539+O541+O543+O545+O547+O549+O551+O553+O555+O557+O559+O561+O563+O565+O476</f>
        <v>-35.200000000000003</v>
      </c>
      <c r="P475" s="18">
        <f t="shared" si="117"/>
        <v>40819.1</v>
      </c>
      <c r="Q475" s="94">
        <f>Q479+Q481+Q483+Q485+Q487+Q489+Q491+Q493+Q495+Q497+Q499+Q501+Q503+Q505+Q507+Q509+Q511+Q513+Q515+Q517+Q519+Q521+Q523+Q525+Q527+Q529+Q531+Q533+Q535+Q537+Q539+Q541+Q543+Q545+Q547+Q549+Q551+Q553+Q555+Q557+Q559+Q561+Q563+Q565+Q476</f>
        <v>-5060.8999999999996</v>
      </c>
      <c r="R475" s="18">
        <f t="shared" si="118"/>
        <v>35758.199999999997</v>
      </c>
      <c r="S475" s="94">
        <f>S479+S481+S483+S485+S487+S489+S491+S493+S495+S497+S499+S501+S503+S505+S507+S509+S511+S513+S515+S517+S519+S521+S523+S525+S527+S529+S531+S533+S535+S537+S539+S541+S543+S545+S547+S549+S551+S553+S555+S557+S559+S561+S563+S565+S476</f>
        <v>0</v>
      </c>
      <c r="T475" s="18">
        <f t="shared" si="119"/>
        <v>35758.199999999997</v>
      </c>
      <c r="U475" s="94">
        <f>U479+U481+U483+U485+U487+U489+U491+U493+U495+U497+U499+U501+U503+U505+U507+U509+U511+U513+U515+U517+U519+U521+U523+U525+U527+U529+U531+U533+U535+U537+U539+U541+U543+U545+U547+U549+U551+U553+U555+U557+U559+U561+U563+U565+U476</f>
        <v>0</v>
      </c>
      <c r="V475" s="18">
        <f t="shared" si="120"/>
        <v>35758.199999999997</v>
      </c>
      <c r="W475" s="94">
        <f>W479+W481+W483+W485+W487+W489+W491+W493+W495+W497+W499+W501+W503+W505+W507+W509+W511+W513+W515+W517+W519+W521+W523+W525+W527+W529+W531+W533+W535+W537+W539+W541+W543+W545+W547+W549+W551+W553+W555+W557+W559+W561+W563+W565+W476</f>
        <v>3619</v>
      </c>
      <c r="X475" s="18">
        <f t="shared" si="121"/>
        <v>39377.199999999997</v>
      </c>
    </row>
    <row r="476" spans="1:27" x14ac:dyDescent="0.25">
      <c r="A476" s="13" t="s">
        <v>478</v>
      </c>
      <c r="B476" s="25" t="s">
        <v>675</v>
      </c>
      <c r="C476" s="24"/>
      <c r="D476" s="19"/>
      <c r="E476" s="19"/>
      <c r="F476" s="18"/>
      <c r="G476" s="90"/>
      <c r="H476" s="87"/>
      <c r="I476" s="78">
        <f>I478+I477</f>
        <v>83.1</v>
      </c>
      <c r="J476" s="18">
        <f t="shared" si="114"/>
        <v>83.1</v>
      </c>
      <c r="K476" s="78">
        <f>K478+K477</f>
        <v>30</v>
      </c>
      <c r="L476" s="18">
        <f t="shared" si="115"/>
        <v>113.1</v>
      </c>
      <c r="M476" s="78">
        <f>M478+M477</f>
        <v>0</v>
      </c>
      <c r="N476" s="18">
        <f t="shared" si="116"/>
        <v>113.1</v>
      </c>
      <c r="O476" s="78">
        <f>O478+O477</f>
        <v>-35.200000000000003</v>
      </c>
      <c r="P476" s="18">
        <f t="shared" si="117"/>
        <v>77.899999999999991</v>
      </c>
      <c r="Q476" s="78">
        <f>Q478+Q477</f>
        <v>0</v>
      </c>
      <c r="R476" s="18">
        <f t="shared" si="118"/>
        <v>77.899999999999991</v>
      </c>
      <c r="S476" s="78">
        <f>S478+S477</f>
        <v>0</v>
      </c>
      <c r="T476" s="18">
        <f t="shared" si="119"/>
        <v>77.899999999999991</v>
      </c>
      <c r="U476" s="78">
        <f>U478+U477</f>
        <v>0</v>
      </c>
      <c r="V476" s="18">
        <f t="shared" si="120"/>
        <v>77.899999999999991</v>
      </c>
      <c r="W476" s="78">
        <f>W478+W477</f>
        <v>19</v>
      </c>
      <c r="X476" s="18">
        <f t="shared" si="121"/>
        <v>96.899999999999991</v>
      </c>
    </row>
    <row r="477" spans="1:27" x14ac:dyDescent="0.25">
      <c r="A477" s="7" t="s">
        <v>54</v>
      </c>
      <c r="B477" s="67" t="s">
        <v>675</v>
      </c>
      <c r="C477" s="25" t="s">
        <v>34</v>
      </c>
      <c r="D477" s="19"/>
      <c r="E477" s="19"/>
      <c r="F477" s="18"/>
      <c r="G477" s="90"/>
      <c r="H477" s="87"/>
      <c r="I477" s="93">
        <v>20.100000000000001</v>
      </c>
      <c r="J477" s="18">
        <f t="shared" si="114"/>
        <v>20.100000000000001</v>
      </c>
      <c r="K477" s="108">
        <v>37</v>
      </c>
      <c r="L477" s="18">
        <f t="shared" si="115"/>
        <v>57.1</v>
      </c>
      <c r="M477" s="111"/>
      <c r="N477" s="18">
        <f t="shared" si="116"/>
        <v>57.1</v>
      </c>
      <c r="O477" s="111"/>
      <c r="P477" s="18">
        <f t="shared" si="117"/>
        <v>57.1</v>
      </c>
      <c r="Q477" s="111"/>
      <c r="R477" s="18">
        <f t="shared" si="118"/>
        <v>57.1</v>
      </c>
      <c r="S477" s="111"/>
      <c r="T477" s="18">
        <f t="shared" si="119"/>
        <v>57.1</v>
      </c>
      <c r="U477" s="111"/>
      <c r="V477" s="18">
        <f t="shared" si="120"/>
        <v>57.1</v>
      </c>
      <c r="W477" s="111"/>
      <c r="X477" s="18">
        <f t="shared" si="121"/>
        <v>57.1</v>
      </c>
      <c r="Z477" s="43">
        <f t="shared" ref="Z477:Z478" si="133">X477+Y477</f>
        <v>57.1</v>
      </c>
      <c r="AA477" s="43"/>
    </row>
    <row r="478" spans="1:27" x14ac:dyDescent="0.25">
      <c r="A478" s="9" t="s">
        <v>511</v>
      </c>
      <c r="B478" s="67" t="s">
        <v>675</v>
      </c>
      <c r="C478" s="25" t="s">
        <v>66</v>
      </c>
      <c r="D478" s="19"/>
      <c r="E478" s="19"/>
      <c r="F478" s="18"/>
      <c r="G478" s="95"/>
      <c r="H478" s="87"/>
      <c r="I478" s="93">
        <v>63</v>
      </c>
      <c r="J478" s="18">
        <f>H478+I478</f>
        <v>63</v>
      </c>
      <c r="K478" s="108">
        <v>-7</v>
      </c>
      <c r="L478" s="18">
        <f t="shared" si="115"/>
        <v>56</v>
      </c>
      <c r="M478" s="111"/>
      <c r="N478" s="18">
        <f t="shared" si="116"/>
        <v>56</v>
      </c>
      <c r="O478" s="139">
        <v>-35.200000000000003</v>
      </c>
      <c r="P478" s="18">
        <f t="shared" si="117"/>
        <v>20.799999999999997</v>
      </c>
      <c r="Q478" s="111"/>
      <c r="R478" s="18">
        <f t="shared" si="118"/>
        <v>20.799999999999997</v>
      </c>
      <c r="S478" s="111"/>
      <c r="T478" s="18">
        <f t="shared" si="119"/>
        <v>20.799999999999997</v>
      </c>
      <c r="U478" s="111"/>
      <c r="V478" s="18">
        <f t="shared" si="120"/>
        <v>20.799999999999997</v>
      </c>
      <c r="W478" s="95">
        <v>19</v>
      </c>
      <c r="X478" s="18">
        <f t="shared" si="121"/>
        <v>39.799999999999997</v>
      </c>
      <c r="Y478" s="43">
        <f>6.3+12.7</f>
        <v>19</v>
      </c>
      <c r="Z478" s="43">
        <f t="shared" si="133"/>
        <v>58.8</v>
      </c>
      <c r="AA478" s="43"/>
    </row>
    <row r="479" spans="1:27" hidden="1" x14ac:dyDescent="0.25">
      <c r="A479" s="69" t="s">
        <v>612</v>
      </c>
      <c r="B479" s="74" t="s">
        <v>596</v>
      </c>
      <c r="D479" s="19"/>
      <c r="E479" s="19"/>
      <c r="F479" s="18"/>
      <c r="G479" s="76">
        <f>G480</f>
        <v>104.8</v>
      </c>
      <c r="H479" s="87">
        <f t="shared" si="113"/>
        <v>104.8</v>
      </c>
      <c r="I479" s="79">
        <f>I480</f>
        <v>0</v>
      </c>
      <c r="J479" s="18">
        <f t="shared" si="114"/>
        <v>104.8</v>
      </c>
      <c r="K479" s="79">
        <f>K480</f>
        <v>-104.8</v>
      </c>
      <c r="L479" s="18">
        <f t="shared" si="115"/>
        <v>0</v>
      </c>
      <c r="M479" s="79">
        <f>M480</f>
        <v>0</v>
      </c>
      <c r="N479" s="18">
        <f t="shared" si="116"/>
        <v>0</v>
      </c>
      <c r="O479" s="79">
        <f>O480</f>
        <v>0</v>
      </c>
      <c r="P479" s="18">
        <f t="shared" si="117"/>
        <v>0</v>
      </c>
      <c r="Q479" s="79">
        <f>Q480</f>
        <v>0</v>
      </c>
      <c r="R479" s="18">
        <f t="shared" si="118"/>
        <v>0</v>
      </c>
      <c r="S479" s="79">
        <f>S480</f>
        <v>0</v>
      </c>
      <c r="T479" s="18">
        <f t="shared" si="119"/>
        <v>0</v>
      </c>
      <c r="U479" s="79">
        <f>U480</f>
        <v>0</v>
      </c>
      <c r="V479" s="18">
        <f t="shared" si="120"/>
        <v>0</v>
      </c>
      <c r="W479" s="79">
        <f>W480</f>
        <v>0</v>
      </c>
      <c r="X479" s="18">
        <f t="shared" si="121"/>
        <v>0</v>
      </c>
    </row>
    <row r="480" spans="1:27" hidden="1" x14ac:dyDescent="0.25">
      <c r="A480" s="7" t="s">
        <v>54</v>
      </c>
      <c r="B480" s="67" t="s">
        <v>596</v>
      </c>
      <c r="C480" s="25" t="s">
        <v>34</v>
      </c>
      <c r="D480" s="19"/>
      <c r="E480" s="19"/>
      <c r="F480" s="18"/>
      <c r="G480" s="44">
        <v>104.8</v>
      </c>
      <c r="H480" s="18">
        <f t="shared" si="113"/>
        <v>104.8</v>
      </c>
      <c r="I480" s="64"/>
      <c r="J480" s="18">
        <f t="shared" si="114"/>
        <v>104.8</v>
      </c>
      <c r="K480" s="96">
        <v>-104.8</v>
      </c>
      <c r="L480" s="18">
        <f t="shared" si="115"/>
        <v>0</v>
      </c>
      <c r="M480" s="64"/>
      <c r="N480" s="18">
        <f t="shared" si="116"/>
        <v>0</v>
      </c>
      <c r="O480" s="64"/>
      <c r="P480" s="18">
        <f t="shared" si="117"/>
        <v>0</v>
      </c>
      <c r="Q480" s="64"/>
      <c r="R480" s="18">
        <f t="shared" si="118"/>
        <v>0</v>
      </c>
      <c r="S480" s="64"/>
      <c r="T480" s="18">
        <f t="shared" si="119"/>
        <v>0</v>
      </c>
      <c r="U480" s="64"/>
      <c r="V480" s="18">
        <f t="shared" si="120"/>
        <v>0</v>
      </c>
      <c r="W480" s="64"/>
      <c r="X480" s="18">
        <f t="shared" si="121"/>
        <v>0</v>
      </c>
      <c r="Z480" s="43">
        <f>X480+Y480</f>
        <v>0</v>
      </c>
      <c r="AA480" s="43"/>
    </row>
    <row r="481" spans="1:27" x14ac:dyDescent="0.25">
      <c r="A481" s="70" t="s">
        <v>613</v>
      </c>
      <c r="B481" s="74" t="s">
        <v>750</v>
      </c>
      <c r="D481" s="19"/>
      <c r="E481" s="19"/>
      <c r="F481" s="18"/>
      <c r="G481" s="18">
        <f>G482</f>
        <v>180</v>
      </c>
      <c r="H481" s="18">
        <f t="shared" si="113"/>
        <v>180</v>
      </c>
      <c r="I481" s="47">
        <f>I482</f>
        <v>0</v>
      </c>
      <c r="J481" s="18">
        <f t="shared" si="114"/>
        <v>180</v>
      </c>
      <c r="K481" s="47">
        <f>K482</f>
        <v>360</v>
      </c>
      <c r="L481" s="18">
        <f t="shared" si="115"/>
        <v>540</v>
      </c>
      <c r="M481" s="47">
        <f>M482</f>
        <v>1200</v>
      </c>
      <c r="N481" s="18">
        <f t="shared" si="116"/>
        <v>1740</v>
      </c>
      <c r="O481" s="47">
        <f>O482</f>
        <v>0</v>
      </c>
      <c r="P481" s="18">
        <f t="shared" si="117"/>
        <v>1740</v>
      </c>
      <c r="Q481" s="47">
        <f>Q482</f>
        <v>0</v>
      </c>
      <c r="R481" s="18">
        <f t="shared" si="118"/>
        <v>1740</v>
      </c>
      <c r="S481" s="47">
        <f>S482</f>
        <v>0</v>
      </c>
      <c r="T481" s="18">
        <f t="shared" si="119"/>
        <v>1740</v>
      </c>
      <c r="U481" s="47">
        <f>U482</f>
        <v>0</v>
      </c>
      <c r="V481" s="18">
        <f t="shared" si="120"/>
        <v>1740</v>
      </c>
      <c r="W481" s="47">
        <f>W482</f>
        <v>0</v>
      </c>
      <c r="X481" s="18">
        <f t="shared" si="121"/>
        <v>1740</v>
      </c>
    </row>
    <row r="482" spans="1:27" x14ac:dyDescent="0.25">
      <c r="A482" s="9" t="s">
        <v>511</v>
      </c>
      <c r="B482" s="67" t="s">
        <v>750</v>
      </c>
      <c r="C482" s="25" t="s">
        <v>34</v>
      </c>
      <c r="D482" s="19"/>
      <c r="E482" s="19"/>
      <c r="F482" s="18"/>
      <c r="G482" s="44">
        <v>180</v>
      </c>
      <c r="H482" s="18">
        <f t="shared" si="113"/>
        <v>180</v>
      </c>
      <c r="I482" s="64"/>
      <c r="J482" s="18">
        <f t="shared" si="114"/>
        <v>180</v>
      </c>
      <c r="K482" s="96">
        <v>360</v>
      </c>
      <c r="L482" s="18">
        <f t="shared" si="115"/>
        <v>540</v>
      </c>
      <c r="M482" s="45">
        <v>1200</v>
      </c>
      <c r="N482" s="18">
        <f t="shared" si="116"/>
        <v>1740</v>
      </c>
      <c r="O482" s="64"/>
      <c r="P482" s="18">
        <f t="shared" si="117"/>
        <v>1740</v>
      </c>
      <c r="Q482" s="64"/>
      <c r="R482" s="18">
        <f t="shared" si="118"/>
        <v>1740</v>
      </c>
      <c r="S482" s="64"/>
      <c r="T482" s="18">
        <f t="shared" si="119"/>
        <v>1740</v>
      </c>
      <c r="U482" s="64"/>
      <c r="V482" s="18">
        <f t="shared" si="120"/>
        <v>1740</v>
      </c>
      <c r="W482" s="64"/>
      <c r="X482" s="18">
        <f t="shared" si="121"/>
        <v>1740</v>
      </c>
      <c r="Z482" s="43">
        <f>X482+Y482</f>
        <v>1740</v>
      </c>
      <c r="AA482" s="43"/>
    </row>
    <row r="483" spans="1:27" ht="26.25" customHeight="1" x14ac:dyDescent="0.25">
      <c r="A483" s="69" t="s">
        <v>614</v>
      </c>
      <c r="B483" s="74" t="s">
        <v>751</v>
      </c>
      <c r="D483" s="19"/>
      <c r="E483" s="19"/>
      <c r="F483" s="18"/>
      <c r="G483" s="18">
        <f>G484</f>
        <v>75</v>
      </c>
      <c r="H483" s="18">
        <f t="shared" si="113"/>
        <v>75</v>
      </c>
      <c r="I483" s="47">
        <f>I484</f>
        <v>0</v>
      </c>
      <c r="J483" s="18">
        <f t="shared" si="114"/>
        <v>75</v>
      </c>
      <c r="K483" s="47">
        <f>K484</f>
        <v>150</v>
      </c>
      <c r="L483" s="18">
        <f t="shared" si="115"/>
        <v>225</v>
      </c>
      <c r="M483" s="47">
        <f>M484</f>
        <v>500</v>
      </c>
      <c r="N483" s="18">
        <f t="shared" si="116"/>
        <v>725</v>
      </c>
      <c r="O483" s="47">
        <f>O484</f>
        <v>0</v>
      </c>
      <c r="P483" s="18">
        <f t="shared" si="117"/>
        <v>725</v>
      </c>
      <c r="Q483" s="47">
        <f>Q484</f>
        <v>0</v>
      </c>
      <c r="R483" s="18">
        <f t="shared" si="118"/>
        <v>725</v>
      </c>
      <c r="S483" s="47">
        <f>S484</f>
        <v>0</v>
      </c>
      <c r="T483" s="18">
        <f t="shared" si="119"/>
        <v>725</v>
      </c>
      <c r="U483" s="47">
        <f>U484</f>
        <v>0</v>
      </c>
      <c r="V483" s="18">
        <f t="shared" si="120"/>
        <v>725</v>
      </c>
      <c r="W483" s="47">
        <f>W484</f>
        <v>0</v>
      </c>
      <c r="X483" s="18">
        <f t="shared" si="121"/>
        <v>725</v>
      </c>
    </row>
    <row r="484" spans="1:27" x14ac:dyDescent="0.25">
      <c r="A484" s="7" t="s">
        <v>54</v>
      </c>
      <c r="B484" s="67" t="s">
        <v>751</v>
      </c>
      <c r="C484" s="25" t="s">
        <v>34</v>
      </c>
      <c r="D484" s="19"/>
      <c r="E484" s="19"/>
      <c r="F484" s="18"/>
      <c r="G484" s="44">
        <v>75</v>
      </c>
      <c r="H484" s="18">
        <f t="shared" si="113"/>
        <v>75</v>
      </c>
      <c r="I484" s="64"/>
      <c r="J484" s="18">
        <f t="shared" si="114"/>
        <v>75</v>
      </c>
      <c r="K484" s="96">
        <v>150</v>
      </c>
      <c r="L484" s="18">
        <f t="shared" si="115"/>
        <v>225</v>
      </c>
      <c r="M484" s="45">
        <v>500</v>
      </c>
      <c r="N484" s="18">
        <f t="shared" si="116"/>
        <v>725</v>
      </c>
      <c r="O484" s="64"/>
      <c r="P484" s="18">
        <f t="shared" si="117"/>
        <v>725</v>
      </c>
      <c r="Q484" s="64"/>
      <c r="R484" s="18">
        <f t="shared" si="118"/>
        <v>725</v>
      </c>
      <c r="S484" s="64"/>
      <c r="T484" s="18">
        <f t="shared" si="119"/>
        <v>725</v>
      </c>
      <c r="U484" s="64"/>
      <c r="V484" s="18">
        <f t="shared" si="120"/>
        <v>725</v>
      </c>
      <c r="W484" s="64"/>
      <c r="X484" s="18">
        <f t="shared" si="121"/>
        <v>725</v>
      </c>
      <c r="Z484" s="43">
        <f>X484+Y484</f>
        <v>725</v>
      </c>
      <c r="AA484" s="43"/>
    </row>
    <row r="485" spans="1:27" hidden="1" x14ac:dyDescent="0.25">
      <c r="A485" s="69" t="s">
        <v>615</v>
      </c>
      <c r="B485" s="74" t="s">
        <v>597</v>
      </c>
      <c r="D485" s="19"/>
      <c r="E485" s="19"/>
      <c r="F485" s="18"/>
      <c r="G485" s="18">
        <f>G486</f>
        <v>56.8</v>
      </c>
      <c r="H485" s="18">
        <f t="shared" si="113"/>
        <v>56.8</v>
      </c>
      <c r="I485" s="47">
        <f>I486</f>
        <v>0</v>
      </c>
      <c r="J485" s="18">
        <f t="shared" si="114"/>
        <v>56.8</v>
      </c>
      <c r="K485" s="47">
        <f>K486</f>
        <v>-56.8</v>
      </c>
      <c r="L485" s="18">
        <f t="shared" si="115"/>
        <v>0</v>
      </c>
      <c r="M485" s="47">
        <f>M486</f>
        <v>0</v>
      </c>
      <c r="N485" s="18">
        <f t="shared" si="116"/>
        <v>0</v>
      </c>
      <c r="O485" s="47">
        <f>O486</f>
        <v>0</v>
      </c>
      <c r="P485" s="18">
        <f t="shared" si="117"/>
        <v>0</v>
      </c>
      <c r="Q485" s="47">
        <f>Q486</f>
        <v>0</v>
      </c>
      <c r="R485" s="18">
        <f t="shared" si="118"/>
        <v>0</v>
      </c>
      <c r="S485" s="47">
        <f>S486</f>
        <v>0</v>
      </c>
      <c r="T485" s="18">
        <f t="shared" si="119"/>
        <v>0</v>
      </c>
      <c r="U485" s="47">
        <f>U486</f>
        <v>0</v>
      </c>
      <c r="V485" s="18">
        <f t="shared" si="120"/>
        <v>0</v>
      </c>
      <c r="W485" s="47">
        <f>W486</f>
        <v>0</v>
      </c>
      <c r="X485" s="18">
        <f t="shared" si="121"/>
        <v>0</v>
      </c>
    </row>
    <row r="486" spans="1:27" hidden="1" x14ac:dyDescent="0.25">
      <c r="A486" s="7" t="s">
        <v>54</v>
      </c>
      <c r="B486" s="67" t="s">
        <v>597</v>
      </c>
      <c r="C486" s="25" t="s">
        <v>34</v>
      </c>
      <c r="D486" s="19"/>
      <c r="E486" s="19"/>
      <c r="F486" s="18"/>
      <c r="G486" s="44">
        <v>56.8</v>
      </c>
      <c r="H486" s="18">
        <f t="shared" si="113"/>
        <v>56.8</v>
      </c>
      <c r="I486" s="64"/>
      <c r="J486" s="18">
        <f t="shared" si="114"/>
        <v>56.8</v>
      </c>
      <c r="K486" s="96">
        <v>-56.8</v>
      </c>
      <c r="L486" s="18">
        <f t="shared" si="115"/>
        <v>0</v>
      </c>
      <c r="M486" s="64"/>
      <c r="N486" s="18">
        <f t="shared" si="116"/>
        <v>0</v>
      </c>
      <c r="O486" s="64"/>
      <c r="P486" s="18">
        <f t="shared" si="117"/>
        <v>0</v>
      </c>
      <c r="Q486" s="64"/>
      <c r="R486" s="18">
        <f t="shared" si="118"/>
        <v>0</v>
      </c>
      <c r="S486" s="64"/>
      <c r="T486" s="18">
        <f t="shared" si="119"/>
        <v>0</v>
      </c>
      <c r="U486" s="64"/>
      <c r="V486" s="18">
        <f t="shared" si="120"/>
        <v>0</v>
      </c>
      <c r="W486" s="64"/>
      <c r="X486" s="18">
        <f t="shared" si="121"/>
        <v>0</v>
      </c>
      <c r="Z486" s="43">
        <f>X486+Y486</f>
        <v>0</v>
      </c>
      <c r="AA486" s="43"/>
    </row>
    <row r="487" spans="1:27" ht="36" x14ac:dyDescent="0.25">
      <c r="A487" s="69" t="s">
        <v>616</v>
      </c>
      <c r="B487" s="74" t="s">
        <v>758</v>
      </c>
      <c r="D487" s="19"/>
      <c r="E487" s="19"/>
      <c r="F487" s="18"/>
      <c r="G487" s="18">
        <f>G488</f>
        <v>180</v>
      </c>
      <c r="H487" s="18">
        <f t="shared" si="113"/>
        <v>180</v>
      </c>
      <c r="I487" s="47">
        <f>I488</f>
        <v>0</v>
      </c>
      <c r="J487" s="18">
        <f t="shared" si="114"/>
        <v>180</v>
      </c>
      <c r="K487" s="47">
        <f>K488</f>
        <v>360</v>
      </c>
      <c r="L487" s="18">
        <f t="shared" si="115"/>
        <v>540</v>
      </c>
      <c r="M487" s="47">
        <f>M488</f>
        <v>1200</v>
      </c>
      <c r="N487" s="18">
        <f t="shared" si="116"/>
        <v>1740</v>
      </c>
      <c r="O487" s="47">
        <f>O488</f>
        <v>0</v>
      </c>
      <c r="P487" s="18">
        <f t="shared" si="117"/>
        <v>1740</v>
      </c>
      <c r="Q487" s="47">
        <f>Q488</f>
        <v>-1740</v>
      </c>
      <c r="R487" s="18">
        <f t="shared" si="118"/>
        <v>0</v>
      </c>
      <c r="S487" s="47">
        <f>S488</f>
        <v>0</v>
      </c>
      <c r="T487" s="18">
        <f t="shared" si="119"/>
        <v>0</v>
      </c>
      <c r="U487" s="47">
        <f>U488</f>
        <v>0</v>
      </c>
      <c r="V487" s="18">
        <f t="shared" si="120"/>
        <v>0</v>
      </c>
      <c r="W487" s="47">
        <f>W488</f>
        <v>1200</v>
      </c>
      <c r="X487" s="18">
        <f t="shared" si="121"/>
        <v>1200</v>
      </c>
    </row>
    <row r="488" spans="1:27" x14ac:dyDescent="0.25">
      <c r="A488" s="7" t="s">
        <v>54</v>
      </c>
      <c r="B488" s="67" t="s">
        <v>758</v>
      </c>
      <c r="C488" s="25" t="s">
        <v>34</v>
      </c>
      <c r="D488" s="19"/>
      <c r="E488" s="19"/>
      <c r="F488" s="18"/>
      <c r="G488" s="44">
        <v>180</v>
      </c>
      <c r="H488" s="18">
        <f t="shared" si="113"/>
        <v>180</v>
      </c>
      <c r="I488" s="64"/>
      <c r="J488" s="18">
        <f t="shared" si="114"/>
        <v>180</v>
      </c>
      <c r="K488" s="96">
        <v>360</v>
      </c>
      <c r="L488" s="18">
        <f t="shared" si="115"/>
        <v>540</v>
      </c>
      <c r="M488" s="45">
        <v>1200</v>
      </c>
      <c r="N488" s="18">
        <f t="shared" si="116"/>
        <v>1740</v>
      </c>
      <c r="O488" s="64"/>
      <c r="P488" s="18">
        <f t="shared" si="117"/>
        <v>1740</v>
      </c>
      <c r="Q488" s="44">
        <v>-1740</v>
      </c>
      <c r="R488" s="18">
        <f t="shared" si="118"/>
        <v>0</v>
      </c>
      <c r="S488" s="64"/>
      <c r="T488" s="18">
        <f t="shared" si="119"/>
        <v>0</v>
      </c>
      <c r="U488" s="64"/>
      <c r="V488" s="18">
        <f t="shared" si="120"/>
        <v>0</v>
      </c>
      <c r="W488" s="45">
        <v>1200</v>
      </c>
      <c r="X488" s="18">
        <f t="shared" si="121"/>
        <v>1200</v>
      </c>
      <c r="Z488" s="43">
        <f>X488+Y488</f>
        <v>1200</v>
      </c>
      <c r="AA488" s="43"/>
    </row>
    <row r="489" spans="1:27" ht="36" x14ac:dyDescent="0.25">
      <c r="A489" s="69" t="s">
        <v>617</v>
      </c>
      <c r="B489" s="74" t="s">
        <v>759</v>
      </c>
      <c r="D489" s="19"/>
      <c r="E489" s="19"/>
      <c r="F489" s="18"/>
      <c r="G489" s="18">
        <f>G490</f>
        <v>180</v>
      </c>
      <c r="H489" s="18">
        <f t="shared" si="113"/>
        <v>180</v>
      </c>
      <c r="I489" s="47">
        <f>I490</f>
        <v>0</v>
      </c>
      <c r="J489" s="18">
        <f t="shared" si="114"/>
        <v>180</v>
      </c>
      <c r="K489" s="47">
        <f>K490</f>
        <v>360</v>
      </c>
      <c r="L489" s="18">
        <f t="shared" si="115"/>
        <v>540</v>
      </c>
      <c r="M489" s="47">
        <f>M490</f>
        <v>1200</v>
      </c>
      <c r="N489" s="18">
        <f t="shared" si="116"/>
        <v>1740</v>
      </c>
      <c r="O489" s="47">
        <f>O490</f>
        <v>0</v>
      </c>
      <c r="P489" s="18">
        <f t="shared" si="117"/>
        <v>1740</v>
      </c>
      <c r="Q489" s="47">
        <f>Q490</f>
        <v>-1740</v>
      </c>
      <c r="R489" s="18">
        <f t="shared" si="118"/>
        <v>0</v>
      </c>
      <c r="S489" s="47">
        <f>S490</f>
        <v>0</v>
      </c>
      <c r="T489" s="18">
        <f t="shared" si="119"/>
        <v>0</v>
      </c>
      <c r="U489" s="47">
        <f>U490</f>
        <v>0</v>
      </c>
      <c r="V489" s="18">
        <f t="shared" si="120"/>
        <v>0</v>
      </c>
      <c r="W489" s="47">
        <f>W490</f>
        <v>1200</v>
      </c>
      <c r="X489" s="18">
        <f t="shared" si="121"/>
        <v>1200</v>
      </c>
    </row>
    <row r="490" spans="1:27" x14ac:dyDescent="0.25">
      <c r="A490" s="7" t="s">
        <v>54</v>
      </c>
      <c r="B490" s="67" t="s">
        <v>759</v>
      </c>
      <c r="C490" s="25" t="s">
        <v>34</v>
      </c>
      <c r="D490" s="19"/>
      <c r="E490" s="19"/>
      <c r="F490" s="18"/>
      <c r="G490" s="44">
        <v>180</v>
      </c>
      <c r="H490" s="18">
        <f t="shared" si="113"/>
        <v>180</v>
      </c>
      <c r="I490" s="64"/>
      <c r="J490" s="18">
        <f t="shared" si="114"/>
        <v>180</v>
      </c>
      <c r="K490" s="96">
        <v>360</v>
      </c>
      <c r="L490" s="18">
        <f t="shared" si="115"/>
        <v>540</v>
      </c>
      <c r="M490" s="45">
        <v>1200</v>
      </c>
      <c r="N490" s="18">
        <f t="shared" si="116"/>
        <v>1740</v>
      </c>
      <c r="O490" s="64"/>
      <c r="P490" s="18">
        <f t="shared" si="117"/>
        <v>1740</v>
      </c>
      <c r="Q490" s="44">
        <v>-1740</v>
      </c>
      <c r="R490" s="18">
        <f t="shared" si="118"/>
        <v>0</v>
      </c>
      <c r="S490" s="64"/>
      <c r="T490" s="18">
        <f t="shared" si="119"/>
        <v>0</v>
      </c>
      <c r="U490" s="64"/>
      <c r="V490" s="18">
        <f t="shared" si="120"/>
        <v>0</v>
      </c>
      <c r="W490" s="45">
        <v>1200</v>
      </c>
      <c r="X490" s="18">
        <f t="shared" si="121"/>
        <v>1200</v>
      </c>
      <c r="Z490" s="43">
        <f>X490+Y490</f>
        <v>1200</v>
      </c>
      <c r="AA490" s="43"/>
    </row>
    <row r="491" spans="1:27" hidden="1" x14ac:dyDescent="0.25">
      <c r="A491" s="69" t="s">
        <v>618</v>
      </c>
      <c r="B491" s="74" t="s">
        <v>598</v>
      </c>
      <c r="D491" s="19"/>
      <c r="E491" s="19"/>
      <c r="F491" s="18"/>
      <c r="G491" s="18">
        <f>G492</f>
        <v>180</v>
      </c>
      <c r="H491" s="18">
        <f t="shared" si="113"/>
        <v>180</v>
      </c>
      <c r="I491" s="47">
        <f>I492</f>
        <v>0</v>
      </c>
      <c r="J491" s="18">
        <f t="shared" si="114"/>
        <v>180</v>
      </c>
      <c r="K491" s="47">
        <f>K492</f>
        <v>-180</v>
      </c>
      <c r="L491" s="18">
        <f t="shared" si="115"/>
        <v>0</v>
      </c>
      <c r="M491" s="47">
        <f>M492</f>
        <v>0</v>
      </c>
      <c r="N491" s="18">
        <f t="shared" si="116"/>
        <v>0</v>
      </c>
      <c r="O491" s="47">
        <f>O492</f>
        <v>0</v>
      </c>
      <c r="P491" s="18">
        <f t="shared" si="117"/>
        <v>0</v>
      </c>
      <c r="Q491" s="47">
        <f>Q492</f>
        <v>0</v>
      </c>
      <c r="R491" s="18">
        <f t="shared" si="118"/>
        <v>0</v>
      </c>
      <c r="S491" s="47">
        <f>S492</f>
        <v>0</v>
      </c>
      <c r="T491" s="18">
        <f t="shared" si="119"/>
        <v>0</v>
      </c>
      <c r="U491" s="47">
        <f>U492</f>
        <v>0</v>
      </c>
      <c r="V491" s="18">
        <f t="shared" si="120"/>
        <v>0</v>
      </c>
      <c r="W491" s="47">
        <f>W492</f>
        <v>0</v>
      </c>
      <c r="X491" s="18">
        <f t="shared" si="121"/>
        <v>0</v>
      </c>
    </row>
    <row r="492" spans="1:27" hidden="1" x14ac:dyDescent="0.25">
      <c r="A492" s="7" t="s">
        <v>54</v>
      </c>
      <c r="B492" s="67" t="s">
        <v>598</v>
      </c>
      <c r="C492" s="25" t="s">
        <v>34</v>
      </c>
      <c r="D492" s="19"/>
      <c r="E492" s="19"/>
      <c r="F492" s="18"/>
      <c r="G492" s="44">
        <v>180</v>
      </c>
      <c r="H492" s="18">
        <f t="shared" si="113"/>
        <v>180</v>
      </c>
      <c r="I492" s="64"/>
      <c r="J492" s="18">
        <f t="shared" si="114"/>
        <v>180</v>
      </c>
      <c r="K492" s="96">
        <v>-180</v>
      </c>
      <c r="L492" s="18">
        <f t="shared" si="115"/>
        <v>0</v>
      </c>
      <c r="M492" s="64"/>
      <c r="N492" s="18">
        <f t="shared" si="116"/>
        <v>0</v>
      </c>
      <c r="O492" s="64"/>
      <c r="P492" s="18">
        <f t="shared" si="117"/>
        <v>0</v>
      </c>
      <c r="Q492" s="64"/>
      <c r="R492" s="18">
        <f t="shared" si="118"/>
        <v>0</v>
      </c>
      <c r="S492" s="64"/>
      <c r="T492" s="18">
        <f t="shared" si="119"/>
        <v>0</v>
      </c>
      <c r="U492" s="64"/>
      <c r="V492" s="18">
        <f t="shared" si="120"/>
        <v>0</v>
      </c>
      <c r="W492" s="64"/>
      <c r="X492" s="18">
        <f t="shared" si="121"/>
        <v>0</v>
      </c>
      <c r="Z492" s="43">
        <f>X492+Y492</f>
        <v>0</v>
      </c>
      <c r="AA492" s="43"/>
    </row>
    <row r="493" spans="1:27" ht="24" hidden="1" x14ac:dyDescent="0.25">
      <c r="A493" s="70" t="s">
        <v>619</v>
      </c>
      <c r="B493" s="74" t="s">
        <v>599</v>
      </c>
      <c r="D493" s="19"/>
      <c r="E493" s="19"/>
      <c r="F493" s="18"/>
      <c r="G493" s="18">
        <f>G494</f>
        <v>70</v>
      </c>
      <c r="H493" s="18">
        <f t="shared" si="113"/>
        <v>70</v>
      </c>
      <c r="I493" s="47">
        <f>I494</f>
        <v>0</v>
      </c>
      <c r="J493" s="18">
        <f t="shared" si="114"/>
        <v>70</v>
      </c>
      <c r="K493" s="47">
        <f>K494</f>
        <v>-70</v>
      </c>
      <c r="L493" s="18">
        <f t="shared" si="115"/>
        <v>0</v>
      </c>
      <c r="M493" s="47">
        <f>M494</f>
        <v>0</v>
      </c>
      <c r="N493" s="18">
        <f t="shared" si="116"/>
        <v>0</v>
      </c>
      <c r="O493" s="47">
        <f>O494</f>
        <v>0</v>
      </c>
      <c r="P493" s="18">
        <f t="shared" si="117"/>
        <v>0</v>
      </c>
      <c r="Q493" s="47">
        <f>Q494</f>
        <v>0</v>
      </c>
      <c r="R493" s="18">
        <f t="shared" si="118"/>
        <v>0</v>
      </c>
      <c r="S493" s="47">
        <f>S494</f>
        <v>0</v>
      </c>
      <c r="T493" s="18">
        <f t="shared" si="119"/>
        <v>0</v>
      </c>
      <c r="U493" s="47">
        <f>U494</f>
        <v>0</v>
      </c>
      <c r="V493" s="18">
        <f t="shared" si="120"/>
        <v>0</v>
      </c>
      <c r="W493" s="47">
        <f>W494</f>
        <v>0</v>
      </c>
      <c r="X493" s="18">
        <f t="shared" si="121"/>
        <v>0</v>
      </c>
    </row>
    <row r="494" spans="1:27" hidden="1" x14ac:dyDescent="0.25">
      <c r="A494" s="9" t="s">
        <v>511</v>
      </c>
      <c r="B494" s="67" t="s">
        <v>599</v>
      </c>
      <c r="C494" s="25" t="s">
        <v>66</v>
      </c>
      <c r="D494" s="19"/>
      <c r="E494" s="19"/>
      <c r="F494" s="18"/>
      <c r="G494" s="44">
        <v>70</v>
      </c>
      <c r="H494" s="18">
        <f t="shared" si="113"/>
        <v>70</v>
      </c>
      <c r="I494" s="64"/>
      <c r="J494" s="18">
        <f t="shared" si="114"/>
        <v>70</v>
      </c>
      <c r="K494" s="96">
        <v>-70</v>
      </c>
      <c r="L494" s="18">
        <f t="shared" si="115"/>
        <v>0</v>
      </c>
      <c r="M494" s="64"/>
      <c r="N494" s="18">
        <f t="shared" si="116"/>
        <v>0</v>
      </c>
      <c r="O494" s="64"/>
      <c r="P494" s="18">
        <f t="shared" si="117"/>
        <v>0</v>
      </c>
      <c r="Q494" s="64"/>
      <c r="R494" s="18">
        <f t="shared" si="118"/>
        <v>0</v>
      </c>
      <c r="S494" s="64"/>
      <c r="T494" s="18">
        <f t="shared" si="119"/>
        <v>0</v>
      </c>
      <c r="U494" s="64"/>
      <c r="V494" s="18">
        <f t="shared" si="120"/>
        <v>0</v>
      </c>
      <c r="W494" s="64"/>
      <c r="X494" s="18">
        <f t="shared" si="121"/>
        <v>0</v>
      </c>
      <c r="Z494" s="43">
        <f>X494+Y494</f>
        <v>0</v>
      </c>
      <c r="AA494" s="43"/>
    </row>
    <row r="495" spans="1:27" hidden="1" x14ac:dyDescent="0.25">
      <c r="A495" s="69" t="s">
        <v>620</v>
      </c>
      <c r="B495" s="74" t="s">
        <v>600</v>
      </c>
      <c r="D495" s="19"/>
      <c r="E495" s="19"/>
      <c r="F495" s="18"/>
      <c r="G495" s="18">
        <f>G496</f>
        <v>68.8</v>
      </c>
      <c r="H495" s="18">
        <f t="shared" si="113"/>
        <v>68.8</v>
      </c>
      <c r="I495" s="47">
        <f>I496</f>
        <v>0</v>
      </c>
      <c r="J495" s="18">
        <f t="shared" si="114"/>
        <v>68.8</v>
      </c>
      <c r="K495" s="47">
        <f>K496</f>
        <v>-68.8</v>
      </c>
      <c r="L495" s="18">
        <f t="shared" si="115"/>
        <v>0</v>
      </c>
      <c r="M495" s="47">
        <f>M496</f>
        <v>0</v>
      </c>
      <c r="N495" s="18">
        <f t="shared" si="116"/>
        <v>0</v>
      </c>
      <c r="O495" s="47">
        <f>O496</f>
        <v>0</v>
      </c>
      <c r="P495" s="18">
        <f t="shared" si="117"/>
        <v>0</v>
      </c>
      <c r="Q495" s="47">
        <f>Q496</f>
        <v>0</v>
      </c>
      <c r="R495" s="18">
        <f t="shared" si="118"/>
        <v>0</v>
      </c>
      <c r="S495" s="47">
        <f>S496</f>
        <v>0</v>
      </c>
      <c r="T495" s="18">
        <f t="shared" si="119"/>
        <v>0</v>
      </c>
      <c r="U495" s="47">
        <f>U496</f>
        <v>0</v>
      </c>
      <c r="V495" s="18">
        <f t="shared" si="120"/>
        <v>0</v>
      </c>
      <c r="W495" s="47">
        <f>W496</f>
        <v>0</v>
      </c>
      <c r="X495" s="18">
        <f t="shared" si="121"/>
        <v>0</v>
      </c>
    </row>
    <row r="496" spans="1:27" hidden="1" x14ac:dyDescent="0.25">
      <c r="A496" s="7" t="s">
        <v>54</v>
      </c>
      <c r="B496" s="67" t="s">
        <v>600</v>
      </c>
      <c r="C496" s="25" t="s">
        <v>34</v>
      </c>
      <c r="D496" s="19"/>
      <c r="E496" s="19"/>
      <c r="F496" s="18"/>
      <c r="G496" s="44">
        <v>68.8</v>
      </c>
      <c r="H496" s="18">
        <f t="shared" si="113"/>
        <v>68.8</v>
      </c>
      <c r="I496" s="64"/>
      <c r="J496" s="18">
        <f t="shared" si="114"/>
        <v>68.8</v>
      </c>
      <c r="K496" s="96">
        <v>-68.8</v>
      </c>
      <c r="L496" s="18">
        <f t="shared" si="115"/>
        <v>0</v>
      </c>
      <c r="M496" s="64"/>
      <c r="N496" s="18">
        <f t="shared" si="116"/>
        <v>0</v>
      </c>
      <c r="O496" s="64"/>
      <c r="P496" s="18">
        <f t="shared" si="117"/>
        <v>0</v>
      </c>
      <c r="Q496" s="64"/>
      <c r="R496" s="18">
        <f t="shared" si="118"/>
        <v>0</v>
      </c>
      <c r="S496" s="64"/>
      <c r="T496" s="18">
        <f t="shared" si="119"/>
        <v>0</v>
      </c>
      <c r="U496" s="64"/>
      <c r="V496" s="18">
        <f t="shared" si="120"/>
        <v>0</v>
      </c>
      <c r="W496" s="64"/>
      <c r="X496" s="18">
        <f t="shared" si="121"/>
        <v>0</v>
      </c>
      <c r="Z496" s="43">
        <f>X496+Y496</f>
        <v>0</v>
      </c>
      <c r="AA496" s="43"/>
    </row>
    <row r="497" spans="1:27" x14ac:dyDescent="0.25">
      <c r="A497" s="70" t="s">
        <v>621</v>
      </c>
      <c r="B497" s="115" t="s">
        <v>772</v>
      </c>
      <c r="D497" s="19"/>
      <c r="E497" s="19"/>
      <c r="F497" s="18"/>
      <c r="G497" s="18">
        <f>G498</f>
        <v>66.2</v>
      </c>
      <c r="H497" s="18">
        <f t="shared" si="113"/>
        <v>66.2</v>
      </c>
      <c r="I497" s="47">
        <f>I498</f>
        <v>0</v>
      </c>
      <c r="J497" s="18">
        <f t="shared" si="114"/>
        <v>66.2</v>
      </c>
      <c r="K497" s="47">
        <f>K498</f>
        <v>132.4</v>
      </c>
      <c r="L497" s="18">
        <f t="shared" si="115"/>
        <v>198.60000000000002</v>
      </c>
      <c r="M497" s="47">
        <f>M498</f>
        <v>441.3</v>
      </c>
      <c r="N497" s="18">
        <f t="shared" si="116"/>
        <v>639.90000000000009</v>
      </c>
      <c r="O497" s="47">
        <f>O498</f>
        <v>0</v>
      </c>
      <c r="P497" s="18">
        <f t="shared" si="117"/>
        <v>639.90000000000009</v>
      </c>
      <c r="Q497" s="47">
        <f>Q498</f>
        <v>0</v>
      </c>
      <c r="R497" s="18">
        <f t="shared" si="118"/>
        <v>639.90000000000009</v>
      </c>
      <c r="S497" s="47">
        <f>S498</f>
        <v>0</v>
      </c>
      <c r="T497" s="18">
        <f t="shared" si="119"/>
        <v>639.90000000000009</v>
      </c>
      <c r="U497" s="47">
        <f>U498</f>
        <v>0</v>
      </c>
      <c r="V497" s="18">
        <f t="shared" si="120"/>
        <v>639.90000000000009</v>
      </c>
      <c r="W497" s="47">
        <f>W498</f>
        <v>0</v>
      </c>
      <c r="X497" s="18">
        <f t="shared" si="121"/>
        <v>639.90000000000009</v>
      </c>
    </row>
    <row r="498" spans="1:27" x14ac:dyDescent="0.25">
      <c r="A498" s="9" t="s">
        <v>511</v>
      </c>
      <c r="B498" s="86" t="s">
        <v>772</v>
      </c>
      <c r="C498" s="25" t="s">
        <v>66</v>
      </c>
      <c r="D498" s="19"/>
      <c r="E498" s="19"/>
      <c r="F498" s="18"/>
      <c r="G498" s="44">
        <v>66.2</v>
      </c>
      <c r="H498" s="18">
        <f t="shared" si="113"/>
        <v>66.2</v>
      </c>
      <c r="I498" s="64"/>
      <c r="J498" s="18">
        <f t="shared" si="114"/>
        <v>66.2</v>
      </c>
      <c r="K498" s="96">
        <v>132.4</v>
      </c>
      <c r="L498" s="18">
        <f t="shared" si="115"/>
        <v>198.60000000000002</v>
      </c>
      <c r="M498" s="45">
        <v>441.3</v>
      </c>
      <c r="N498" s="18">
        <f t="shared" si="116"/>
        <v>639.90000000000009</v>
      </c>
      <c r="O498" s="64"/>
      <c r="P498" s="18">
        <f t="shared" si="117"/>
        <v>639.90000000000009</v>
      </c>
      <c r="Q498" s="64"/>
      <c r="R498" s="18">
        <f t="shared" si="118"/>
        <v>639.90000000000009</v>
      </c>
      <c r="S498" s="64"/>
      <c r="T498" s="18">
        <f t="shared" si="119"/>
        <v>639.90000000000009</v>
      </c>
      <c r="U498" s="64"/>
      <c r="V498" s="18">
        <f t="shared" si="120"/>
        <v>639.90000000000009</v>
      </c>
      <c r="W498" s="64"/>
      <c r="X498" s="18">
        <f t="shared" si="121"/>
        <v>639.90000000000009</v>
      </c>
      <c r="Z498" s="43">
        <f>X498+Y498</f>
        <v>639.90000000000009</v>
      </c>
      <c r="AA498" s="43"/>
    </row>
    <row r="499" spans="1:27" ht="36" hidden="1" x14ac:dyDescent="0.25">
      <c r="A499" s="69" t="s">
        <v>622</v>
      </c>
      <c r="B499" s="74" t="s">
        <v>601</v>
      </c>
      <c r="D499" s="19"/>
      <c r="E499" s="19"/>
      <c r="F499" s="18"/>
      <c r="G499" s="18">
        <f>G500</f>
        <v>95.7</v>
      </c>
      <c r="H499" s="18">
        <f t="shared" si="113"/>
        <v>95.7</v>
      </c>
      <c r="I499" s="47">
        <f>I500</f>
        <v>0</v>
      </c>
      <c r="J499" s="18">
        <f t="shared" si="114"/>
        <v>95.7</v>
      </c>
      <c r="K499" s="47">
        <f>K500</f>
        <v>-95.7</v>
      </c>
      <c r="L499" s="18">
        <f t="shared" si="115"/>
        <v>0</v>
      </c>
      <c r="M499" s="47">
        <f>M500</f>
        <v>0</v>
      </c>
      <c r="N499" s="18">
        <f t="shared" si="116"/>
        <v>0</v>
      </c>
      <c r="O499" s="47">
        <f>O500</f>
        <v>0</v>
      </c>
      <c r="P499" s="18">
        <f t="shared" si="117"/>
        <v>0</v>
      </c>
      <c r="Q499" s="47">
        <f>Q500</f>
        <v>0</v>
      </c>
      <c r="R499" s="18">
        <f t="shared" si="118"/>
        <v>0</v>
      </c>
      <c r="S499" s="47">
        <f>S500</f>
        <v>0</v>
      </c>
      <c r="T499" s="18">
        <f t="shared" si="119"/>
        <v>0</v>
      </c>
      <c r="U499" s="47">
        <f>U500</f>
        <v>0</v>
      </c>
      <c r="V499" s="18">
        <f t="shared" si="120"/>
        <v>0</v>
      </c>
      <c r="W499" s="47">
        <f>W500</f>
        <v>0</v>
      </c>
      <c r="X499" s="18">
        <f t="shared" si="121"/>
        <v>0</v>
      </c>
    </row>
    <row r="500" spans="1:27" hidden="1" x14ac:dyDescent="0.25">
      <c r="A500" s="7" t="s">
        <v>54</v>
      </c>
      <c r="B500" s="67" t="s">
        <v>601</v>
      </c>
      <c r="C500" s="25" t="s">
        <v>34</v>
      </c>
      <c r="D500" s="19"/>
      <c r="E500" s="19"/>
      <c r="F500" s="18"/>
      <c r="G500" s="44">
        <v>95.7</v>
      </c>
      <c r="H500" s="18">
        <f t="shared" si="113"/>
        <v>95.7</v>
      </c>
      <c r="I500" s="64"/>
      <c r="J500" s="18">
        <f t="shared" si="114"/>
        <v>95.7</v>
      </c>
      <c r="K500" s="96">
        <v>-95.7</v>
      </c>
      <c r="L500" s="18">
        <f t="shared" si="115"/>
        <v>0</v>
      </c>
      <c r="M500" s="64"/>
      <c r="N500" s="18">
        <f t="shared" si="116"/>
        <v>0</v>
      </c>
      <c r="O500" s="64"/>
      <c r="P500" s="18">
        <f t="shared" si="117"/>
        <v>0</v>
      </c>
      <c r="Q500" s="64"/>
      <c r="R500" s="18">
        <f t="shared" si="118"/>
        <v>0</v>
      </c>
      <c r="S500" s="64"/>
      <c r="T500" s="18">
        <f t="shared" si="119"/>
        <v>0</v>
      </c>
      <c r="U500" s="64"/>
      <c r="V500" s="18">
        <f t="shared" si="120"/>
        <v>0</v>
      </c>
      <c r="W500" s="64"/>
      <c r="X500" s="18">
        <f t="shared" si="121"/>
        <v>0</v>
      </c>
      <c r="Z500" s="43">
        <f>X500+Y500</f>
        <v>0</v>
      </c>
      <c r="AA500" s="43"/>
    </row>
    <row r="501" spans="1:27" hidden="1" x14ac:dyDescent="0.25">
      <c r="A501" s="71" t="s">
        <v>623</v>
      </c>
      <c r="B501" s="74" t="s">
        <v>602</v>
      </c>
      <c r="D501" s="19"/>
      <c r="E501" s="19"/>
      <c r="F501" s="18"/>
      <c r="G501" s="18">
        <f>G502</f>
        <v>35</v>
      </c>
      <c r="H501" s="18">
        <f t="shared" si="113"/>
        <v>35</v>
      </c>
      <c r="I501" s="47">
        <f>I502</f>
        <v>0</v>
      </c>
      <c r="J501" s="18">
        <f t="shared" si="114"/>
        <v>35</v>
      </c>
      <c r="K501" s="47">
        <f>K502</f>
        <v>-35</v>
      </c>
      <c r="L501" s="18">
        <f t="shared" si="115"/>
        <v>0</v>
      </c>
      <c r="M501" s="47">
        <f>M502</f>
        <v>0</v>
      </c>
      <c r="N501" s="18">
        <f t="shared" si="116"/>
        <v>0</v>
      </c>
      <c r="O501" s="47">
        <f>O502</f>
        <v>0</v>
      </c>
      <c r="P501" s="18">
        <f t="shared" si="117"/>
        <v>0</v>
      </c>
      <c r="Q501" s="47">
        <f>Q502</f>
        <v>0</v>
      </c>
      <c r="R501" s="18">
        <f t="shared" si="118"/>
        <v>0</v>
      </c>
      <c r="S501" s="47">
        <f>S502</f>
        <v>0</v>
      </c>
      <c r="T501" s="18">
        <f t="shared" si="119"/>
        <v>0</v>
      </c>
      <c r="U501" s="47">
        <f>U502</f>
        <v>0</v>
      </c>
      <c r="V501" s="18">
        <f t="shared" si="120"/>
        <v>0</v>
      </c>
      <c r="W501" s="47">
        <f>W502</f>
        <v>0</v>
      </c>
      <c r="X501" s="18">
        <f t="shared" si="121"/>
        <v>0</v>
      </c>
    </row>
    <row r="502" spans="1:27" hidden="1" x14ac:dyDescent="0.25">
      <c r="A502" s="7" t="s">
        <v>54</v>
      </c>
      <c r="B502" s="67" t="s">
        <v>602</v>
      </c>
      <c r="C502" s="25" t="s">
        <v>34</v>
      </c>
      <c r="D502" s="19"/>
      <c r="E502" s="19"/>
      <c r="F502" s="18"/>
      <c r="G502" s="44">
        <v>35</v>
      </c>
      <c r="H502" s="18">
        <f t="shared" si="113"/>
        <v>35</v>
      </c>
      <c r="I502" s="64"/>
      <c r="J502" s="18">
        <f t="shared" si="114"/>
        <v>35</v>
      </c>
      <c r="K502" s="96">
        <v>-35</v>
      </c>
      <c r="L502" s="18">
        <f t="shared" si="115"/>
        <v>0</v>
      </c>
      <c r="M502" s="64"/>
      <c r="N502" s="18">
        <f t="shared" si="116"/>
        <v>0</v>
      </c>
      <c r="O502" s="64"/>
      <c r="P502" s="18">
        <f t="shared" si="117"/>
        <v>0</v>
      </c>
      <c r="Q502" s="64"/>
      <c r="R502" s="18">
        <f t="shared" si="118"/>
        <v>0</v>
      </c>
      <c r="S502" s="64"/>
      <c r="T502" s="18">
        <f t="shared" si="119"/>
        <v>0</v>
      </c>
      <c r="U502" s="64"/>
      <c r="V502" s="18">
        <f t="shared" si="120"/>
        <v>0</v>
      </c>
      <c r="W502" s="64"/>
      <c r="X502" s="18">
        <f t="shared" si="121"/>
        <v>0</v>
      </c>
      <c r="Z502" s="43">
        <f>X502+Y502</f>
        <v>0</v>
      </c>
      <c r="AA502" s="43"/>
    </row>
    <row r="503" spans="1:27" hidden="1" x14ac:dyDescent="0.25">
      <c r="A503" s="71" t="s">
        <v>624</v>
      </c>
      <c r="B503" s="74" t="s">
        <v>603</v>
      </c>
      <c r="D503" s="19"/>
      <c r="E503" s="19"/>
      <c r="F503" s="18"/>
      <c r="G503" s="18">
        <f>G504</f>
        <v>63.7</v>
      </c>
      <c r="H503" s="18">
        <f t="shared" si="113"/>
        <v>63.7</v>
      </c>
      <c r="I503" s="18">
        <f>I504</f>
        <v>0</v>
      </c>
      <c r="J503" s="18">
        <f t="shared" si="114"/>
        <v>63.7</v>
      </c>
      <c r="K503" s="18">
        <f>K504</f>
        <v>-63.7</v>
      </c>
      <c r="L503" s="18">
        <f t="shared" si="115"/>
        <v>0</v>
      </c>
      <c r="M503" s="18">
        <f>M504</f>
        <v>0</v>
      </c>
      <c r="N503" s="18">
        <f t="shared" si="116"/>
        <v>0</v>
      </c>
      <c r="O503" s="18">
        <f>O504</f>
        <v>0</v>
      </c>
      <c r="P503" s="18">
        <f t="shared" si="117"/>
        <v>0</v>
      </c>
      <c r="Q503" s="18">
        <f>Q504</f>
        <v>0</v>
      </c>
      <c r="R503" s="18">
        <f t="shared" si="118"/>
        <v>0</v>
      </c>
      <c r="S503" s="18">
        <f>S504</f>
        <v>0</v>
      </c>
      <c r="T503" s="18">
        <f t="shared" si="119"/>
        <v>0</v>
      </c>
      <c r="U503" s="18">
        <f>U504</f>
        <v>0</v>
      </c>
      <c r="V503" s="18">
        <f t="shared" si="120"/>
        <v>0</v>
      </c>
      <c r="W503" s="18">
        <f>W504</f>
        <v>0</v>
      </c>
      <c r="X503" s="18">
        <f t="shared" si="121"/>
        <v>0</v>
      </c>
    </row>
    <row r="504" spans="1:27" hidden="1" x14ac:dyDescent="0.25">
      <c r="A504" s="7" t="s">
        <v>54</v>
      </c>
      <c r="B504" s="67" t="s">
        <v>603</v>
      </c>
      <c r="C504" s="25" t="s">
        <v>34</v>
      </c>
      <c r="D504" s="19"/>
      <c r="E504" s="19"/>
      <c r="F504" s="18"/>
      <c r="G504" s="44">
        <v>63.7</v>
      </c>
      <c r="H504" s="18">
        <f t="shared" si="113"/>
        <v>63.7</v>
      </c>
      <c r="I504" s="64"/>
      <c r="J504" s="18">
        <f t="shared" si="114"/>
        <v>63.7</v>
      </c>
      <c r="K504" s="96">
        <v>-63.7</v>
      </c>
      <c r="L504" s="18">
        <f t="shared" si="115"/>
        <v>0</v>
      </c>
      <c r="M504" s="64"/>
      <c r="N504" s="18">
        <f t="shared" si="116"/>
        <v>0</v>
      </c>
      <c r="O504" s="64"/>
      <c r="P504" s="18">
        <f t="shared" si="117"/>
        <v>0</v>
      </c>
      <c r="Q504" s="64"/>
      <c r="R504" s="18">
        <f t="shared" si="118"/>
        <v>0</v>
      </c>
      <c r="S504" s="64"/>
      <c r="T504" s="18">
        <f t="shared" si="119"/>
        <v>0</v>
      </c>
      <c r="U504" s="64"/>
      <c r="V504" s="18">
        <f t="shared" si="120"/>
        <v>0</v>
      </c>
      <c r="W504" s="64"/>
      <c r="X504" s="18">
        <f t="shared" si="121"/>
        <v>0</v>
      </c>
      <c r="Z504" s="43">
        <f>X504+Y504</f>
        <v>0</v>
      </c>
      <c r="AA504" s="43"/>
    </row>
    <row r="505" spans="1:27" hidden="1" x14ac:dyDescent="0.25">
      <c r="A505" s="71" t="s">
        <v>625</v>
      </c>
      <c r="B505" s="74" t="s">
        <v>604</v>
      </c>
      <c r="D505" s="19"/>
      <c r="E505" s="19"/>
      <c r="F505" s="18"/>
      <c r="G505" s="18">
        <f>G506</f>
        <v>107.3</v>
      </c>
      <c r="H505" s="18">
        <f t="shared" si="113"/>
        <v>107.3</v>
      </c>
      <c r="I505" s="47">
        <f>I506</f>
        <v>0</v>
      </c>
      <c r="J505" s="18">
        <f t="shared" si="114"/>
        <v>107.3</v>
      </c>
      <c r="K505" s="47">
        <f>K506</f>
        <v>-107.3</v>
      </c>
      <c r="L505" s="18">
        <f t="shared" si="115"/>
        <v>0</v>
      </c>
      <c r="M505" s="47">
        <f>M506</f>
        <v>0</v>
      </c>
      <c r="N505" s="18">
        <f t="shared" si="116"/>
        <v>0</v>
      </c>
      <c r="O505" s="47">
        <f>O506</f>
        <v>0</v>
      </c>
      <c r="P505" s="18">
        <f t="shared" si="117"/>
        <v>0</v>
      </c>
      <c r="Q505" s="47">
        <f>Q506</f>
        <v>0</v>
      </c>
      <c r="R505" s="18">
        <f t="shared" si="118"/>
        <v>0</v>
      </c>
      <c r="S505" s="47">
        <f>S506</f>
        <v>0</v>
      </c>
      <c r="T505" s="18">
        <f t="shared" si="119"/>
        <v>0</v>
      </c>
      <c r="U505" s="47">
        <f>U506</f>
        <v>0</v>
      </c>
      <c r="V505" s="18">
        <f t="shared" si="120"/>
        <v>0</v>
      </c>
      <c r="W505" s="47">
        <f>W506</f>
        <v>0</v>
      </c>
      <c r="X505" s="18">
        <f t="shared" si="121"/>
        <v>0</v>
      </c>
    </row>
    <row r="506" spans="1:27" hidden="1" x14ac:dyDescent="0.25">
      <c r="A506" s="7" t="s">
        <v>54</v>
      </c>
      <c r="B506" s="67" t="s">
        <v>604</v>
      </c>
      <c r="C506" s="25" t="s">
        <v>34</v>
      </c>
      <c r="D506" s="19"/>
      <c r="E506" s="19"/>
      <c r="F506" s="18"/>
      <c r="G506" s="44">
        <v>107.3</v>
      </c>
      <c r="H506" s="18">
        <f t="shared" si="113"/>
        <v>107.3</v>
      </c>
      <c r="I506" s="64"/>
      <c r="J506" s="18">
        <f t="shared" si="114"/>
        <v>107.3</v>
      </c>
      <c r="K506" s="96">
        <v>-107.3</v>
      </c>
      <c r="L506" s="18">
        <f t="shared" si="115"/>
        <v>0</v>
      </c>
      <c r="M506" s="64"/>
      <c r="N506" s="18">
        <f t="shared" si="116"/>
        <v>0</v>
      </c>
      <c r="O506" s="64"/>
      <c r="P506" s="18">
        <f t="shared" si="117"/>
        <v>0</v>
      </c>
      <c r="Q506" s="64"/>
      <c r="R506" s="18">
        <f t="shared" si="118"/>
        <v>0</v>
      </c>
      <c r="S506" s="64"/>
      <c r="T506" s="18">
        <f t="shared" si="119"/>
        <v>0</v>
      </c>
      <c r="U506" s="64"/>
      <c r="V506" s="18">
        <f t="shared" si="120"/>
        <v>0</v>
      </c>
      <c r="W506" s="64"/>
      <c r="X506" s="18">
        <f t="shared" si="121"/>
        <v>0</v>
      </c>
      <c r="Z506" s="43">
        <f>X506+Y506</f>
        <v>0</v>
      </c>
      <c r="AA506" s="43"/>
    </row>
    <row r="507" spans="1:27" ht="36" x14ac:dyDescent="0.25">
      <c r="A507" s="71" t="s">
        <v>626</v>
      </c>
      <c r="B507" s="74" t="s">
        <v>760</v>
      </c>
      <c r="D507" s="19"/>
      <c r="E507" s="19"/>
      <c r="F507" s="18"/>
      <c r="G507" s="18">
        <f>G508</f>
        <v>180</v>
      </c>
      <c r="H507" s="18">
        <f t="shared" si="113"/>
        <v>180</v>
      </c>
      <c r="I507" s="47">
        <f>I508</f>
        <v>0</v>
      </c>
      <c r="J507" s="18">
        <f t="shared" si="114"/>
        <v>180</v>
      </c>
      <c r="K507" s="47">
        <f>K508</f>
        <v>360</v>
      </c>
      <c r="L507" s="18">
        <f t="shared" si="115"/>
        <v>540</v>
      </c>
      <c r="M507" s="47">
        <f>M508</f>
        <v>1200</v>
      </c>
      <c r="N507" s="18">
        <f t="shared" si="116"/>
        <v>1740</v>
      </c>
      <c r="O507" s="47">
        <f>O508</f>
        <v>0</v>
      </c>
      <c r="P507" s="18">
        <f t="shared" si="117"/>
        <v>1740</v>
      </c>
      <c r="Q507" s="47">
        <f>Q508</f>
        <v>0</v>
      </c>
      <c r="R507" s="18">
        <f t="shared" si="118"/>
        <v>1740</v>
      </c>
      <c r="S507" s="47">
        <f>S508</f>
        <v>0</v>
      </c>
      <c r="T507" s="18">
        <f t="shared" si="119"/>
        <v>1740</v>
      </c>
      <c r="U507" s="47">
        <f>U508</f>
        <v>0</v>
      </c>
      <c r="V507" s="18">
        <f t="shared" si="120"/>
        <v>1740</v>
      </c>
      <c r="W507" s="47">
        <f>W508</f>
        <v>0</v>
      </c>
      <c r="X507" s="18">
        <f t="shared" si="121"/>
        <v>1740</v>
      </c>
    </row>
    <row r="508" spans="1:27" x14ac:dyDescent="0.25">
      <c r="A508" s="7" t="s">
        <v>54</v>
      </c>
      <c r="B508" s="67" t="s">
        <v>760</v>
      </c>
      <c r="C508" s="25" t="s">
        <v>34</v>
      </c>
      <c r="D508" s="19"/>
      <c r="E508" s="19"/>
      <c r="F508" s="18"/>
      <c r="G508" s="44">
        <v>180</v>
      </c>
      <c r="H508" s="18">
        <f t="shared" si="113"/>
        <v>180</v>
      </c>
      <c r="I508" s="64"/>
      <c r="J508" s="18">
        <f t="shared" si="114"/>
        <v>180</v>
      </c>
      <c r="K508" s="96">
        <v>360</v>
      </c>
      <c r="L508" s="18">
        <f t="shared" si="115"/>
        <v>540</v>
      </c>
      <c r="M508" s="45">
        <v>1200</v>
      </c>
      <c r="N508" s="18">
        <f t="shared" si="116"/>
        <v>1740</v>
      </c>
      <c r="O508" s="64"/>
      <c r="P508" s="18">
        <f t="shared" si="117"/>
        <v>1740</v>
      </c>
      <c r="Q508" s="64"/>
      <c r="R508" s="18">
        <f t="shared" si="118"/>
        <v>1740</v>
      </c>
      <c r="S508" s="64"/>
      <c r="T508" s="18">
        <f t="shared" si="119"/>
        <v>1740</v>
      </c>
      <c r="U508" s="64"/>
      <c r="V508" s="18">
        <f t="shared" si="120"/>
        <v>1740</v>
      </c>
      <c r="W508" s="64"/>
      <c r="X508" s="18">
        <f t="shared" si="121"/>
        <v>1740</v>
      </c>
      <c r="Z508" s="43">
        <f>X508+Y508</f>
        <v>1740</v>
      </c>
      <c r="AA508" s="43"/>
    </row>
    <row r="509" spans="1:27" x14ac:dyDescent="0.25">
      <c r="A509" s="71" t="s">
        <v>627</v>
      </c>
      <c r="B509" s="74" t="s">
        <v>761</v>
      </c>
      <c r="D509" s="19"/>
      <c r="E509" s="19"/>
      <c r="F509" s="18"/>
      <c r="G509" s="18">
        <f>G510</f>
        <v>180</v>
      </c>
      <c r="H509" s="18">
        <f t="shared" si="113"/>
        <v>180</v>
      </c>
      <c r="I509" s="47">
        <f>I510</f>
        <v>0</v>
      </c>
      <c r="J509" s="18">
        <f t="shared" si="114"/>
        <v>180</v>
      </c>
      <c r="K509" s="47">
        <f>K510</f>
        <v>360</v>
      </c>
      <c r="L509" s="18">
        <f t="shared" si="115"/>
        <v>540</v>
      </c>
      <c r="M509" s="47">
        <f>M510</f>
        <v>1200</v>
      </c>
      <c r="N509" s="18">
        <f t="shared" si="116"/>
        <v>1740</v>
      </c>
      <c r="O509" s="47">
        <f>O510</f>
        <v>0</v>
      </c>
      <c r="P509" s="18">
        <f t="shared" si="117"/>
        <v>1740</v>
      </c>
      <c r="Q509" s="47">
        <f>Q510</f>
        <v>0</v>
      </c>
      <c r="R509" s="18">
        <f t="shared" si="118"/>
        <v>1740</v>
      </c>
      <c r="S509" s="47">
        <f>S510</f>
        <v>0</v>
      </c>
      <c r="T509" s="18">
        <f t="shared" si="119"/>
        <v>1740</v>
      </c>
      <c r="U509" s="47">
        <f>U510</f>
        <v>0</v>
      </c>
      <c r="V509" s="18">
        <f t="shared" si="120"/>
        <v>1740</v>
      </c>
      <c r="W509" s="47">
        <f>W510</f>
        <v>0</v>
      </c>
      <c r="X509" s="18">
        <f t="shared" si="121"/>
        <v>1740</v>
      </c>
    </row>
    <row r="510" spans="1:27" x14ac:dyDescent="0.25">
      <c r="A510" s="7" t="s">
        <v>54</v>
      </c>
      <c r="B510" s="67" t="s">
        <v>761</v>
      </c>
      <c r="C510" s="25" t="s">
        <v>34</v>
      </c>
      <c r="D510" s="19"/>
      <c r="E510" s="19"/>
      <c r="F510" s="18"/>
      <c r="G510" s="44">
        <v>180</v>
      </c>
      <c r="H510" s="18">
        <f t="shared" si="113"/>
        <v>180</v>
      </c>
      <c r="I510" s="64"/>
      <c r="J510" s="18">
        <f t="shared" si="114"/>
        <v>180</v>
      </c>
      <c r="K510" s="96">
        <v>360</v>
      </c>
      <c r="L510" s="18">
        <f t="shared" si="115"/>
        <v>540</v>
      </c>
      <c r="M510" s="45">
        <v>1200</v>
      </c>
      <c r="N510" s="18">
        <f t="shared" si="116"/>
        <v>1740</v>
      </c>
      <c r="O510" s="64"/>
      <c r="P510" s="18">
        <f t="shared" si="117"/>
        <v>1740</v>
      </c>
      <c r="Q510" s="64"/>
      <c r="R510" s="18">
        <f t="shared" si="118"/>
        <v>1740</v>
      </c>
      <c r="S510" s="64"/>
      <c r="T510" s="18">
        <f t="shared" si="119"/>
        <v>1740</v>
      </c>
      <c r="U510" s="64"/>
      <c r="V510" s="18">
        <f t="shared" si="120"/>
        <v>1740</v>
      </c>
      <c r="W510" s="64"/>
      <c r="X510" s="18">
        <f t="shared" si="121"/>
        <v>1740</v>
      </c>
      <c r="Z510" s="43">
        <f>X510+Y510</f>
        <v>1740</v>
      </c>
      <c r="AA510" s="43"/>
    </row>
    <row r="511" spans="1:27" ht="24" x14ac:dyDescent="0.25">
      <c r="A511" s="72" t="s">
        <v>628</v>
      </c>
      <c r="B511" s="74" t="s">
        <v>1145</v>
      </c>
      <c r="D511" s="19"/>
      <c r="E511" s="19"/>
      <c r="F511" s="18"/>
      <c r="G511" s="18">
        <f>G512</f>
        <v>180</v>
      </c>
      <c r="H511" s="18">
        <f t="shared" si="113"/>
        <v>180</v>
      </c>
      <c r="I511" s="47">
        <f>I512</f>
        <v>0</v>
      </c>
      <c r="J511" s="18">
        <f t="shared" si="114"/>
        <v>180</v>
      </c>
      <c r="K511" s="47">
        <f>K512</f>
        <v>360</v>
      </c>
      <c r="L511" s="18">
        <f t="shared" si="115"/>
        <v>540</v>
      </c>
      <c r="M511" s="47">
        <f>M512</f>
        <v>1200</v>
      </c>
      <c r="N511" s="18">
        <f t="shared" si="116"/>
        <v>1740</v>
      </c>
      <c r="O511" s="47">
        <f>O512</f>
        <v>0</v>
      </c>
      <c r="P511" s="18">
        <f t="shared" si="117"/>
        <v>1740</v>
      </c>
      <c r="Q511" s="47">
        <f>Q512</f>
        <v>0</v>
      </c>
      <c r="R511" s="18">
        <f t="shared" si="118"/>
        <v>1740</v>
      </c>
      <c r="S511" s="47">
        <f>S512</f>
        <v>0</v>
      </c>
      <c r="T511" s="18">
        <f t="shared" si="119"/>
        <v>1740</v>
      </c>
      <c r="U511" s="47">
        <f>U512</f>
        <v>0</v>
      </c>
      <c r="V511" s="18">
        <f t="shared" si="120"/>
        <v>1740</v>
      </c>
      <c r="W511" s="47">
        <f>W512</f>
        <v>0</v>
      </c>
      <c r="X511" s="18">
        <f t="shared" si="121"/>
        <v>1740</v>
      </c>
    </row>
    <row r="512" spans="1:27" x14ac:dyDescent="0.25">
      <c r="A512" s="7" t="s">
        <v>54</v>
      </c>
      <c r="B512" s="67" t="s">
        <v>1145</v>
      </c>
      <c r="C512" s="25" t="s">
        <v>34</v>
      </c>
      <c r="D512" s="19"/>
      <c r="E512" s="19"/>
      <c r="F512" s="18"/>
      <c r="G512" s="44">
        <v>180</v>
      </c>
      <c r="H512" s="18">
        <f t="shared" si="113"/>
        <v>180</v>
      </c>
      <c r="I512" s="64"/>
      <c r="J512" s="18">
        <f t="shared" si="114"/>
        <v>180</v>
      </c>
      <c r="K512" s="96">
        <v>360</v>
      </c>
      <c r="L512" s="18">
        <f t="shared" si="115"/>
        <v>540</v>
      </c>
      <c r="M512" s="45">
        <v>1200</v>
      </c>
      <c r="N512" s="18">
        <f t="shared" si="116"/>
        <v>1740</v>
      </c>
      <c r="O512" s="64"/>
      <c r="P512" s="18">
        <f t="shared" si="117"/>
        <v>1740</v>
      </c>
      <c r="Q512" s="44"/>
      <c r="R512" s="18">
        <f t="shared" si="118"/>
        <v>1740</v>
      </c>
      <c r="S512" s="64"/>
      <c r="T512" s="18">
        <f t="shared" si="119"/>
        <v>1740</v>
      </c>
      <c r="U512" s="64"/>
      <c r="V512" s="18">
        <f t="shared" si="120"/>
        <v>1740</v>
      </c>
      <c r="W512" s="64"/>
      <c r="X512" s="18">
        <f t="shared" si="121"/>
        <v>1740</v>
      </c>
      <c r="Z512" s="43">
        <f>X512+Y512</f>
        <v>1740</v>
      </c>
      <c r="AA512" s="43"/>
    </row>
    <row r="513" spans="1:27" ht="24" x14ac:dyDescent="0.25">
      <c r="A513" s="72" t="s">
        <v>629</v>
      </c>
      <c r="B513" s="74" t="s">
        <v>762</v>
      </c>
      <c r="D513" s="19"/>
      <c r="E513" s="19"/>
      <c r="F513" s="18"/>
      <c r="G513" s="18">
        <f>G514</f>
        <v>180</v>
      </c>
      <c r="H513" s="18">
        <f t="shared" si="113"/>
        <v>180</v>
      </c>
      <c r="I513" s="47">
        <f>I514</f>
        <v>0</v>
      </c>
      <c r="J513" s="18">
        <f t="shared" si="114"/>
        <v>180</v>
      </c>
      <c r="K513" s="47">
        <f>K514</f>
        <v>360</v>
      </c>
      <c r="L513" s="18">
        <f t="shared" si="115"/>
        <v>540</v>
      </c>
      <c r="M513" s="47">
        <f>M514</f>
        <v>1200</v>
      </c>
      <c r="N513" s="18">
        <f t="shared" si="116"/>
        <v>1740</v>
      </c>
      <c r="O513" s="47">
        <f>O514</f>
        <v>0</v>
      </c>
      <c r="P513" s="18">
        <f t="shared" si="117"/>
        <v>1740</v>
      </c>
      <c r="Q513" s="47">
        <f>Q514</f>
        <v>0</v>
      </c>
      <c r="R513" s="18">
        <f t="shared" si="118"/>
        <v>1740</v>
      </c>
      <c r="S513" s="47">
        <f>S514</f>
        <v>0</v>
      </c>
      <c r="T513" s="18">
        <f t="shared" si="119"/>
        <v>1740</v>
      </c>
      <c r="U513" s="47">
        <f>U514</f>
        <v>0</v>
      </c>
      <c r="V513" s="18">
        <f t="shared" si="120"/>
        <v>1740</v>
      </c>
      <c r="W513" s="47">
        <f>W514</f>
        <v>0</v>
      </c>
      <c r="X513" s="18">
        <f t="shared" si="121"/>
        <v>1740</v>
      </c>
    </row>
    <row r="514" spans="1:27" x14ac:dyDescent="0.25">
      <c r="A514" s="7" t="s">
        <v>54</v>
      </c>
      <c r="B514" s="67" t="s">
        <v>762</v>
      </c>
      <c r="C514" s="25" t="s">
        <v>34</v>
      </c>
      <c r="D514" s="19"/>
      <c r="E514" s="19"/>
      <c r="F514" s="18"/>
      <c r="G514" s="44">
        <v>180</v>
      </c>
      <c r="H514" s="18">
        <f t="shared" si="113"/>
        <v>180</v>
      </c>
      <c r="I514" s="64"/>
      <c r="J514" s="18">
        <f t="shared" si="114"/>
        <v>180</v>
      </c>
      <c r="K514" s="96">
        <v>360</v>
      </c>
      <c r="L514" s="18">
        <f t="shared" si="115"/>
        <v>540</v>
      </c>
      <c r="M514" s="45">
        <v>1200</v>
      </c>
      <c r="N514" s="18">
        <f t="shared" si="116"/>
        <v>1740</v>
      </c>
      <c r="O514" s="64"/>
      <c r="P514" s="18">
        <f t="shared" si="117"/>
        <v>1740</v>
      </c>
      <c r="Q514" s="64"/>
      <c r="R514" s="18">
        <f t="shared" si="118"/>
        <v>1740</v>
      </c>
      <c r="S514" s="64"/>
      <c r="T514" s="18">
        <f t="shared" si="119"/>
        <v>1740</v>
      </c>
      <c r="U514" s="64"/>
      <c r="V514" s="18">
        <f t="shared" si="120"/>
        <v>1740</v>
      </c>
      <c r="W514" s="64"/>
      <c r="X514" s="18">
        <f t="shared" si="121"/>
        <v>1740</v>
      </c>
      <c r="Z514" s="43">
        <f>X514+Y514</f>
        <v>1740</v>
      </c>
      <c r="AA514" s="43"/>
    </row>
    <row r="515" spans="1:27" x14ac:dyDescent="0.25">
      <c r="A515" s="71" t="s">
        <v>630</v>
      </c>
      <c r="B515" s="74" t="s">
        <v>787</v>
      </c>
      <c r="D515" s="19"/>
      <c r="E515" s="19"/>
      <c r="F515" s="18"/>
      <c r="G515" s="18">
        <f>G516</f>
        <v>90</v>
      </c>
      <c r="H515" s="18">
        <f t="shared" si="113"/>
        <v>90</v>
      </c>
      <c r="I515" s="47">
        <f>I516</f>
        <v>0</v>
      </c>
      <c r="J515" s="18">
        <f t="shared" si="114"/>
        <v>90</v>
      </c>
      <c r="K515" s="47">
        <f>K516</f>
        <v>180</v>
      </c>
      <c r="L515" s="18">
        <f t="shared" si="115"/>
        <v>270</v>
      </c>
      <c r="M515" s="47">
        <f>M516</f>
        <v>600</v>
      </c>
      <c r="N515" s="18">
        <f t="shared" si="116"/>
        <v>870</v>
      </c>
      <c r="O515" s="47">
        <f>O516</f>
        <v>0</v>
      </c>
      <c r="P515" s="18">
        <f t="shared" si="117"/>
        <v>870</v>
      </c>
      <c r="Q515" s="47">
        <f>Q516</f>
        <v>0</v>
      </c>
      <c r="R515" s="18">
        <f t="shared" si="118"/>
        <v>870</v>
      </c>
      <c r="S515" s="47">
        <f>S516</f>
        <v>0</v>
      </c>
      <c r="T515" s="18">
        <f t="shared" si="119"/>
        <v>870</v>
      </c>
      <c r="U515" s="47">
        <f>U516</f>
        <v>0</v>
      </c>
      <c r="V515" s="18">
        <f t="shared" si="120"/>
        <v>870</v>
      </c>
      <c r="W515" s="47">
        <f>W516</f>
        <v>0</v>
      </c>
      <c r="X515" s="18">
        <f t="shared" si="121"/>
        <v>870</v>
      </c>
    </row>
    <row r="516" spans="1:27" x14ac:dyDescent="0.25">
      <c r="A516" s="7" t="s">
        <v>54</v>
      </c>
      <c r="B516" s="67" t="s">
        <v>787</v>
      </c>
      <c r="C516" s="25" t="s">
        <v>34</v>
      </c>
      <c r="D516" s="19"/>
      <c r="E516" s="19"/>
      <c r="F516" s="18"/>
      <c r="G516" s="44">
        <v>90</v>
      </c>
      <c r="H516" s="18">
        <f t="shared" si="113"/>
        <v>90</v>
      </c>
      <c r="I516" s="64"/>
      <c r="J516" s="18">
        <f t="shared" si="114"/>
        <v>90</v>
      </c>
      <c r="K516" s="96">
        <v>180</v>
      </c>
      <c r="L516" s="18">
        <f t="shared" si="115"/>
        <v>270</v>
      </c>
      <c r="M516" s="45">
        <v>600</v>
      </c>
      <c r="N516" s="18">
        <f t="shared" si="116"/>
        <v>870</v>
      </c>
      <c r="O516" s="64"/>
      <c r="P516" s="18">
        <f t="shared" si="117"/>
        <v>870</v>
      </c>
      <c r="Q516" s="64"/>
      <c r="R516" s="18">
        <f t="shared" si="118"/>
        <v>870</v>
      </c>
      <c r="S516" s="64"/>
      <c r="T516" s="18">
        <f t="shared" si="119"/>
        <v>870</v>
      </c>
      <c r="U516" s="64"/>
      <c r="V516" s="18">
        <f t="shared" si="120"/>
        <v>870</v>
      </c>
      <c r="W516" s="64"/>
      <c r="X516" s="18">
        <f t="shared" si="121"/>
        <v>870</v>
      </c>
      <c r="Z516" s="43">
        <f>X516+Y516</f>
        <v>870</v>
      </c>
      <c r="AA516" s="43"/>
    </row>
    <row r="517" spans="1:27" ht="36" x14ac:dyDescent="0.25">
      <c r="A517" s="72" t="s">
        <v>631</v>
      </c>
      <c r="B517" s="74" t="s">
        <v>763</v>
      </c>
      <c r="D517" s="19"/>
      <c r="E517" s="19"/>
      <c r="F517" s="18"/>
      <c r="G517" s="18">
        <f>G518</f>
        <v>180</v>
      </c>
      <c r="H517" s="18">
        <f t="shared" si="113"/>
        <v>180</v>
      </c>
      <c r="I517" s="47">
        <f>I518</f>
        <v>0</v>
      </c>
      <c r="J517" s="18">
        <f t="shared" si="114"/>
        <v>180</v>
      </c>
      <c r="K517" s="47">
        <f>K518</f>
        <v>360</v>
      </c>
      <c r="L517" s="18">
        <f t="shared" si="115"/>
        <v>540</v>
      </c>
      <c r="M517" s="47">
        <f>M518</f>
        <v>1200</v>
      </c>
      <c r="N517" s="18">
        <f t="shared" si="116"/>
        <v>1740</v>
      </c>
      <c r="O517" s="47">
        <f>O518</f>
        <v>0</v>
      </c>
      <c r="P517" s="18">
        <f t="shared" si="117"/>
        <v>1740</v>
      </c>
      <c r="Q517" s="47">
        <f>Q518</f>
        <v>0</v>
      </c>
      <c r="R517" s="18">
        <f t="shared" si="118"/>
        <v>1740</v>
      </c>
      <c r="S517" s="47">
        <f>S518</f>
        <v>0</v>
      </c>
      <c r="T517" s="18">
        <f t="shared" si="119"/>
        <v>1740</v>
      </c>
      <c r="U517" s="47">
        <f>U518</f>
        <v>0</v>
      </c>
      <c r="V517" s="18">
        <f t="shared" si="120"/>
        <v>1740</v>
      </c>
      <c r="W517" s="47">
        <f>W518</f>
        <v>0</v>
      </c>
      <c r="X517" s="18">
        <f t="shared" si="121"/>
        <v>1740</v>
      </c>
    </row>
    <row r="518" spans="1:27" x14ac:dyDescent="0.25">
      <c r="A518" s="7" t="s">
        <v>54</v>
      </c>
      <c r="B518" s="67" t="s">
        <v>763</v>
      </c>
      <c r="C518" s="25" t="s">
        <v>34</v>
      </c>
      <c r="D518" s="19"/>
      <c r="E518" s="19"/>
      <c r="F518" s="18"/>
      <c r="G518" s="44">
        <v>180</v>
      </c>
      <c r="H518" s="18">
        <f t="shared" si="113"/>
        <v>180</v>
      </c>
      <c r="I518" s="64"/>
      <c r="J518" s="18">
        <f t="shared" si="114"/>
        <v>180</v>
      </c>
      <c r="K518" s="96">
        <v>360</v>
      </c>
      <c r="L518" s="18">
        <f t="shared" si="115"/>
        <v>540</v>
      </c>
      <c r="M518" s="45">
        <v>1200</v>
      </c>
      <c r="N518" s="18">
        <f t="shared" si="116"/>
        <v>1740</v>
      </c>
      <c r="O518" s="64"/>
      <c r="P518" s="18">
        <f t="shared" si="117"/>
        <v>1740</v>
      </c>
      <c r="Q518" s="64"/>
      <c r="R518" s="18">
        <f t="shared" si="118"/>
        <v>1740</v>
      </c>
      <c r="S518" s="64"/>
      <c r="T518" s="18">
        <f t="shared" si="119"/>
        <v>1740</v>
      </c>
      <c r="U518" s="64"/>
      <c r="V518" s="18">
        <f t="shared" si="120"/>
        <v>1740</v>
      </c>
      <c r="W518" s="64"/>
      <c r="X518" s="18">
        <f t="shared" si="121"/>
        <v>1740</v>
      </c>
      <c r="Z518" s="43">
        <f>X518+Y518</f>
        <v>1740</v>
      </c>
      <c r="AA518" s="43"/>
    </row>
    <row r="519" spans="1:27" ht="24" x14ac:dyDescent="0.25">
      <c r="A519" s="71" t="s">
        <v>632</v>
      </c>
      <c r="B519" s="74" t="s">
        <v>788</v>
      </c>
      <c r="D519" s="19"/>
      <c r="E519" s="19"/>
      <c r="F519" s="18"/>
      <c r="G519" s="18">
        <f>G520</f>
        <v>180</v>
      </c>
      <c r="H519" s="18">
        <f t="shared" si="113"/>
        <v>180</v>
      </c>
      <c r="I519" s="47">
        <f>I520</f>
        <v>0</v>
      </c>
      <c r="J519" s="18">
        <f t="shared" si="114"/>
        <v>180</v>
      </c>
      <c r="K519" s="47">
        <f>K520</f>
        <v>360.2</v>
      </c>
      <c r="L519" s="18">
        <f t="shared" si="115"/>
        <v>540.20000000000005</v>
      </c>
      <c r="M519" s="47">
        <f>M520</f>
        <v>1200</v>
      </c>
      <c r="N519" s="18">
        <f t="shared" si="116"/>
        <v>1740.2</v>
      </c>
      <c r="O519" s="47">
        <f>O520</f>
        <v>0</v>
      </c>
      <c r="P519" s="18">
        <f t="shared" si="117"/>
        <v>1740.2</v>
      </c>
      <c r="Q519" s="47">
        <f>Q520</f>
        <v>-1740.2</v>
      </c>
      <c r="R519" s="18">
        <f t="shared" si="118"/>
        <v>0</v>
      </c>
      <c r="S519" s="47">
        <f>S520</f>
        <v>0</v>
      </c>
      <c r="T519" s="18">
        <f t="shared" si="119"/>
        <v>0</v>
      </c>
      <c r="U519" s="47">
        <f>U520</f>
        <v>0</v>
      </c>
      <c r="V519" s="18">
        <f t="shared" si="120"/>
        <v>0</v>
      </c>
      <c r="W519" s="47">
        <f>W520</f>
        <v>1200</v>
      </c>
      <c r="X519" s="18">
        <f t="shared" si="121"/>
        <v>1200</v>
      </c>
    </row>
    <row r="520" spans="1:27" x14ac:dyDescent="0.25">
      <c r="A520" s="7" t="s">
        <v>54</v>
      </c>
      <c r="B520" s="67" t="s">
        <v>788</v>
      </c>
      <c r="C520" s="25" t="s">
        <v>34</v>
      </c>
      <c r="D520" s="19"/>
      <c r="E520" s="19"/>
      <c r="F520" s="18"/>
      <c r="G520" s="44">
        <v>180</v>
      </c>
      <c r="H520" s="18">
        <f t="shared" si="113"/>
        <v>180</v>
      </c>
      <c r="I520" s="64"/>
      <c r="J520" s="18">
        <f t="shared" si="114"/>
        <v>180</v>
      </c>
      <c r="K520" s="96">
        <v>360.2</v>
      </c>
      <c r="L520" s="18">
        <f t="shared" si="115"/>
        <v>540.20000000000005</v>
      </c>
      <c r="M520" s="45">
        <v>1200</v>
      </c>
      <c r="N520" s="18">
        <f t="shared" si="116"/>
        <v>1740.2</v>
      </c>
      <c r="O520" s="64"/>
      <c r="P520" s="18">
        <f t="shared" si="117"/>
        <v>1740.2</v>
      </c>
      <c r="Q520" s="44">
        <v>-1740.2</v>
      </c>
      <c r="R520" s="18">
        <f t="shared" si="118"/>
        <v>0</v>
      </c>
      <c r="S520" s="64"/>
      <c r="T520" s="18">
        <f t="shared" si="119"/>
        <v>0</v>
      </c>
      <c r="U520" s="64"/>
      <c r="V520" s="18">
        <f t="shared" si="120"/>
        <v>0</v>
      </c>
      <c r="W520" s="45">
        <v>1200</v>
      </c>
      <c r="X520" s="18">
        <f t="shared" si="121"/>
        <v>1200</v>
      </c>
      <c r="Z520" s="43">
        <f>X520+Y520</f>
        <v>1200</v>
      </c>
      <c r="AA520" s="43"/>
    </row>
    <row r="521" spans="1:27" hidden="1" x14ac:dyDescent="0.25">
      <c r="A521" s="71" t="s">
        <v>633</v>
      </c>
      <c r="B521" s="74" t="s">
        <v>605</v>
      </c>
      <c r="D521" s="19"/>
      <c r="E521" s="19"/>
      <c r="F521" s="18"/>
      <c r="G521" s="18">
        <f>G522</f>
        <v>48.6</v>
      </c>
      <c r="H521" s="18">
        <f t="shared" si="113"/>
        <v>48.6</v>
      </c>
      <c r="I521" s="47">
        <f>I522</f>
        <v>0</v>
      </c>
      <c r="J521" s="18">
        <f t="shared" si="114"/>
        <v>48.6</v>
      </c>
      <c r="K521" s="47">
        <f>K522</f>
        <v>-48.6</v>
      </c>
      <c r="L521" s="18">
        <f t="shared" si="115"/>
        <v>0</v>
      </c>
      <c r="M521" s="47">
        <f>M522</f>
        <v>0</v>
      </c>
      <c r="N521" s="18">
        <f t="shared" si="116"/>
        <v>0</v>
      </c>
      <c r="O521" s="47">
        <f>O522</f>
        <v>0</v>
      </c>
      <c r="P521" s="18">
        <f t="shared" si="117"/>
        <v>0</v>
      </c>
      <c r="Q521" s="47">
        <f>Q522</f>
        <v>0</v>
      </c>
      <c r="R521" s="18">
        <f t="shared" si="118"/>
        <v>0</v>
      </c>
      <c r="S521" s="47">
        <f>S522</f>
        <v>0</v>
      </c>
      <c r="T521" s="18">
        <f t="shared" si="119"/>
        <v>0</v>
      </c>
      <c r="U521" s="47">
        <f>U522</f>
        <v>0</v>
      </c>
      <c r="V521" s="18">
        <f t="shared" si="120"/>
        <v>0</v>
      </c>
      <c r="W521" s="47">
        <f>W522</f>
        <v>0</v>
      </c>
      <c r="X521" s="18">
        <f t="shared" si="121"/>
        <v>0</v>
      </c>
    </row>
    <row r="522" spans="1:27" hidden="1" x14ac:dyDescent="0.25">
      <c r="A522" s="7" t="s">
        <v>54</v>
      </c>
      <c r="B522" s="67" t="s">
        <v>605</v>
      </c>
      <c r="C522" s="25" t="s">
        <v>34</v>
      </c>
      <c r="D522" s="19"/>
      <c r="E522" s="19"/>
      <c r="F522" s="18"/>
      <c r="G522" s="44">
        <v>48.6</v>
      </c>
      <c r="H522" s="18">
        <f t="shared" si="113"/>
        <v>48.6</v>
      </c>
      <c r="I522" s="64"/>
      <c r="J522" s="18">
        <f t="shared" si="114"/>
        <v>48.6</v>
      </c>
      <c r="K522" s="96">
        <v>-48.6</v>
      </c>
      <c r="L522" s="18">
        <f t="shared" si="115"/>
        <v>0</v>
      </c>
      <c r="M522" s="64"/>
      <c r="N522" s="18">
        <f t="shared" si="116"/>
        <v>0</v>
      </c>
      <c r="O522" s="64"/>
      <c r="P522" s="18">
        <f t="shared" si="117"/>
        <v>0</v>
      </c>
      <c r="Q522" s="64"/>
      <c r="R522" s="18">
        <f t="shared" si="118"/>
        <v>0</v>
      </c>
      <c r="S522" s="64"/>
      <c r="T522" s="18">
        <f t="shared" si="119"/>
        <v>0</v>
      </c>
      <c r="U522" s="64"/>
      <c r="V522" s="18">
        <f t="shared" si="120"/>
        <v>0</v>
      </c>
      <c r="W522" s="64"/>
      <c r="X522" s="18">
        <f t="shared" si="121"/>
        <v>0</v>
      </c>
      <c r="Z522" s="43">
        <f>X522+Y522</f>
        <v>0</v>
      </c>
      <c r="AA522" s="43"/>
    </row>
    <row r="523" spans="1:27" x14ac:dyDescent="0.25">
      <c r="A523" s="71" t="s">
        <v>634</v>
      </c>
      <c r="B523" s="74" t="s">
        <v>752</v>
      </c>
      <c r="D523" s="19"/>
      <c r="E523" s="19"/>
      <c r="F523" s="18"/>
      <c r="G523" s="18">
        <f>G524</f>
        <v>180</v>
      </c>
      <c r="H523" s="18">
        <f t="shared" si="113"/>
        <v>180</v>
      </c>
      <c r="I523" s="47">
        <f>I524</f>
        <v>0</v>
      </c>
      <c r="J523" s="18">
        <f t="shared" si="114"/>
        <v>180</v>
      </c>
      <c r="K523" s="47">
        <f>K524</f>
        <v>360</v>
      </c>
      <c r="L523" s="18">
        <f t="shared" si="115"/>
        <v>540</v>
      </c>
      <c r="M523" s="47">
        <f>M524</f>
        <v>1200</v>
      </c>
      <c r="N523" s="18">
        <f t="shared" si="116"/>
        <v>1740</v>
      </c>
      <c r="O523" s="47">
        <f>O524</f>
        <v>0</v>
      </c>
      <c r="P523" s="18">
        <f t="shared" si="117"/>
        <v>1740</v>
      </c>
      <c r="Q523" s="47">
        <f>Q524</f>
        <v>159.30000000000001</v>
      </c>
      <c r="R523" s="18">
        <f t="shared" si="118"/>
        <v>1899.3</v>
      </c>
      <c r="S523" s="47">
        <f>S524</f>
        <v>0</v>
      </c>
      <c r="T523" s="18">
        <f t="shared" si="119"/>
        <v>1899.3</v>
      </c>
      <c r="U523" s="47">
        <f>U524</f>
        <v>0</v>
      </c>
      <c r="V523" s="18">
        <f t="shared" si="120"/>
        <v>1899.3</v>
      </c>
      <c r="W523" s="47">
        <f>W524</f>
        <v>0</v>
      </c>
      <c r="X523" s="18">
        <f t="shared" si="121"/>
        <v>1899.3</v>
      </c>
    </row>
    <row r="524" spans="1:27" x14ac:dyDescent="0.25">
      <c r="A524" s="7" t="s">
        <v>54</v>
      </c>
      <c r="B524" s="67" t="s">
        <v>752</v>
      </c>
      <c r="C524" s="25" t="s">
        <v>34</v>
      </c>
      <c r="D524" s="19"/>
      <c r="E524" s="19"/>
      <c r="F524" s="18"/>
      <c r="G524" s="44">
        <v>180</v>
      </c>
      <c r="H524" s="18">
        <f t="shared" si="113"/>
        <v>180</v>
      </c>
      <c r="I524" s="64"/>
      <c r="J524" s="18">
        <f t="shared" si="114"/>
        <v>180</v>
      </c>
      <c r="K524" s="96">
        <v>360</v>
      </c>
      <c r="L524" s="18">
        <f t="shared" si="115"/>
        <v>540</v>
      </c>
      <c r="M524" s="45">
        <v>1200</v>
      </c>
      <c r="N524" s="18">
        <f t="shared" si="116"/>
        <v>1740</v>
      </c>
      <c r="O524" s="64"/>
      <c r="P524" s="18">
        <f t="shared" si="117"/>
        <v>1740</v>
      </c>
      <c r="Q524" s="44">
        <v>159.30000000000001</v>
      </c>
      <c r="R524" s="18">
        <f t="shared" si="118"/>
        <v>1899.3</v>
      </c>
      <c r="S524" s="64"/>
      <c r="T524" s="18">
        <f t="shared" si="119"/>
        <v>1899.3</v>
      </c>
      <c r="U524" s="64"/>
      <c r="V524" s="18">
        <f t="shared" si="120"/>
        <v>1899.3</v>
      </c>
      <c r="W524" s="64"/>
      <c r="X524" s="18">
        <f t="shared" si="121"/>
        <v>1899.3</v>
      </c>
      <c r="Z524" s="43">
        <f>X524+Y524</f>
        <v>1899.3</v>
      </c>
      <c r="AA524" s="43"/>
    </row>
    <row r="525" spans="1:27" hidden="1" x14ac:dyDescent="0.25">
      <c r="A525" s="71" t="s">
        <v>635</v>
      </c>
      <c r="B525" s="74" t="s">
        <v>606</v>
      </c>
      <c r="D525" s="19"/>
      <c r="E525" s="19"/>
      <c r="F525" s="18"/>
      <c r="G525" s="18">
        <f>G526</f>
        <v>180</v>
      </c>
      <c r="H525" s="18">
        <f t="shared" si="113"/>
        <v>180</v>
      </c>
      <c r="I525" s="47">
        <f>I526</f>
        <v>0</v>
      </c>
      <c r="J525" s="18">
        <f t="shared" si="114"/>
        <v>180</v>
      </c>
      <c r="K525" s="47">
        <f>K526</f>
        <v>-180</v>
      </c>
      <c r="L525" s="18">
        <f t="shared" si="115"/>
        <v>0</v>
      </c>
      <c r="M525" s="47">
        <f>M526</f>
        <v>0</v>
      </c>
      <c r="N525" s="18">
        <f t="shared" si="116"/>
        <v>0</v>
      </c>
      <c r="O525" s="47">
        <f>O526</f>
        <v>0</v>
      </c>
      <c r="P525" s="18">
        <f t="shared" si="117"/>
        <v>0</v>
      </c>
      <c r="Q525" s="47">
        <f>Q526</f>
        <v>0</v>
      </c>
      <c r="R525" s="18">
        <f t="shared" si="118"/>
        <v>0</v>
      </c>
      <c r="S525" s="47">
        <f>S526</f>
        <v>0</v>
      </c>
      <c r="T525" s="18">
        <f t="shared" si="119"/>
        <v>0</v>
      </c>
      <c r="U525" s="47">
        <f>U526</f>
        <v>0</v>
      </c>
      <c r="V525" s="18">
        <f t="shared" si="120"/>
        <v>0</v>
      </c>
      <c r="W525" s="47">
        <f>W526</f>
        <v>0</v>
      </c>
      <c r="X525" s="18">
        <f t="shared" si="121"/>
        <v>0</v>
      </c>
    </row>
    <row r="526" spans="1:27" hidden="1" x14ac:dyDescent="0.25">
      <c r="A526" s="7" t="s">
        <v>54</v>
      </c>
      <c r="B526" s="67" t="s">
        <v>606</v>
      </c>
      <c r="C526" s="25" t="s">
        <v>34</v>
      </c>
      <c r="D526" s="19"/>
      <c r="E526" s="19"/>
      <c r="F526" s="18"/>
      <c r="G526" s="44">
        <v>180</v>
      </c>
      <c r="H526" s="18">
        <f t="shared" si="113"/>
        <v>180</v>
      </c>
      <c r="I526" s="64"/>
      <c r="J526" s="18">
        <f t="shared" si="114"/>
        <v>180</v>
      </c>
      <c r="K526" s="96">
        <v>-180</v>
      </c>
      <c r="L526" s="18">
        <f t="shared" si="115"/>
        <v>0</v>
      </c>
      <c r="M526" s="64"/>
      <c r="N526" s="18">
        <f t="shared" si="116"/>
        <v>0</v>
      </c>
      <c r="O526" s="64"/>
      <c r="P526" s="18">
        <f t="shared" si="117"/>
        <v>0</v>
      </c>
      <c r="Q526" s="64"/>
      <c r="R526" s="18">
        <f t="shared" si="118"/>
        <v>0</v>
      </c>
      <c r="S526" s="64"/>
      <c r="T526" s="18">
        <f t="shared" si="119"/>
        <v>0</v>
      </c>
      <c r="U526" s="64"/>
      <c r="V526" s="18">
        <f t="shared" si="120"/>
        <v>0</v>
      </c>
      <c r="W526" s="64"/>
      <c r="X526" s="18">
        <f t="shared" si="121"/>
        <v>0</v>
      </c>
      <c r="Z526" s="43">
        <f>X526+Y526</f>
        <v>0</v>
      </c>
      <c r="AA526" s="43"/>
    </row>
    <row r="527" spans="1:27" hidden="1" x14ac:dyDescent="0.25">
      <c r="A527" s="71" t="s">
        <v>636</v>
      </c>
      <c r="B527" s="74" t="s">
        <v>607</v>
      </c>
      <c r="D527" s="19"/>
      <c r="E527" s="19"/>
      <c r="F527" s="18"/>
      <c r="G527" s="18">
        <f>G528</f>
        <v>216</v>
      </c>
      <c r="H527" s="18">
        <f t="shared" si="113"/>
        <v>216</v>
      </c>
      <c r="I527" s="47">
        <f>I528</f>
        <v>0</v>
      </c>
      <c r="J527" s="18">
        <f t="shared" si="114"/>
        <v>216</v>
      </c>
      <c r="K527" s="47">
        <f>K528</f>
        <v>-216</v>
      </c>
      <c r="L527" s="18">
        <f t="shared" si="115"/>
        <v>0</v>
      </c>
      <c r="M527" s="47">
        <f>M528</f>
        <v>0</v>
      </c>
      <c r="N527" s="18">
        <f t="shared" si="116"/>
        <v>0</v>
      </c>
      <c r="O527" s="47">
        <f>O528</f>
        <v>0</v>
      </c>
      <c r="P527" s="18">
        <f t="shared" si="117"/>
        <v>0</v>
      </c>
      <c r="Q527" s="47">
        <f>Q528</f>
        <v>0</v>
      </c>
      <c r="R527" s="18">
        <f t="shared" si="118"/>
        <v>0</v>
      </c>
      <c r="S527" s="47">
        <f>S528</f>
        <v>0</v>
      </c>
      <c r="T527" s="18">
        <f t="shared" si="119"/>
        <v>0</v>
      </c>
      <c r="U527" s="47">
        <f>U528</f>
        <v>0</v>
      </c>
      <c r="V527" s="18">
        <f t="shared" si="120"/>
        <v>0</v>
      </c>
      <c r="W527" s="47">
        <f>W528</f>
        <v>0</v>
      </c>
      <c r="X527" s="18">
        <f t="shared" si="121"/>
        <v>0</v>
      </c>
    </row>
    <row r="528" spans="1:27" hidden="1" x14ac:dyDescent="0.25">
      <c r="A528" s="9" t="s">
        <v>511</v>
      </c>
      <c r="B528" s="67" t="s">
        <v>607</v>
      </c>
      <c r="C528" s="25" t="s">
        <v>66</v>
      </c>
      <c r="D528" s="19"/>
      <c r="E528" s="19"/>
      <c r="F528" s="18"/>
      <c r="G528" s="44">
        <v>216</v>
      </c>
      <c r="H528" s="18">
        <f t="shared" si="113"/>
        <v>216</v>
      </c>
      <c r="I528" s="64"/>
      <c r="J528" s="18">
        <f t="shared" si="114"/>
        <v>216</v>
      </c>
      <c r="K528" s="96">
        <v>-216</v>
      </c>
      <c r="L528" s="18">
        <f t="shared" si="115"/>
        <v>0</v>
      </c>
      <c r="M528" s="64"/>
      <c r="N528" s="18">
        <f t="shared" si="116"/>
        <v>0</v>
      </c>
      <c r="O528" s="64"/>
      <c r="P528" s="18">
        <f t="shared" si="117"/>
        <v>0</v>
      </c>
      <c r="Q528" s="64"/>
      <c r="R528" s="18">
        <f t="shared" si="118"/>
        <v>0</v>
      </c>
      <c r="S528" s="64"/>
      <c r="T528" s="18">
        <f t="shared" si="119"/>
        <v>0</v>
      </c>
      <c r="U528" s="64"/>
      <c r="V528" s="18">
        <f t="shared" si="120"/>
        <v>0</v>
      </c>
      <c r="W528" s="64"/>
      <c r="X528" s="18">
        <f t="shared" si="121"/>
        <v>0</v>
      </c>
      <c r="Z528" s="43">
        <f>X528+Y528</f>
        <v>0</v>
      </c>
      <c r="AA528" s="43"/>
    </row>
    <row r="529" spans="1:27" ht="24" x14ac:dyDescent="0.25">
      <c r="A529" s="71" t="s">
        <v>774</v>
      </c>
      <c r="B529" s="74" t="s">
        <v>1147</v>
      </c>
      <c r="D529" s="19"/>
      <c r="E529" s="19"/>
      <c r="F529" s="18"/>
      <c r="G529" s="18">
        <f>G530</f>
        <v>71.7</v>
      </c>
      <c r="H529" s="18">
        <f t="shared" si="113"/>
        <v>71.7</v>
      </c>
      <c r="I529" s="47">
        <f>I530</f>
        <v>0</v>
      </c>
      <c r="J529" s="18">
        <f t="shared" si="114"/>
        <v>71.7</v>
      </c>
      <c r="K529" s="47">
        <f>K530</f>
        <v>143.1</v>
      </c>
      <c r="L529" s="18">
        <f t="shared" si="115"/>
        <v>214.8</v>
      </c>
      <c r="M529" s="47">
        <f>M530</f>
        <v>477.1</v>
      </c>
      <c r="N529" s="18">
        <f t="shared" si="116"/>
        <v>691.90000000000009</v>
      </c>
      <c r="O529" s="47">
        <f>O530</f>
        <v>0</v>
      </c>
      <c r="P529" s="18">
        <f t="shared" si="117"/>
        <v>691.90000000000009</v>
      </c>
      <c r="Q529" s="47">
        <f>Q530</f>
        <v>0</v>
      </c>
      <c r="R529" s="18">
        <f t="shared" si="118"/>
        <v>691.90000000000009</v>
      </c>
      <c r="S529" s="47">
        <f>S530</f>
        <v>0</v>
      </c>
      <c r="T529" s="18">
        <f t="shared" si="119"/>
        <v>691.90000000000009</v>
      </c>
      <c r="U529" s="47">
        <f>U530</f>
        <v>0</v>
      </c>
      <c r="V529" s="18">
        <f t="shared" si="120"/>
        <v>691.90000000000009</v>
      </c>
      <c r="W529" s="47">
        <f>W530</f>
        <v>0</v>
      </c>
      <c r="X529" s="18">
        <f t="shared" si="121"/>
        <v>691.90000000000009</v>
      </c>
    </row>
    <row r="530" spans="1:27" x14ac:dyDescent="0.25">
      <c r="A530" s="9" t="s">
        <v>511</v>
      </c>
      <c r="B530" s="67" t="s">
        <v>1147</v>
      </c>
      <c r="C530" s="25" t="s">
        <v>66</v>
      </c>
      <c r="D530" s="19"/>
      <c r="E530" s="19"/>
      <c r="F530" s="18"/>
      <c r="G530" s="44">
        <v>71.7</v>
      </c>
      <c r="H530" s="18">
        <f t="shared" si="113"/>
        <v>71.7</v>
      </c>
      <c r="I530" s="64"/>
      <c r="J530" s="18">
        <f t="shared" si="114"/>
        <v>71.7</v>
      </c>
      <c r="K530" s="96">
        <v>143.1</v>
      </c>
      <c r="L530" s="18">
        <f t="shared" si="115"/>
        <v>214.8</v>
      </c>
      <c r="M530" s="45">
        <v>477.1</v>
      </c>
      <c r="N530" s="18">
        <f t="shared" si="116"/>
        <v>691.90000000000009</v>
      </c>
      <c r="O530" s="64"/>
      <c r="P530" s="18">
        <f t="shared" si="117"/>
        <v>691.90000000000009</v>
      </c>
      <c r="Q530" s="64"/>
      <c r="R530" s="18">
        <f t="shared" si="118"/>
        <v>691.90000000000009</v>
      </c>
      <c r="S530" s="64"/>
      <c r="T530" s="18">
        <f t="shared" si="119"/>
        <v>691.90000000000009</v>
      </c>
      <c r="U530" s="64"/>
      <c r="V530" s="18">
        <f t="shared" si="120"/>
        <v>691.90000000000009</v>
      </c>
      <c r="W530" s="64"/>
      <c r="X530" s="18">
        <f t="shared" si="121"/>
        <v>691.90000000000009</v>
      </c>
      <c r="Z530" s="43">
        <f>X530+Y530</f>
        <v>691.90000000000009</v>
      </c>
      <c r="AA530" s="43"/>
    </row>
    <row r="531" spans="1:27" x14ac:dyDescent="0.25">
      <c r="A531" s="71" t="s">
        <v>637</v>
      </c>
      <c r="B531" s="74" t="s">
        <v>753</v>
      </c>
      <c r="D531" s="19"/>
      <c r="E531" s="19"/>
      <c r="F531" s="18"/>
      <c r="G531" s="18">
        <f>G532</f>
        <v>160.80000000000001</v>
      </c>
      <c r="H531" s="18">
        <f t="shared" si="113"/>
        <v>160.80000000000001</v>
      </c>
      <c r="I531" s="47">
        <f>I532</f>
        <v>0</v>
      </c>
      <c r="J531" s="18">
        <f t="shared" si="114"/>
        <v>160.80000000000001</v>
      </c>
      <c r="K531" s="47">
        <f>K532</f>
        <v>321.5</v>
      </c>
      <c r="L531" s="18">
        <f t="shared" si="115"/>
        <v>482.3</v>
      </c>
      <c r="M531" s="47">
        <f>M532</f>
        <v>1071.7</v>
      </c>
      <c r="N531" s="18">
        <f t="shared" si="116"/>
        <v>1554</v>
      </c>
      <c r="O531" s="47">
        <f>O532</f>
        <v>0</v>
      </c>
      <c r="P531" s="18">
        <f t="shared" si="117"/>
        <v>1554</v>
      </c>
      <c r="Q531" s="47">
        <f>Q532</f>
        <v>0</v>
      </c>
      <c r="R531" s="18">
        <f t="shared" si="118"/>
        <v>1554</v>
      </c>
      <c r="S531" s="47">
        <f>S532</f>
        <v>0</v>
      </c>
      <c r="T531" s="18">
        <f t="shared" si="119"/>
        <v>1554</v>
      </c>
      <c r="U531" s="47">
        <f>U532</f>
        <v>0</v>
      </c>
      <c r="V531" s="18">
        <f t="shared" si="120"/>
        <v>1554</v>
      </c>
      <c r="W531" s="47">
        <f>W532</f>
        <v>0</v>
      </c>
      <c r="X531" s="18">
        <f t="shared" si="121"/>
        <v>1554</v>
      </c>
    </row>
    <row r="532" spans="1:27" x14ac:dyDescent="0.25">
      <c r="A532" s="7" t="s">
        <v>54</v>
      </c>
      <c r="B532" s="67" t="s">
        <v>753</v>
      </c>
      <c r="C532" s="25" t="s">
        <v>34</v>
      </c>
      <c r="D532" s="19"/>
      <c r="E532" s="19"/>
      <c r="F532" s="18"/>
      <c r="G532" s="44">
        <v>160.80000000000001</v>
      </c>
      <c r="H532" s="18">
        <f t="shared" si="113"/>
        <v>160.80000000000001</v>
      </c>
      <c r="I532" s="64"/>
      <c r="J532" s="18">
        <f t="shared" si="114"/>
        <v>160.80000000000001</v>
      </c>
      <c r="K532" s="96">
        <v>321.5</v>
      </c>
      <c r="L532" s="18">
        <f t="shared" si="115"/>
        <v>482.3</v>
      </c>
      <c r="M532" s="45">
        <v>1071.7</v>
      </c>
      <c r="N532" s="18">
        <f t="shared" si="116"/>
        <v>1554</v>
      </c>
      <c r="O532" s="64"/>
      <c r="P532" s="18">
        <f t="shared" si="117"/>
        <v>1554</v>
      </c>
      <c r="Q532" s="64"/>
      <c r="R532" s="18">
        <f t="shared" si="118"/>
        <v>1554</v>
      </c>
      <c r="S532" s="64"/>
      <c r="T532" s="18">
        <f t="shared" si="119"/>
        <v>1554</v>
      </c>
      <c r="U532" s="64"/>
      <c r="V532" s="18">
        <f t="shared" si="120"/>
        <v>1554</v>
      </c>
      <c r="W532" s="64"/>
      <c r="X532" s="18">
        <f t="shared" si="121"/>
        <v>1554</v>
      </c>
      <c r="Z532" s="43">
        <f>X532+Y532</f>
        <v>1554</v>
      </c>
      <c r="AA532" s="43"/>
    </row>
    <row r="533" spans="1:27" x14ac:dyDescent="0.25">
      <c r="A533" s="71" t="s">
        <v>638</v>
      </c>
      <c r="B533" s="74" t="s">
        <v>754</v>
      </c>
      <c r="D533" s="19"/>
      <c r="E533" s="19"/>
      <c r="F533" s="18"/>
      <c r="G533" s="18">
        <f>G534</f>
        <v>180</v>
      </c>
      <c r="H533" s="18">
        <f t="shared" si="113"/>
        <v>180</v>
      </c>
      <c r="I533" s="18">
        <f>I534</f>
        <v>0</v>
      </c>
      <c r="J533" s="18">
        <f t="shared" si="114"/>
        <v>180</v>
      </c>
      <c r="K533" s="18">
        <f>K534</f>
        <v>360</v>
      </c>
      <c r="L533" s="18">
        <f t="shared" si="115"/>
        <v>540</v>
      </c>
      <c r="M533" s="18">
        <f>M534</f>
        <v>1200</v>
      </c>
      <c r="N533" s="18">
        <f t="shared" si="116"/>
        <v>1740</v>
      </c>
      <c r="O533" s="18">
        <f>O534</f>
        <v>0</v>
      </c>
      <c r="P533" s="18">
        <f t="shared" si="117"/>
        <v>1740</v>
      </c>
      <c r="Q533" s="18">
        <f>Q534</f>
        <v>0</v>
      </c>
      <c r="R533" s="18">
        <f t="shared" si="118"/>
        <v>1740</v>
      </c>
      <c r="S533" s="18">
        <f>S534</f>
        <v>0</v>
      </c>
      <c r="T533" s="18">
        <f t="shared" si="119"/>
        <v>1740</v>
      </c>
      <c r="U533" s="18">
        <f>U534</f>
        <v>0</v>
      </c>
      <c r="V533" s="18">
        <f t="shared" si="120"/>
        <v>1740</v>
      </c>
      <c r="W533" s="18">
        <f>W534</f>
        <v>0</v>
      </c>
      <c r="X533" s="18">
        <f t="shared" si="121"/>
        <v>1740</v>
      </c>
    </row>
    <row r="534" spans="1:27" x14ac:dyDescent="0.25">
      <c r="A534" s="7" t="s">
        <v>54</v>
      </c>
      <c r="B534" s="67" t="s">
        <v>754</v>
      </c>
      <c r="C534" s="25" t="s">
        <v>34</v>
      </c>
      <c r="D534" s="19"/>
      <c r="E534" s="19"/>
      <c r="F534" s="18"/>
      <c r="G534" s="44">
        <v>180</v>
      </c>
      <c r="H534" s="18">
        <f t="shared" si="113"/>
        <v>180</v>
      </c>
      <c r="I534" s="64"/>
      <c r="J534" s="18">
        <f t="shared" si="114"/>
        <v>180</v>
      </c>
      <c r="K534" s="96">
        <v>360</v>
      </c>
      <c r="L534" s="18">
        <f t="shared" si="115"/>
        <v>540</v>
      </c>
      <c r="M534" s="45">
        <v>1200</v>
      </c>
      <c r="N534" s="18">
        <f t="shared" si="116"/>
        <v>1740</v>
      </c>
      <c r="O534" s="64"/>
      <c r="P534" s="18">
        <f t="shared" si="117"/>
        <v>1740</v>
      </c>
      <c r="Q534" s="64"/>
      <c r="R534" s="18">
        <f t="shared" si="118"/>
        <v>1740</v>
      </c>
      <c r="S534" s="64"/>
      <c r="T534" s="18">
        <f t="shared" si="119"/>
        <v>1740</v>
      </c>
      <c r="U534" s="64"/>
      <c r="V534" s="18">
        <f t="shared" si="120"/>
        <v>1740</v>
      </c>
      <c r="W534" s="64"/>
      <c r="X534" s="18">
        <f t="shared" si="121"/>
        <v>1740</v>
      </c>
      <c r="Z534" s="43">
        <f>X534+Y534</f>
        <v>1740</v>
      </c>
      <c r="AA534" s="43"/>
    </row>
    <row r="535" spans="1:27" ht="24" x14ac:dyDescent="0.25">
      <c r="A535" s="71" t="s">
        <v>639</v>
      </c>
      <c r="B535" s="74" t="s">
        <v>764</v>
      </c>
      <c r="D535" s="19"/>
      <c r="E535" s="19"/>
      <c r="F535" s="18"/>
      <c r="G535" s="18">
        <f>G536</f>
        <v>180</v>
      </c>
      <c r="H535" s="18">
        <f t="shared" si="113"/>
        <v>180</v>
      </c>
      <c r="I535" s="47">
        <f>I536</f>
        <v>0</v>
      </c>
      <c r="J535" s="18">
        <f t="shared" si="114"/>
        <v>180</v>
      </c>
      <c r="K535" s="47">
        <f>K536</f>
        <v>360</v>
      </c>
      <c r="L535" s="18">
        <f t="shared" si="115"/>
        <v>540</v>
      </c>
      <c r="M535" s="47">
        <f>M536</f>
        <v>1200</v>
      </c>
      <c r="N535" s="18">
        <f t="shared" si="116"/>
        <v>1740</v>
      </c>
      <c r="O535" s="47">
        <f>O536</f>
        <v>0</v>
      </c>
      <c r="P535" s="18">
        <f t="shared" si="117"/>
        <v>1740</v>
      </c>
      <c r="Q535" s="47">
        <f>Q536</f>
        <v>0</v>
      </c>
      <c r="R535" s="18">
        <f t="shared" si="118"/>
        <v>1740</v>
      </c>
      <c r="S535" s="47">
        <f>S536</f>
        <v>0</v>
      </c>
      <c r="T535" s="18">
        <f t="shared" si="119"/>
        <v>1740</v>
      </c>
      <c r="U535" s="47">
        <f>U536</f>
        <v>0</v>
      </c>
      <c r="V535" s="18">
        <f t="shared" si="120"/>
        <v>1740</v>
      </c>
      <c r="W535" s="47">
        <f>W536</f>
        <v>0</v>
      </c>
      <c r="X535" s="18">
        <f t="shared" si="121"/>
        <v>1740</v>
      </c>
    </row>
    <row r="536" spans="1:27" x14ac:dyDescent="0.25">
      <c r="A536" s="7" t="s">
        <v>54</v>
      </c>
      <c r="B536" s="67" t="s">
        <v>764</v>
      </c>
      <c r="C536" s="25" t="s">
        <v>34</v>
      </c>
      <c r="D536" s="19"/>
      <c r="E536" s="19"/>
      <c r="F536" s="18"/>
      <c r="G536" s="44">
        <v>180</v>
      </c>
      <c r="H536" s="18">
        <f t="shared" si="113"/>
        <v>180</v>
      </c>
      <c r="I536" s="64"/>
      <c r="J536" s="18">
        <f t="shared" si="114"/>
        <v>180</v>
      </c>
      <c r="K536" s="96">
        <v>360</v>
      </c>
      <c r="L536" s="18">
        <f t="shared" si="115"/>
        <v>540</v>
      </c>
      <c r="M536" s="45">
        <v>1200</v>
      </c>
      <c r="N536" s="18">
        <f t="shared" si="116"/>
        <v>1740</v>
      </c>
      <c r="O536" s="64"/>
      <c r="P536" s="18">
        <f t="shared" si="117"/>
        <v>1740</v>
      </c>
      <c r="Q536" s="64"/>
      <c r="R536" s="18">
        <f t="shared" si="118"/>
        <v>1740</v>
      </c>
      <c r="S536" s="64"/>
      <c r="T536" s="18">
        <f t="shared" si="119"/>
        <v>1740</v>
      </c>
      <c r="U536" s="64"/>
      <c r="V536" s="18">
        <f t="shared" si="120"/>
        <v>1740</v>
      </c>
      <c r="W536" s="64"/>
      <c r="X536" s="18">
        <f t="shared" si="121"/>
        <v>1740</v>
      </c>
      <c r="Z536" s="43">
        <f>X536+Y536</f>
        <v>1740</v>
      </c>
      <c r="AA536" s="43"/>
    </row>
    <row r="537" spans="1:27" ht="24" hidden="1" x14ac:dyDescent="0.25">
      <c r="A537" s="71" t="s">
        <v>640</v>
      </c>
      <c r="B537" s="74" t="s">
        <v>608</v>
      </c>
      <c r="D537" s="19"/>
      <c r="E537" s="19"/>
      <c r="F537" s="18"/>
      <c r="G537" s="18">
        <f>G538</f>
        <v>180</v>
      </c>
      <c r="H537" s="18">
        <f t="shared" si="113"/>
        <v>180</v>
      </c>
      <c r="I537" s="47">
        <f>I538</f>
        <v>0</v>
      </c>
      <c r="J537" s="18">
        <f t="shared" si="114"/>
        <v>180</v>
      </c>
      <c r="K537" s="47">
        <f>K538</f>
        <v>-180</v>
      </c>
      <c r="L537" s="18">
        <f t="shared" si="115"/>
        <v>0</v>
      </c>
      <c r="M537" s="47">
        <f>M538</f>
        <v>0</v>
      </c>
      <c r="N537" s="18">
        <f t="shared" si="116"/>
        <v>0</v>
      </c>
      <c r="O537" s="47">
        <f>O538</f>
        <v>0</v>
      </c>
      <c r="P537" s="18">
        <f t="shared" si="117"/>
        <v>0</v>
      </c>
      <c r="Q537" s="47">
        <f>Q538</f>
        <v>0</v>
      </c>
      <c r="R537" s="18">
        <f t="shared" si="118"/>
        <v>0</v>
      </c>
      <c r="S537" s="47">
        <f>S538</f>
        <v>0</v>
      </c>
      <c r="T537" s="18">
        <f t="shared" si="119"/>
        <v>0</v>
      </c>
      <c r="U537" s="47">
        <f>U538</f>
        <v>0</v>
      </c>
      <c r="V537" s="18">
        <f t="shared" si="120"/>
        <v>0</v>
      </c>
      <c r="W537" s="47">
        <f>W538</f>
        <v>0</v>
      </c>
      <c r="X537" s="18">
        <f t="shared" si="121"/>
        <v>0</v>
      </c>
    </row>
    <row r="538" spans="1:27" hidden="1" x14ac:dyDescent="0.25">
      <c r="A538" s="9" t="s">
        <v>511</v>
      </c>
      <c r="B538" s="67" t="s">
        <v>608</v>
      </c>
      <c r="C538" s="25" t="s">
        <v>66</v>
      </c>
      <c r="D538" s="19"/>
      <c r="E538" s="19"/>
      <c r="F538" s="18"/>
      <c r="G538" s="44">
        <v>180</v>
      </c>
      <c r="H538" s="18">
        <f t="shared" si="113"/>
        <v>180</v>
      </c>
      <c r="I538" s="64"/>
      <c r="J538" s="18">
        <f t="shared" si="114"/>
        <v>180</v>
      </c>
      <c r="K538" s="96">
        <v>-180</v>
      </c>
      <c r="L538" s="18">
        <f t="shared" si="115"/>
        <v>0</v>
      </c>
      <c r="M538" s="64"/>
      <c r="N538" s="18">
        <f t="shared" si="116"/>
        <v>0</v>
      </c>
      <c r="O538" s="64"/>
      <c r="P538" s="18">
        <f t="shared" si="117"/>
        <v>0</v>
      </c>
      <c r="Q538" s="64"/>
      <c r="R538" s="18">
        <f t="shared" si="118"/>
        <v>0</v>
      </c>
      <c r="S538" s="64"/>
      <c r="T538" s="18">
        <f t="shared" si="119"/>
        <v>0</v>
      </c>
      <c r="U538" s="64"/>
      <c r="V538" s="18">
        <f t="shared" si="120"/>
        <v>0</v>
      </c>
      <c r="W538" s="64"/>
      <c r="X538" s="18">
        <f t="shared" si="121"/>
        <v>0</v>
      </c>
      <c r="Z538" s="43">
        <f>X538+Y538</f>
        <v>0</v>
      </c>
      <c r="AA538" s="43"/>
    </row>
    <row r="539" spans="1:27" x14ac:dyDescent="0.25">
      <c r="A539" s="71" t="s">
        <v>641</v>
      </c>
      <c r="B539" s="74" t="s">
        <v>755</v>
      </c>
      <c r="D539" s="19"/>
      <c r="E539" s="19"/>
      <c r="F539" s="18"/>
      <c r="G539" s="18">
        <f>G540</f>
        <v>180</v>
      </c>
      <c r="H539" s="18">
        <f t="shared" si="113"/>
        <v>180</v>
      </c>
      <c r="I539" s="47">
        <f>I540</f>
        <v>0</v>
      </c>
      <c r="J539" s="18">
        <f t="shared" si="114"/>
        <v>180</v>
      </c>
      <c r="K539" s="47">
        <f>K540</f>
        <v>360</v>
      </c>
      <c r="L539" s="18">
        <f t="shared" si="115"/>
        <v>540</v>
      </c>
      <c r="M539" s="47">
        <f>M540</f>
        <v>1200</v>
      </c>
      <c r="N539" s="18">
        <f t="shared" si="116"/>
        <v>1740</v>
      </c>
      <c r="O539" s="47">
        <f>O540</f>
        <v>0</v>
      </c>
      <c r="P539" s="18">
        <f t="shared" si="117"/>
        <v>1740</v>
      </c>
      <c r="Q539" s="47">
        <f>Q540</f>
        <v>0</v>
      </c>
      <c r="R539" s="18">
        <f t="shared" si="118"/>
        <v>1740</v>
      </c>
      <c r="S539" s="47">
        <f>S540</f>
        <v>0</v>
      </c>
      <c r="T539" s="18">
        <f t="shared" si="119"/>
        <v>1740</v>
      </c>
      <c r="U539" s="47">
        <f>U540</f>
        <v>0</v>
      </c>
      <c r="V539" s="18">
        <f t="shared" si="120"/>
        <v>1740</v>
      </c>
      <c r="W539" s="47">
        <f>W540</f>
        <v>0</v>
      </c>
      <c r="X539" s="18">
        <f t="shared" si="121"/>
        <v>1740</v>
      </c>
    </row>
    <row r="540" spans="1:27" x14ac:dyDescent="0.25">
      <c r="A540" s="7" t="s">
        <v>54</v>
      </c>
      <c r="B540" s="67" t="s">
        <v>755</v>
      </c>
      <c r="C540" s="25" t="s">
        <v>34</v>
      </c>
      <c r="D540" s="19"/>
      <c r="E540" s="19"/>
      <c r="F540" s="18"/>
      <c r="G540" s="44">
        <v>180</v>
      </c>
      <c r="H540" s="18">
        <f t="shared" si="113"/>
        <v>180</v>
      </c>
      <c r="I540" s="64"/>
      <c r="J540" s="18">
        <f t="shared" si="114"/>
        <v>180</v>
      </c>
      <c r="K540" s="96">
        <v>360</v>
      </c>
      <c r="L540" s="18">
        <f t="shared" si="115"/>
        <v>540</v>
      </c>
      <c r="M540" s="45">
        <v>1200</v>
      </c>
      <c r="N540" s="18">
        <f t="shared" si="116"/>
        <v>1740</v>
      </c>
      <c r="O540" s="64"/>
      <c r="P540" s="18">
        <f t="shared" si="117"/>
        <v>1740</v>
      </c>
      <c r="Q540" s="64"/>
      <c r="R540" s="18">
        <f t="shared" si="118"/>
        <v>1740</v>
      </c>
      <c r="S540" s="64"/>
      <c r="T540" s="18">
        <f t="shared" si="119"/>
        <v>1740</v>
      </c>
      <c r="U540" s="64"/>
      <c r="V540" s="18">
        <f t="shared" si="120"/>
        <v>1740</v>
      </c>
      <c r="W540" s="64"/>
      <c r="X540" s="18">
        <f t="shared" si="121"/>
        <v>1740</v>
      </c>
      <c r="Z540" s="43">
        <f>X540+Y540</f>
        <v>1740</v>
      </c>
      <c r="AA540" s="43"/>
    </row>
    <row r="541" spans="1:27" ht="36" x14ac:dyDescent="0.25">
      <c r="A541" s="71" t="s">
        <v>642</v>
      </c>
      <c r="B541" s="74" t="s">
        <v>756</v>
      </c>
      <c r="D541" s="19"/>
      <c r="E541" s="19"/>
      <c r="F541" s="18"/>
      <c r="G541" s="18">
        <f>G542</f>
        <v>180</v>
      </c>
      <c r="H541" s="18">
        <f t="shared" si="113"/>
        <v>180</v>
      </c>
      <c r="I541" s="47">
        <f>I542</f>
        <v>0</v>
      </c>
      <c r="J541" s="18">
        <f t="shared" si="114"/>
        <v>180</v>
      </c>
      <c r="K541" s="47">
        <f>K542</f>
        <v>360</v>
      </c>
      <c r="L541" s="18">
        <f t="shared" si="115"/>
        <v>540</v>
      </c>
      <c r="M541" s="47">
        <f>M542</f>
        <v>1200</v>
      </c>
      <c r="N541" s="18">
        <f t="shared" si="116"/>
        <v>1740</v>
      </c>
      <c r="O541" s="47">
        <f>O542</f>
        <v>0</v>
      </c>
      <c r="P541" s="18">
        <f t="shared" si="117"/>
        <v>1740</v>
      </c>
      <c r="Q541" s="47">
        <f>Q542</f>
        <v>0</v>
      </c>
      <c r="R541" s="18">
        <f t="shared" si="118"/>
        <v>1740</v>
      </c>
      <c r="S541" s="47">
        <f>S542</f>
        <v>0</v>
      </c>
      <c r="T541" s="18">
        <f t="shared" si="119"/>
        <v>1740</v>
      </c>
      <c r="U541" s="47">
        <f>U542</f>
        <v>0</v>
      </c>
      <c r="V541" s="18">
        <f t="shared" si="120"/>
        <v>1740</v>
      </c>
      <c r="W541" s="47">
        <f>W542</f>
        <v>0</v>
      </c>
      <c r="X541" s="18">
        <f t="shared" si="121"/>
        <v>1740</v>
      </c>
    </row>
    <row r="542" spans="1:27" x14ac:dyDescent="0.25">
      <c r="A542" s="7" t="s">
        <v>54</v>
      </c>
      <c r="B542" s="67" t="s">
        <v>756</v>
      </c>
      <c r="C542" s="25" t="s">
        <v>34</v>
      </c>
      <c r="D542" s="19"/>
      <c r="E542" s="19"/>
      <c r="F542" s="18"/>
      <c r="G542" s="44">
        <v>180</v>
      </c>
      <c r="H542" s="18">
        <f t="shared" si="113"/>
        <v>180</v>
      </c>
      <c r="I542" s="64"/>
      <c r="J542" s="18">
        <f t="shared" si="114"/>
        <v>180</v>
      </c>
      <c r="K542" s="96">
        <v>360</v>
      </c>
      <c r="L542" s="18">
        <f t="shared" si="115"/>
        <v>540</v>
      </c>
      <c r="M542" s="45">
        <v>1200</v>
      </c>
      <c r="N542" s="18">
        <f t="shared" si="116"/>
        <v>1740</v>
      </c>
      <c r="O542" s="64"/>
      <c r="P542" s="18">
        <f t="shared" si="117"/>
        <v>1740</v>
      </c>
      <c r="Q542" s="64"/>
      <c r="R542" s="18">
        <f t="shared" si="118"/>
        <v>1740</v>
      </c>
      <c r="S542" s="64"/>
      <c r="T542" s="18">
        <f t="shared" si="119"/>
        <v>1740</v>
      </c>
      <c r="U542" s="64"/>
      <c r="V542" s="18">
        <f t="shared" si="120"/>
        <v>1740</v>
      </c>
      <c r="W542" s="64"/>
      <c r="X542" s="18">
        <f t="shared" si="121"/>
        <v>1740</v>
      </c>
      <c r="Z542" s="43">
        <f>X542+Y542</f>
        <v>1740</v>
      </c>
      <c r="AA542" s="43"/>
    </row>
    <row r="543" spans="1:27" ht="24" x14ac:dyDescent="0.25">
      <c r="A543" s="71" t="s">
        <v>643</v>
      </c>
      <c r="B543" s="74" t="s">
        <v>757</v>
      </c>
      <c r="D543" s="19"/>
      <c r="E543" s="19"/>
      <c r="F543" s="18"/>
      <c r="G543" s="18">
        <f>G544</f>
        <v>180</v>
      </c>
      <c r="H543" s="18">
        <f t="shared" si="113"/>
        <v>180</v>
      </c>
      <c r="I543" s="47">
        <f>I544</f>
        <v>0</v>
      </c>
      <c r="J543" s="18">
        <f t="shared" si="114"/>
        <v>180</v>
      </c>
      <c r="K543" s="47">
        <f>K544</f>
        <v>360</v>
      </c>
      <c r="L543" s="18">
        <f t="shared" si="115"/>
        <v>540</v>
      </c>
      <c r="M543" s="47">
        <f>M544</f>
        <v>1200</v>
      </c>
      <c r="N543" s="18">
        <f t="shared" si="116"/>
        <v>1740</v>
      </c>
      <c r="O543" s="47">
        <f>O544</f>
        <v>0</v>
      </c>
      <c r="P543" s="18">
        <f t="shared" si="117"/>
        <v>1740</v>
      </c>
      <c r="Q543" s="47">
        <f>Q544</f>
        <v>0</v>
      </c>
      <c r="R543" s="18">
        <f t="shared" si="118"/>
        <v>1740</v>
      </c>
      <c r="S543" s="47">
        <f>S544</f>
        <v>0</v>
      </c>
      <c r="T543" s="18">
        <f t="shared" si="119"/>
        <v>1740</v>
      </c>
      <c r="U543" s="47">
        <f>U544</f>
        <v>0</v>
      </c>
      <c r="V543" s="18">
        <f t="shared" si="120"/>
        <v>1740</v>
      </c>
      <c r="W543" s="47">
        <f>W544</f>
        <v>0</v>
      </c>
      <c r="X543" s="18">
        <f t="shared" si="121"/>
        <v>1740</v>
      </c>
    </row>
    <row r="544" spans="1:27" x14ac:dyDescent="0.25">
      <c r="A544" s="7" t="s">
        <v>54</v>
      </c>
      <c r="B544" s="67" t="s">
        <v>757</v>
      </c>
      <c r="C544" s="25" t="s">
        <v>34</v>
      </c>
      <c r="D544" s="19"/>
      <c r="E544" s="19"/>
      <c r="F544" s="18"/>
      <c r="G544" s="44">
        <v>180</v>
      </c>
      <c r="H544" s="18">
        <f t="shared" si="113"/>
        <v>180</v>
      </c>
      <c r="I544" s="64"/>
      <c r="J544" s="18">
        <f t="shared" si="114"/>
        <v>180</v>
      </c>
      <c r="K544" s="96">
        <v>360</v>
      </c>
      <c r="L544" s="18">
        <f t="shared" si="115"/>
        <v>540</v>
      </c>
      <c r="M544" s="45">
        <v>1200</v>
      </c>
      <c r="N544" s="18">
        <f t="shared" si="116"/>
        <v>1740</v>
      </c>
      <c r="O544" s="64"/>
      <c r="P544" s="18">
        <f t="shared" si="117"/>
        <v>1740</v>
      </c>
      <c r="Q544" s="64"/>
      <c r="R544" s="18">
        <f t="shared" si="118"/>
        <v>1740</v>
      </c>
      <c r="S544" s="64"/>
      <c r="T544" s="18">
        <f t="shared" si="119"/>
        <v>1740</v>
      </c>
      <c r="U544" s="64"/>
      <c r="V544" s="18">
        <f t="shared" si="120"/>
        <v>1740</v>
      </c>
      <c r="W544" s="64"/>
      <c r="X544" s="18">
        <f t="shared" si="121"/>
        <v>1740</v>
      </c>
      <c r="Z544" s="43">
        <f>X544+Y544</f>
        <v>1740</v>
      </c>
      <c r="AA544" s="43"/>
    </row>
    <row r="545" spans="1:27" hidden="1" x14ac:dyDescent="0.25">
      <c r="A545" s="71" t="s">
        <v>644</v>
      </c>
      <c r="B545" s="74" t="s">
        <v>609</v>
      </c>
      <c r="D545" s="19"/>
      <c r="E545" s="19"/>
      <c r="F545" s="18"/>
      <c r="G545" s="18">
        <f>G546</f>
        <v>180</v>
      </c>
      <c r="H545" s="18">
        <f t="shared" si="113"/>
        <v>180</v>
      </c>
      <c r="I545" s="47">
        <f>I546</f>
        <v>0</v>
      </c>
      <c r="J545" s="18">
        <f t="shared" si="114"/>
        <v>180</v>
      </c>
      <c r="K545" s="47">
        <f>K546</f>
        <v>-180</v>
      </c>
      <c r="L545" s="18">
        <f t="shared" si="115"/>
        <v>0</v>
      </c>
      <c r="M545" s="47">
        <f>M546</f>
        <v>0</v>
      </c>
      <c r="N545" s="18">
        <f t="shared" si="116"/>
        <v>0</v>
      </c>
      <c r="O545" s="47">
        <f>O546</f>
        <v>0</v>
      </c>
      <c r="P545" s="18">
        <f t="shared" si="117"/>
        <v>0</v>
      </c>
      <c r="Q545" s="47">
        <f>Q546</f>
        <v>0</v>
      </c>
      <c r="R545" s="18">
        <f t="shared" si="118"/>
        <v>0</v>
      </c>
      <c r="S545" s="47">
        <f>S546</f>
        <v>0</v>
      </c>
      <c r="T545" s="18">
        <f t="shared" si="119"/>
        <v>0</v>
      </c>
      <c r="U545" s="47">
        <f>U546</f>
        <v>0</v>
      </c>
      <c r="V545" s="18">
        <f t="shared" si="120"/>
        <v>0</v>
      </c>
      <c r="W545" s="47">
        <f>W546</f>
        <v>0</v>
      </c>
      <c r="X545" s="18">
        <f t="shared" si="121"/>
        <v>0</v>
      </c>
    </row>
    <row r="546" spans="1:27" hidden="1" x14ac:dyDescent="0.25">
      <c r="A546" s="9" t="s">
        <v>511</v>
      </c>
      <c r="B546" s="67" t="s">
        <v>609</v>
      </c>
      <c r="C546" s="25" t="s">
        <v>66</v>
      </c>
      <c r="D546" s="19"/>
      <c r="E546" s="19"/>
      <c r="F546" s="18"/>
      <c r="G546" s="44">
        <v>180</v>
      </c>
      <c r="H546" s="18">
        <f t="shared" si="113"/>
        <v>180</v>
      </c>
      <c r="I546" s="64"/>
      <c r="J546" s="18">
        <f t="shared" si="114"/>
        <v>180</v>
      </c>
      <c r="K546" s="96">
        <v>-180</v>
      </c>
      <c r="L546" s="18">
        <f t="shared" si="115"/>
        <v>0</v>
      </c>
      <c r="M546" s="64"/>
      <c r="N546" s="18">
        <f t="shared" si="116"/>
        <v>0</v>
      </c>
      <c r="O546" s="64"/>
      <c r="P546" s="18">
        <f t="shared" si="117"/>
        <v>0</v>
      </c>
      <c r="Q546" s="64"/>
      <c r="R546" s="18">
        <f t="shared" si="118"/>
        <v>0</v>
      </c>
      <c r="S546" s="64"/>
      <c r="T546" s="18">
        <f t="shared" si="119"/>
        <v>0</v>
      </c>
      <c r="U546" s="64"/>
      <c r="V546" s="18">
        <f t="shared" si="120"/>
        <v>0</v>
      </c>
      <c r="W546" s="64"/>
      <c r="X546" s="18">
        <f t="shared" si="121"/>
        <v>0</v>
      </c>
      <c r="Z546" s="43">
        <f>X546+Y546</f>
        <v>0</v>
      </c>
      <c r="AA546" s="43"/>
    </row>
    <row r="547" spans="1:27" x14ac:dyDescent="0.25">
      <c r="A547" s="71" t="s">
        <v>654</v>
      </c>
      <c r="B547" s="74" t="s">
        <v>1146</v>
      </c>
      <c r="D547" s="19"/>
      <c r="E547" s="19"/>
      <c r="F547" s="18"/>
      <c r="G547" s="18">
        <f>G548</f>
        <v>180</v>
      </c>
      <c r="H547" s="18">
        <f t="shared" si="113"/>
        <v>180</v>
      </c>
      <c r="I547" s="47">
        <f>I548</f>
        <v>0</v>
      </c>
      <c r="J547" s="18">
        <f t="shared" si="114"/>
        <v>180</v>
      </c>
      <c r="K547" s="47">
        <f>K548</f>
        <v>270</v>
      </c>
      <c r="L547" s="18">
        <f t="shared" si="115"/>
        <v>450</v>
      </c>
      <c r="M547" s="47">
        <f>M548</f>
        <v>1000</v>
      </c>
      <c r="N547" s="18">
        <f t="shared" si="116"/>
        <v>1450</v>
      </c>
      <c r="O547" s="47">
        <f>O548</f>
        <v>0</v>
      </c>
      <c r="P547" s="18">
        <f t="shared" si="117"/>
        <v>1450</v>
      </c>
      <c r="Q547" s="47">
        <f>Q548</f>
        <v>0</v>
      </c>
      <c r="R547" s="18">
        <f t="shared" si="118"/>
        <v>1450</v>
      </c>
      <c r="S547" s="47">
        <f>S548</f>
        <v>0</v>
      </c>
      <c r="T547" s="18">
        <f t="shared" si="119"/>
        <v>1450</v>
      </c>
      <c r="U547" s="47">
        <f>U548</f>
        <v>0</v>
      </c>
      <c r="V547" s="18">
        <f t="shared" si="120"/>
        <v>1450</v>
      </c>
      <c r="W547" s="47">
        <f>W548</f>
        <v>0</v>
      </c>
      <c r="X547" s="18">
        <f t="shared" si="121"/>
        <v>1450</v>
      </c>
    </row>
    <row r="548" spans="1:27" x14ac:dyDescent="0.25">
      <c r="A548" s="7" t="s">
        <v>54</v>
      </c>
      <c r="B548" s="67" t="s">
        <v>1146</v>
      </c>
      <c r="C548" s="25" t="s">
        <v>34</v>
      </c>
      <c r="D548" s="19"/>
      <c r="E548" s="19"/>
      <c r="F548" s="18"/>
      <c r="G548" s="44">
        <v>180</v>
      </c>
      <c r="H548" s="18">
        <f t="shared" si="113"/>
        <v>180</v>
      </c>
      <c r="I548" s="64"/>
      <c r="J548" s="18">
        <f t="shared" si="114"/>
        <v>180</v>
      </c>
      <c r="K548" s="96">
        <f>-30+300</f>
        <v>270</v>
      </c>
      <c r="L548" s="18">
        <f t="shared" si="115"/>
        <v>450</v>
      </c>
      <c r="M548" s="45">
        <v>1000</v>
      </c>
      <c r="N548" s="18">
        <f t="shared" si="116"/>
        <v>1450</v>
      </c>
      <c r="O548" s="64"/>
      <c r="P548" s="18">
        <f t="shared" si="117"/>
        <v>1450</v>
      </c>
      <c r="Q548" s="64"/>
      <c r="R548" s="18">
        <f t="shared" si="118"/>
        <v>1450</v>
      </c>
      <c r="S548" s="64"/>
      <c r="T548" s="18">
        <f t="shared" si="119"/>
        <v>1450</v>
      </c>
      <c r="U548" s="64"/>
      <c r="V548" s="18">
        <f t="shared" si="120"/>
        <v>1450</v>
      </c>
      <c r="W548" s="64"/>
      <c r="X548" s="18">
        <f t="shared" si="121"/>
        <v>1450</v>
      </c>
      <c r="Z548" s="43">
        <f>X548+Y548</f>
        <v>1450</v>
      </c>
      <c r="AA548" s="43"/>
    </row>
    <row r="549" spans="1:27" ht="24" x14ac:dyDescent="0.25">
      <c r="A549" s="71" t="s">
        <v>645</v>
      </c>
      <c r="B549" s="74" t="s">
        <v>765</v>
      </c>
      <c r="D549" s="19"/>
      <c r="E549" s="19"/>
      <c r="F549" s="18"/>
      <c r="G549" s="18">
        <f>G550</f>
        <v>120</v>
      </c>
      <c r="H549" s="18">
        <f t="shared" si="113"/>
        <v>120</v>
      </c>
      <c r="I549" s="47">
        <f>I550</f>
        <v>0</v>
      </c>
      <c r="J549" s="18">
        <f t="shared" si="114"/>
        <v>120</v>
      </c>
      <c r="K549" s="47">
        <f>K550</f>
        <v>240</v>
      </c>
      <c r="L549" s="18">
        <f t="shared" si="115"/>
        <v>360</v>
      </c>
      <c r="M549" s="47">
        <f>M550</f>
        <v>800</v>
      </c>
      <c r="N549" s="18">
        <f t="shared" si="116"/>
        <v>1160</v>
      </c>
      <c r="O549" s="47">
        <f>O550</f>
        <v>0</v>
      </c>
      <c r="P549" s="18">
        <f t="shared" si="117"/>
        <v>1160</v>
      </c>
      <c r="Q549" s="47">
        <f>Q550</f>
        <v>0</v>
      </c>
      <c r="R549" s="18">
        <f t="shared" si="118"/>
        <v>1160</v>
      </c>
      <c r="S549" s="47">
        <f>S550</f>
        <v>0</v>
      </c>
      <c r="T549" s="18">
        <f t="shared" si="119"/>
        <v>1160</v>
      </c>
      <c r="U549" s="47">
        <f>U550</f>
        <v>0</v>
      </c>
      <c r="V549" s="18">
        <f t="shared" si="120"/>
        <v>1160</v>
      </c>
      <c r="W549" s="47">
        <f>W550</f>
        <v>0</v>
      </c>
      <c r="X549" s="18">
        <f t="shared" si="121"/>
        <v>1160</v>
      </c>
    </row>
    <row r="550" spans="1:27" x14ac:dyDescent="0.25">
      <c r="A550" s="7" t="s">
        <v>54</v>
      </c>
      <c r="B550" s="67" t="s">
        <v>765</v>
      </c>
      <c r="C550" s="25" t="s">
        <v>34</v>
      </c>
      <c r="D550" s="19"/>
      <c r="E550" s="19"/>
      <c r="F550" s="18"/>
      <c r="G550" s="44">
        <v>120</v>
      </c>
      <c r="H550" s="18">
        <f t="shared" si="113"/>
        <v>120</v>
      </c>
      <c r="I550" s="64"/>
      <c r="J550" s="18">
        <f t="shared" si="114"/>
        <v>120</v>
      </c>
      <c r="K550" s="96">
        <v>240</v>
      </c>
      <c r="L550" s="18">
        <f t="shared" si="115"/>
        <v>360</v>
      </c>
      <c r="M550" s="45">
        <v>800</v>
      </c>
      <c r="N550" s="18">
        <f t="shared" si="116"/>
        <v>1160</v>
      </c>
      <c r="O550" s="64"/>
      <c r="P550" s="18">
        <f t="shared" si="117"/>
        <v>1160</v>
      </c>
      <c r="Q550" s="64"/>
      <c r="R550" s="18">
        <f t="shared" si="118"/>
        <v>1160</v>
      </c>
      <c r="S550" s="64"/>
      <c r="T550" s="18">
        <f t="shared" si="119"/>
        <v>1160</v>
      </c>
      <c r="U550" s="64"/>
      <c r="V550" s="18">
        <f t="shared" si="120"/>
        <v>1160</v>
      </c>
      <c r="W550" s="64"/>
      <c r="X550" s="18">
        <f t="shared" si="121"/>
        <v>1160</v>
      </c>
      <c r="Z550" s="43">
        <f>X550+Y550</f>
        <v>1160</v>
      </c>
      <c r="AA550" s="43"/>
    </row>
    <row r="551" spans="1:27" ht="24" x14ac:dyDescent="0.25">
      <c r="A551" s="71" t="s">
        <v>646</v>
      </c>
      <c r="B551" s="74" t="s">
        <v>766</v>
      </c>
      <c r="D551" s="19"/>
      <c r="E551" s="19"/>
      <c r="F551" s="18"/>
      <c r="G551" s="18">
        <f>G552</f>
        <v>90</v>
      </c>
      <c r="H551" s="18">
        <f t="shared" si="113"/>
        <v>90</v>
      </c>
      <c r="I551" s="47">
        <f>I552</f>
        <v>0</v>
      </c>
      <c r="J551" s="18">
        <f t="shared" si="114"/>
        <v>90</v>
      </c>
      <c r="K551" s="47">
        <f>K552</f>
        <v>180</v>
      </c>
      <c r="L551" s="18">
        <f t="shared" si="115"/>
        <v>270</v>
      </c>
      <c r="M551" s="47">
        <f>M552</f>
        <v>600</v>
      </c>
      <c r="N551" s="18">
        <f t="shared" si="116"/>
        <v>870</v>
      </c>
      <c r="O551" s="47">
        <f>O552</f>
        <v>0</v>
      </c>
      <c r="P551" s="18">
        <f t="shared" si="117"/>
        <v>870</v>
      </c>
      <c r="Q551" s="47">
        <f>Q552</f>
        <v>0</v>
      </c>
      <c r="R551" s="18">
        <f t="shared" si="118"/>
        <v>870</v>
      </c>
      <c r="S551" s="47">
        <f>S552</f>
        <v>0</v>
      </c>
      <c r="T551" s="18">
        <f t="shared" si="119"/>
        <v>870</v>
      </c>
      <c r="U551" s="47">
        <f>U552</f>
        <v>0</v>
      </c>
      <c r="V551" s="18">
        <f t="shared" si="120"/>
        <v>870</v>
      </c>
      <c r="W551" s="47">
        <f>W552</f>
        <v>0</v>
      </c>
      <c r="X551" s="18">
        <f t="shared" si="121"/>
        <v>870</v>
      </c>
    </row>
    <row r="552" spans="1:27" x14ac:dyDescent="0.25">
      <c r="A552" s="7" t="s">
        <v>54</v>
      </c>
      <c r="B552" s="67" t="s">
        <v>766</v>
      </c>
      <c r="C552" s="25" t="s">
        <v>34</v>
      </c>
      <c r="D552" s="19"/>
      <c r="E552" s="19"/>
      <c r="F552" s="18"/>
      <c r="G552" s="44">
        <v>90</v>
      </c>
      <c r="H552" s="18">
        <f t="shared" si="113"/>
        <v>90</v>
      </c>
      <c r="I552" s="64"/>
      <c r="J552" s="18">
        <f t="shared" si="114"/>
        <v>90</v>
      </c>
      <c r="K552" s="96">
        <v>180</v>
      </c>
      <c r="L552" s="18">
        <f t="shared" si="115"/>
        <v>270</v>
      </c>
      <c r="M552" s="45">
        <v>600</v>
      </c>
      <c r="N552" s="18">
        <f t="shared" si="116"/>
        <v>870</v>
      </c>
      <c r="O552" s="64"/>
      <c r="P552" s="18">
        <f t="shared" si="117"/>
        <v>870</v>
      </c>
      <c r="Q552" s="64"/>
      <c r="R552" s="18">
        <f t="shared" si="118"/>
        <v>870</v>
      </c>
      <c r="S552" s="64"/>
      <c r="T552" s="18">
        <f t="shared" si="119"/>
        <v>870</v>
      </c>
      <c r="U552" s="64"/>
      <c r="V552" s="18">
        <f t="shared" si="120"/>
        <v>870</v>
      </c>
      <c r="W552" s="64"/>
      <c r="X552" s="18">
        <f t="shared" si="121"/>
        <v>870</v>
      </c>
      <c r="Z552" s="43">
        <f>X552+Y552</f>
        <v>870</v>
      </c>
      <c r="AA552" s="43"/>
    </row>
    <row r="553" spans="1:27" x14ac:dyDescent="0.25">
      <c r="A553" s="71" t="s">
        <v>647</v>
      </c>
      <c r="B553" s="74" t="s">
        <v>767</v>
      </c>
      <c r="D553" s="19"/>
      <c r="E553" s="19"/>
      <c r="F553" s="18"/>
      <c r="G553" s="18">
        <f>G554</f>
        <v>118</v>
      </c>
      <c r="H553" s="18">
        <f t="shared" si="113"/>
        <v>118</v>
      </c>
      <c r="I553" s="47">
        <f>I554</f>
        <v>0</v>
      </c>
      <c r="J553" s="18">
        <f t="shared" si="114"/>
        <v>118</v>
      </c>
      <c r="K553" s="47">
        <f>K554</f>
        <v>236.1</v>
      </c>
      <c r="L553" s="18">
        <f t="shared" si="115"/>
        <v>354.1</v>
      </c>
      <c r="M553" s="47">
        <f>M554</f>
        <v>786.9</v>
      </c>
      <c r="N553" s="18">
        <f t="shared" si="116"/>
        <v>1141</v>
      </c>
      <c r="O553" s="47">
        <f>O554</f>
        <v>0</v>
      </c>
      <c r="P553" s="18">
        <f t="shared" si="117"/>
        <v>1141</v>
      </c>
      <c r="Q553" s="47">
        <f>Q554</f>
        <v>0</v>
      </c>
      <c r="R553" s="18">
        <f t="shared" si="118"/>
        <v>1141</v>
      </c>
      <c r="S553" s="47">
        <f>S554</f>
        <v>0</v>
      </c>
      <c r="T553" s="18">
        <f t="shared" si="119"/>
        <v>1141</v>
      </c>
      <c r="U553" s="47">
        <f>U554</f>
        <v>0</v>
      </c>
      <c r="V553" s="18">
        <f t="shared" si="120"/>
        <v>1141</v>
      </c>
      <c r="W553" s="47">
        <f>W554</f>
        <v>0</v>
      </c>
      <c r="X553" s="18">
        <f t="shared" si="121"/>
        <v>1141</v>
      </c>
    </row>
    <row r="554" spans="1:27" x14ac:dyDescent="0.25">
      <c r="A554" s="7" t="s">
        <v>54</v>
      </c>
      <c r="B554" s="67" t="s">
        <v>767</v>
      </c>
      <c r="C554" s="25" t="s">
        <v>34</v>
      </c>
      <c r="D554" s="19"/>
      <c r="E554" s="19"/>
      <c r="F554" s="18"/>
      <c r="G554" s="44">
        <v>118</v>
      </c>
      <c r="H554" s="18">
        <f t="shared" si="113"/>
        <v>118</v>
      </c>
      <c r="I554" s="64"/>
      <c r="J554" s="18">
        <f t="shared" si="114"/>
        <v>118</v>
      </c>
      <c r="K554" s="96">
        <v>236.1</v>
      </c>
      <c r="L554" s="18">
        <f t="shared" si="115"/>
        <v>354.1</v>
      </c>
      <c r="M554" s="45">
        <v>786.9</v>
      </c>
      <c r="N554" s="18">
        <f t="shared" si="116"/>
        <v>1141</v>
      </c>
      <c r="O554" s="64"/>
      <c r="P554" s="18">
        <f t="shared" si="117"/>
        <v>1141</v>
      </c>
      <c r="Q554" s="64"/>
      <c r="R554" s="18">
        <f t="shared" si="118"/>
        <v>1141</v>
      </c>
      <c r="S554" s="64"/>
      <c r="T554" s="18">
        <f t="shared" si="119"/>
        <v>1141</v>
      </c>
      <c r="U554" s="64"/>
      <c r="V554" s="18">
        <f t="shared" si="120"/>
        <v>1141</v>
      </c>
      <c r="W554" s="64"/>
      <c r="X554" s="18">
        <f t="shared" si="121"/>
        <v>1141</v>
      </c>
      <c r="Z554" s="43">
        <f>X554+Y554</f>
        <v>1141</v>
      </c>
      <c r="AA554" s="43"/>
    </row>
    <row r="555" spans="1:27" x14ac:dyDescent="0.25">
      <c r="A555" s="71" t="s">
        <v>648</v>
      </c>
      <c r="B555" s="74" t="s">
        <v>768</v>
      </c>
      <c r="D555" s="19"/>
      <c r="E555" s="19"/>
      <c r="F555" s="18"/>
      <c r="G555" s="18">
        <f>G556</f>
        <v>96.2</v>
      </c>
      <c r="H555" s="18">
        <f t="shared" si="113"/>
        <v>96.2</v>
      </c>
      <c r="I555" s="47">
        <f>I556</f>
        <v>0</v>
      </c>
      <c r="J555" s="18">
        <f t="shared" si="114"/>
        <v>96.2</v>
      </c>
      <c r="K555" s="47">
        <f>K556</f>
        <v>192.4</v>
      </c>
      <c r="L555" s="18">
        <f t="shared" si="115"/>
        <v>288.60000000000002</v>
      </c>
      <c r="M555" s="47">
        <f>M556</f>
        <v>641.29999999999995</v>
      </c>
      <c r="N555" s="18">
        <f t="shared" si="116"/>
        <v>929.9</v>
      </c>
      <c r="O555" s="47">
        <f>O556</f>
        <v>0</v>
      </c>
      <c r="P555" s="18">
        <f t="shared" si="117"/>
        <v>929.9</v>
      </c>
      <c r="Q555" s="47">
        <f>Q556</f>
        <v>0</v>
      </c>
      <c r="R555" s="18">
        <f t="shared" si="118"/>
        <v>929.9</v>
      </c>
      <c r="S555" s="47">
        <f>S556</f>
        <v>0</v>
      </c>
      <c r="T555" s="18">
        <f t="shared" si="119"/>
        <v>929.9</v>
      </c>
      <c r="U555" s="47">
        <f>U556</f>
        <v>0</v>
      </c>
      <c r="V555" s="18">
        <f t="shared" si="120"/>
        <v>929.9</v>
      </c>
      <c r="W555" s="47">
        <f>W556</f>
        <v>0</v>
      </c>
      <c r="X555" s="18">
        <f t="shared" si="121"/>
        <v>929.9</v>
      </c>
    </row>
    <row r="556" spans="1:27" x14ac:dyDescent="0.25">
      <c r="A556" s="7" t="s">
        <v>54</v>
      </c>
      <c r="B556" s="67" t="s">
        <v>768</v>
      </c>
      <c r="C556" s="25" t="s">
        <v>34</v>
      </c>
      <c r="D556" s="19"/>
      <c r="E556" s="19"/>
      <c r="F556" s="18"/>
      <c r="G556" s="44">
        <v>96.2</v>
      </c>
      <c r="H556" s="18">
        <f t="shared" si="113"/>
        <v>96.2</v>
      </c>
      <c r="I556" s="64"/>
      <c r="J556" s="18">
        <f t="shared" si="114"/>
        <v>96.2</v>
      </c>
      <c r="K556" s="96">
        <v>192.4</v>
      </c>
      <c r="L556" s="18">
        <f t="shared" si="115"/>
        <v>288.60000000000002</v>
      </c>
      <c r="M556" s="45">
        <v>641.29999999999995</v>
      </c>
      <c r="N556" s="18">
        <f t="shared" si="116"/>
        <v>929.9</v>
      </c>
      <c r="O556" s="64"/>
      <c r="P556" s="18">
        <f t="shared" si="117"/>
        <v>929.9</v>
      </c>
      <c r="Q556" s="64"/>
      <c r="R556" s="18">
        <f t="shared" si="118"/>
        <v>929.9</v>
      </c>
      <c r="S556" s="64"/>
      <c r="T556" s="18">
        <f t="shared" si="119"/>
        <v>929.9</v>
      </c>
      <c r="U556" s="64"/>
      <c r="V556" s="18">
        <f t="shared" si="120"/>
        <v>929.9</v>
      </c>
      <c r="W556" s="64"/>
      <c r="X556" s="18">
        <f t="shared" si="121"/>
        <v>929.9</v>
      </c>
      <c r="Z556" s="43">
        <f>X556+Y556</f>
        <v>929.9</v>
      </c>
      <c r="AA556" s="43"/>
    </row>
    <row r="557" spans="1:27" hidden="1" x14ac:dyDescent="0.25">
      <c r="A557" s="71" t="s">
        <v>649</v>
      </c>
      <c r="B557" s="74" t="s">
        <v>610</v>
      </c>
      <c r="D557" s="19"/>
      <c r="E557" s="19"/>
      <c r="F557" s="18"/>
      <c r="G557" s="18">
        <f>G558</f>
        <v>180</v>
      </c>
      <c r="H557" s="18">
        <f t="shared" si="113"/>
        <v>180</v>
      </c>
      <c r="I557" s="47">
        <f>I558</f>
        <v>0</v>
      </c>
      <c r="J557" s="18">
        <f t="shared" si="114"/>
        <v>180</v>
      </c>
      <c r="K557" s="47">
        <f>K558</f>
        <v>-180</v>
      </c>
      <c r="L557" s="18">
        <f t="shared" si="115"/>
        <v>0</v>
      </c>
      <c r="M557" s="47">
        <f>M558</f>
        <v>0</v>
      </c>
      <c r="N557" s="18">
        <f t="shared" si="116"/>
        <v>0</v>
      </c>
      <c r="O557" s="47">
        <f>O558</f>
        <v>0</v>
      </c>
      <c r="P557" s="18">
        <f t="shared" si="117"/>
        <v>0</v>
      </c>
      <c r="Q557" s="47">
        <f>Q558</f>
        <v>0</v>
      </c>
      <c r="R557" s="18">
        <f t="shared" si="118"/>
        <v>0</v>
      </c>
      <c r="S557" s="47">
        <f>S558</f>
        <v>0</v>
      </c>
      <c r="T557" s="18">
        <f t="shared" si="119"/>
        <v>0</v>
      </c>
      <c r="U557" s="47">
        <f>U558</f>
        <v>0</v>
      </c>
      <c r="V557" s="18">
        <f t="shared" si="120"/>
        <v>0</v>
      </c>
      <c r="W557" s="47">
        <f>W558</f>
        <v>0</v>
      </c>
      <c r="X557" s="18">
        <f t="shared" si="121"/>
        <v>0</v>
      </c>
    </row>
    <row r="558" spans="1:27" hidden="1" x14ac:dyDescent="0.25">
      <c r="A558" s="7" t="s">
        <v>54</v>
      </c>
      <c r="B558" s="67" t="s">
        <v>610</v>
      </c>
      <c r="C558" s="25" t="s">
        <v>34</v>
      </c>
      <c r="D558" s="19"/>
      <c r="E558" s="19"/>
      <c r="F558" s="18"/>
      <c r="G558" s="44">
        <v>180</v>
      </c>
      <c r="H558" s="18">
        <f t="shared" si="113"/>
        <v>180</v>
      </c>
      <c r="I558" s="64"/>
      <c r="J558" s="18">
        <f t="shared" si="114"/>
        <v>180</v>
      </c>
      <c r="K558" s="96">
        <v>-180</v>
      </c>
      <c r="L558" s="18">
        <f t="shared" si="115"/>
        <v>0</v>
      </c>
      <c r="M558" s="64"/>
      <c r="N558" s="18">
        <f t="shared" si="116"/>
        <v>0</v>
      </c>
      <c r="O558" s="64"/>
      <c r="P558" s="18">
        <f t="shared" si="117"/>
        <v>0</v>
      </c>
      <c r="Q558" s="64"/>
      <c r="R558" s="18">
        <f t="shared" si="118"/>
        <v>0</v>
      </c>
      <c r="S558" s="64"/>
      <c r="T558" s="18">
        <f t="shared" si="119"/>
        <v>0</v>
      </c>
      <c r="U558" s="64"/>
      <c r="V558" s="18">
        <f t="shared" si="120"/>
        <v>0</v>
      </c>
      <c r="W558" s="64"/>
      <c r="X558" s="18">
        <f t="shared" si="121"/>
        <v>0</v>
      </c>
      <c r="Z558" s="43">
        <f>X558+Y558</f>
        <v>0</v>
      </c>
      <c r="AA558" s="43"/>
    </row>
    <row r="559" spans="1:27" x14ac:dyDescent="0.25">
      <c r="A559" s="71" t="s">
        <v>650</v>
      </c>
      <c r="B559" s="74" t="s">
        <v>769</v>
      </c>
      <c r="D559" s="19"/>
      <c r="E559" s="19"/>
      <c r="F559" s="18"/>
      <c r="G559" s="18">
        <f>G560</f>
        <v>147.69999999999999</v>
      </c>
      <c r="H559" s="18">
        <f t="shared" si="113"/>
        <v>147.69999999999999</v>
      </c>
      <c r="I559" s="47">
        <f>I560</f>
        <v>0</v>
      </c>
      <c r="J559" s="18">
        <f t="shared" si="114"/>
        <v>147.69999999999999</v>
      </c>
      <c r="K559" s="47">
        <f>K560</f>
        <v>295.39999999999998</v>
      </c>
      <c r="L559" s="18">
        <f t="shared" si="115"/>
        <v>443.09999999999997</v>
      </c>
      <c r="M559" s="47">
        <f>M560</f>
        <v>984.6</v>
      </c>
      <c r="N559" s="18">
        <f t="shared" si="116"/>
        <v>1427.7</v>
      </c>
      <c r="O559" s="47">
        <f>O560</f>
        <v>0</v>
      </c>
      <c r="P559" s="18">
        <f t="shared" si="117"/>
        <v>1427.7</v>
      </c>
      <c r="Q559" s="47">
        <f>Q560</f>
        <v>0</v>
      </c>
      <c r="R559" s="18">
        <f t="shared" si="118"/>
        <v>1427.7</v>
      </c>
      <c r="S559" s="47">
        <f>S560</f>
        <v>0</v>
      </c>
      <c r="T559" s="18">
        <f t="shared" si="119"/>
        <v>1427.7</v>
      </c>
      <c r="U559" s="47">
        <f>U560</f>
        <v>0</v>
      </c>
      <c r="V559" s="18">
        <f t="shared" si="120"/>
        <v>1427.7</v>
      </c>
      <c r="W559" s="47">
        <f>W560</f>
        <v>-0.1</v>
      </c>
      <c r="X559" s="18">
        <f t="shared" si="121"/>
        <v>1427.6000000000001</v>
      </c>
    </row>
    <row r="560" spans="1:27" x14ac:dyDescent="0.25">
      <c r="A560" s="7" t="s">
        <v>54</v>
      </c>
      <c r="B560" s="67" t="s">
        <v>769</v>
      </c>
      <c r="C560" s="25" t="s">
        <v>34</v>
      </c>
      <c r="D560" s="19"/>
      <c r="E560" s="19"/>
      <c r="F560" s="18"/>
      <c r="G560" s="44">
        <v>147.69999999999999</v>
      </c>
      <c r="H560" s="18">
        <f t="shared" si="113"/>
        <v>147.69999999999999</v>
      </c>
      <c r="I560" s="64"/>
      <c r="J560" s="18">
        <f t="shared" si="114"/>
        <v>147.69999999999999</v>
      </c>
      <c r="K560" s="96">
        <v>295.39999999999998</v>
      </c>
      <c r="L560" s="18">
        <f t="shared" si="115"/>
        <v>443.09999999999997</v>
      </c>
      <c r="M560" s="45">
        <v>984.6</v>
      </c>
      <c r="N560" s="18">
        <f t="shared" si="116"/>
        <v>1427.7</v>
      </c>
      <c r="O560" s="64"/>
      <c r="P560" s="18">
        <f t="shared" si="117"/>
        <v>1427.7</v>
      </c>
      <c r="Q560" s="64"/>
      <c r="R560" s="18">
        <f t="shared" si="118"/>
        <v>1427.7</v>
      </c>
      <c r="S560" s="64"/>
      <c r="T560" s="18">
        <f t="shared" si="119"/>
        <v>1427.7</v>
      </c>
      <c r="U560" s="64"/>
      <c r="V560" s="18">
        <f t="shared" si="120"/>
        <v>1427.7</v>
      </c>
      <c r="W560" s="160">
        <v>-0.1</v>
      </c>
      <c r="X560" s="18">
        <f t="shared" si="121"/>
        <v>1427.6000000000001</v>
      </c>
      <c r="Z560" s="43">
        <f>X560+Y560</f>
        <v>1427.6000000000001</v>
      </c>
      <c r="AA560" s="43"/>
    </row>
    <row r="561" spans="1:27" ht="24" x14ac:dyDescent="0.25">
      <c r="A561" s="71" t="s">
        <v>651</v>
      </c>
      <c r="B561" s="74" t="s">
        <v>770</v>
      </c>
      <c r="D561" s="19"/>
      <c r="E561" s="19"/>
      <c r="F561" s="18"/>
      <c r="G561" s="18">
        <f>G562</f>
        <v>167.7</v>
      </c>
      <c r="H561" s="18">
        <f t="shared" si="113"/>
        <v>167.7</v>
      </c>
      <c r="I561" s="47">
        <f>I562</f>
        <v>0</v>
      </c>
      <c r="J561" s="18">
        <f t="shared" si="114"/>
        <v>167.7</v>
      </c>
      <c r="K561" s="47">
        <f>K562</f>
        <v>335.5</v>
      </c>
      <c r="L561" s="18">
        <f t="shared" si="115"/>
        <v>503.2</v>
      </c>
      <c r="M561" s="47">
        <f>M562</f>
        <v>1118.3</v>
      </c>
      <c r="N561" s="18">
        <f t="shared" si="116"/>
        <v>1621.5</v>
      </c>
      <c r="O561" s="47">
        <f>O562</f>
        <v>0</v>
      </c>
      <c r="P561" s="18">
        <f t="shared" si="117"/>
        <v>1621.5</v>
      </c>
      <c r="Q561" s="47">
        <f>Q562</f>
        <v>0</v>
      </c>
      <c r="R561" s="18">
        <f t="shared" si="118"/>
        <v>1621.5</v>
      </c>
      <c r="S561" s="47">
        <f>S562</f>
        <v>0</v>
      </c>
      <c r="T561" s="18">
        <f t="shared" si="119"/>
        <v>1621.5</v>
      </c>
      <c r="U561" s="47">
        <f>U562</f>
        <v>0</v>
      </c>
      <c r="V561" s="18">
        <f t="shared" si="120"/>
        <v>1621.5</v>
      </c>
      <c r="W561" s="47">
        <f>W562</f>
        <v>0.1</v>
      </c>
      <c r="X561" s="18">
        <f t="shared" si="121"/>
        <v>1621.6</v>
      </c>
    </row>
    <row r="562" spans="1:27" x14ac:dyDescent="0.25">
      <c r="A562" s="7" t="s">
        <v>54</v>
      </c>
      <c r="B562" s="67" t="s">
        <v>770</v>
      </c>
      <c r="C562" s="25" t="s">
        <v>34</v>
      </c>
      <c r="D562" s="19"/>
      <c r="E562" s="19"/>
      <c r="F562" s="18"/>
      <c r="G562" s="44">
        <v>167.7</v>
      </c>
      <c r="H562" s="18">
        <f t="shared" si="113"/>
        <v>167.7</v>
      </c>
      <c r="I562" s="64"/>
      <c r="J562" s="18">
        <f t="shared" si="114"/>
        <v>167.7</v>
      </c>
      <c r="K562" s="96">
        <v>335.5</v>
      </c>
      <c r="L562" s="18">
        <f t="shared" si="115"/>
        <v>503.2</v>
      </c>
      <c r="M562" s="45">
        <v>1118.3</v>
      </c>
      <c r="N562" s="18">
        <f t="shared" si="116"/>
        <v>1621.5</v>
      </c>
      <c r="O562" s="64"/>
      <c r="P562" s="18">
        <f t="shared" si="117"/>
        <v>1621.5</v>
      </c>
      <c r="Q562" s="64"/>
      <c r="R562" s="18">
        <f t="shared" si="118"/>
        <v>1621.5</v>
      </c>
      <c r="S562" s="64"/>
      <c r="T562" s="18">
        <f t="shared" si="119"/>
        <v>1621.5</v>
      </c>
      <c r="U562" s="64"/>
      <c r="V562" s="18">
        <f t="shared" si="120"/>
        <v>1621.5</v>
      </c>
      <c r="W562" s="160">
        <v>0.1</v>
      </c>
      <c r="X562" s="18">
        <f t="shared" si="121"/>
        <v>1621.6</v>
      </c>
      <c r="Z562" s="43">
        <f>X562+Y562</f>
        <v>1621.6</v>
      </c>
      <c r="AA562" s="43"/>
    </row>
    <row r="563" spans="1:27" hidden="1" x14ac:dyDescent="0.25">
      <c r="A563" s="71" t="s">
        <v>652</v>
      </c>
      <c r="B563" s="74" t="s">
        <v>611</v>
      </c>
      <c r="D563" s="19"/>
      <c r="E563" s="19"/>
      <c r="F563" s="18"/>
      <c r="G563" s="18">
        <f>G564</f>
        <v>180</v>
      </c>
      <c r="H563" s="18">
        <f t="shared" si="113"/>
        <v>180</v>
      </c>
      <c r="I563" s="47">
        <f>I564</f>
        <v>0</v>
      </c>
      <c r="J563" s="18">
        <f t="shared" si="114"/>
        <v>180</v>
      </c>
      <c r="K563" s="47">
        <f>K564</f>
        <v>-180</v>
      </c>
      <c r="L563" s="18">
        <f t="shared" si="115"/>
        <v>0</v>
      </c>
      <c r="M563" s="47">
        <f>M564</f>
        <v>0</v>
      </c>
      <c r="N563" s="18">
        <f t="shared" si="116"/>
        <v>0</v>
      </c>
      <c r="O563" s="47">
        <f>O564</f>
        <v>0</v>
      </c>
      <c r="P563" s="18">
        <f t="shared" si="117"/>
        <v>0</v>
      </c>
      <c r="Q563" s="47">
        <f>Q564</f>
        <v>0</v>
      </c>
      <c r="R563" s="18">
        <f t="shared" si="118"/>
        <v>0</v>
      </c>
      <c r="S563" s="47">
        <f>S564</f>
        <v>0</v>
      </c>
      <c r="T563" s="18">
        <f t="shared" si="119"/>
        <v>0</v>
      </c>
      <c r="U563" s="47">
        <f>U564</f>
        <v>0</v>
      </c>
      <c r="V563" s="18">
        <f t="shared" si="120"/>
        <v>0</v>
      </c>
      <c r="W563" s="47">
        <f>W564</f>
        <v>0</v>
      </c>
      <c r="X563" s="18">
        <f t="shared" si="121"/>
        <v>0</v>
      </c>
    </row>
    <row r="564" spans="1:27" hidden="1" x14ac:dyDescent="0.25">
      <c r="A564" s="7" t="s">
        <v>54</v>
      </c>
      <c r="B564" s="67" t="s">
        <v>611</v>
      </c>
      <c r="C564" s="25" t="s">
        <v>34</v>
      </c>
      <c r="D564" s="19"/>
      <c r="E564" s="19"/>
      <c r="F564" s="18"/>
      <c r="G564" s="44">
        <v>180</v>
      </c>
      <c r="H564" s="18">
        <f t="shared" si="113"/>
        <v>180</v>
      </c>
      <c r="I564" s="64"/>
      <c r="J564" s="18">
        <f t="shared" si="114"/>
        <v>180</v>
      </c>
      <c r="K564" s="96">
        <v>-180</v>
      </c>
      <c r="L564" s="18">
        <f t="shared" si="115"/>
        <v>0</v>
      </c>
      <c r="M564" s="64"/>
      <c r="N564" s="18">
        <f t="shared" si="116"/>
        <v>0</v>
      </c>
      <c r="O564" s="64"/>
      <c r="P564" s="18">
        <f t="shared" si="117"/>
        <v>0</v>
      </c>
      <c r="Q564" s="64"/>
      <c r="R564" s="18">
        <f t="shared" si="118"/>
        <v>0</v>
      </c>
      <c r="S564" s="64"/>
      <c r="T564" s="18">
        <f t="shared" si="119"/>
        <v>0</v>
      </c>
      <c r="U564" s="64"/>
      <c r="V564" s="18">
        <f t="shared" si="120"/>
        <v>0</v>
      </c>
      <c r="W564" s="64"/>
      <c r="X564" s="18">
        <f t="shared" si="121"/>
        <v>0</v>
      </c>
      <c r="Z564" s="43">
        <f>X564+Y564</f>
        <v>0</v>
      </c>
      <c r="AA564" s="43"/>
    </row>
    <row r="565" spans="1:27" x14ac:dyDescent="0.25">
      <c r="A565" s="73" t="s">
        <v>653</v>
      </c>
      <c r="B565" s="75" t="s">
        <v>771</v>
      </c>
      <c r="C565" s="25"/>
      <c r="D565" s="19"/>
      <c r="E565" s="19"/>
      <c r="F565" s="18"/>
      <c r="G565" s="18">
        <f>G566</f>
        <v>161.4</v>
      </c>
      <c r="H565" s="18">
        <f t="shared" si="113"/>
        <v>161.4</v>
      </c>
      <c r="I565" s="47">
        <f>I566</f>
        <v>0</v>
      </c>
      <c r="J565" s="18">
        <f t="shared" si="114"/>
        <v>161.4</v>
      </c>
      <c r="K565" s="47">
        <f>K566</f>
        <v>322.8</v>
      </c>
      <c r="L565" s="18">
        <f t="shared" si="115"/>
        <v>484.20000000000005</v>
      </c>
      <c r="M565" s="47">
        <f>M566</f>
        <v>1075.9000000000001</v>
      </c>
      <c r="N565" s="18">
        <f t="shared" si="116"/>
        <v>1560.1000000000001</v>
      </c>
      <c r="O565" s="47">
        <f>O566</f>
        <v>0</v>
      </c>
      <c r="P565" s="18">
        <f t="shared" si="117"/>
        <v>1560.1000000000001</v>
      </c>
      <c r="Q565" s="47">
        <f>Q566</f>
        <v>0</v>
      </c>
      <c r="R565" s="18">
        <f t="shared" si="118"/>
        <v>1560.1000000000001</v>
      </c>
      <c r="S565" s="47">
        <f>S566</f>
        <v>0</v>
      </c>
      <c r="T565" s="18">
        <f t="shared" si="119"/>
        <v>1560.1000000000001</v>
      </c>
      <c r="U565" s="47">
        <f>U566</f>
        <v>0</v>
      </c>
      <c r="V565" s="18">
        <f t="shared" si="120"/>
        <v>1560.1000000000001</v>
      </c>
      <c r="W565" s="47">
        <f>W566</f>
        <v>0</v>
      </c>
      <c r="X565" s="18">
        <f t="shared" si="121"/>
        <v>1560.1000000000001</v>
      </c>
    </row>
    <row r="566" spans="1:27" x14ac:dyDescent="0.25">
      <c r="A566" s="7" t="s">
        <v>54</v>
      </c>
      <c r="B566" s="68" t="s">
        <v>771</v>
      </c>
      <c r="C566" s="25" t="s">
        <v>34</v>
      </c>
      <c r="D566" s="19"/>
      <c r="E566" s="19"/>
      <c r="F566" s="18"/>
      <c r="G566" s="44">
        <v>161.4</v>
      </c>
      <c r="H566" s="18">
        <f t="shared" si="113"/>
        <v>161.4</v>
      </c>
      <c r="I566" s="64"/>
      <c r="J566" s="18">
        <f t="shared" si="114"/>
        <v>161.4</v>
      </c>
      <c r="K566" s="96">
        <v>322.8</v>
      </c>
      <c r="L566" s="18">
        <f t="shared" si="115"/>
        <v>484.20000000000005</v>
      </c>
      <c r="M566" s="45">
        <v>1075.9000000000001</v>
      </c>
      <c r="N566" s="18">
        <f t="shared" si="116"/>
        <v>1560.1000000000001</v>
      </c>
      <c r="O566" s="64"/>
      <c r="P566" s="18">
        <f t="shared" si="117"/>
        <v>1560.1000000000001</v>
      </c>
      <c r="Q566" s="64"/>
      <c r="R566" s="18">
        <f t="shared" si="118"/>
        <v>1560.1000000000001</v>
      </c>
      <c r="S566" s="64"/>
      <c r="T566" s="18">
        <f t="shared" si="119"/>
        <v>1560.1000000000001</v>
      </c>
      <c r="U566" s="64"/>
      <c r="V566" s="18">
        <f t="shared" si="120"/>
        <v>1560.1000000000001</v>
      </c>
      <c r="W566" s="64"/>
      <c r="X566" s="18">
        <f t="shared" si="121"/>
        <v>1560.1000000000001</v>
      </c>
      <c r="Z566" s="43">
        <f>X566+Y566</f>
        <v>1560.1000000000001</v>
      </c>
      <c r="AA566" s="43"/>
    </row>
    <row r="567" spans="1:27" ht="24.75" x14ac:dyDescent="0.25">
      <c r="A567" s="28" t="s">
        <v>715</v>
      </c>
      <c r="B567" s="131" t="s">
        <v>714</v>
      </c>
      <c r="C567" s="25"/>
      <c r="D567" s="19"/>
      <c r="E567" s="19"/>
      <c r="F567" s="18"/>
      <c r="G567" s="44"/>
      <c r="H567" s="18"/>
      <c r="I567" s="64"/>
      <c r="J567" s="18"/>
      <c r="K567" s="47">
        <f>K569+K571+K573+K575+K577+K579+K581+K583+K568</f>
        <v>516.39999999999986</v>
      </c>
      <c r="L567" s="18">
        <f t="shared" si="115"/>
        <v>516.39999999999986</v>
      </c>
      <c r="M567" s="47">
        <f>M569+M571+M573+M575+M577+M579+M581+M583+M568</f>
        <v>295.3</v>
      </c>
      <c r="N567" s="18">
        <f t="shared" si="116"/>
        <v>811.69999999999982</v>
      </c>
      <c r="O567" s="47">
        <f>O569+O571+O573+O575+O577+O579+O581+O583+O568</f>
        <v>0</v>
      </c>
      <c r="P567" s="18">
        <f t="shared" si="117"/>
        <v>811.69999999999982</v>
      </c>
      <c r="Q567" s="47">
        <f>Q569+Q571+Q573+Q575+Q577+Q579+Q581+Q583+Q568</f>
        <v>-265.39999999999998</v>
      </c>
      <c r="R567" s="18">
        <f t="shared" si="118"/>
        <v>546.29999999999984</v>
      </c>
      <c r="S567" s="47">
        <f>S569+S571+S573+S575+S577+S579+S581+S583+S568</f>
        <v>2084.3000000000002</v>
      </c>
      <c r="T567" s="18">
        <f t="shared" si="119"/>
        <v>2630.6</v>
      </c>
      <c r="U567" s="47">
        <f>U569+U571+U573+U575+U577+U579+U581+U583+U568</f>
        <v>0</v>
      </c>
      <c r="V567" s="18">
        <f t="shared" si="120"/>
        <v>2630.6</v>
      </c>
      <c r="W567" s="47">
        <f>W569+W571+W573+W575+W577+W579+W581+W583+W568</f>
        <v>0</v>
      </c>
      <c r="X567" s="18">
        <f t="shared" si="121"/>
        <v>2630.6</v>
      </c>
    </row>
    <row r="568" spans="1:27" x14ac:dyDescent="0.25">
      <c r="A568" s="9" t="s">
        <v>511</v>
      </c>
      <c r="B568" s="86" t="s">
        <v>714</v>
      </c>
      <c r="C568" s="27" t="s">
        <v>66</v>
      </c>
      <c r="D568" s="19"/>
      <c r="E568" s="19"/>
      <c r="F568" s="18"/>
      <c r="G568" s="44"/>
      <c r="H568" s="18"/>
      <c r="I568" s="64"/>
      <c r="J568" s="18"/>
      <c r="K568" s="90">
        <v>7</v>
      </c>
      <c r="L568" s="18">
        <f t="shared" si="115"/>
        <v>7</v>
      </c>
      <c r="M568" s="77"/>
      <c r="N568" s="18">
        <f t="shared" si="116"/>
        <v>7</v>
      </c>
      <c r="O568" s="77"/>
      <c r="P568" s="18">
        <f t="shared" si="117"/>
        <v>7</v>
      </c>
      <c r="Q568" s="77"/>
      <c r="R568" s="18">
        <f t="shared" si="118"/>
        <v>7</v>
      </c>
      <c r="S568" s="77"/>
      <c r="T568" s="18">
        <f t="shared" si="119"/>
        <v>7</v>
      </c>
      <c r="U568" s="77"/>
      <c r="V568" s="18">
        <f t="shared" si="120"/>
        <v>7</v>
      </c>
      <c r="W568" s="77"/>
      <c r="X568" s="18">
        <f t="shared" si="121"/>
        <v>7</v>
      </c>
      <c r="Z568" s="43">
        <f>X568+Y568</f>
        <v>7</v>
      </c>
      <c r="AA568" s="43"/>
    </row>
    <row r="569" spans="1:27" x14ac:dyDescent="0.25">
      <c r="A569" s="135" t="s">
        <v>719</v>
      </c>
      <c r="B569" s="115" t="s">
        <v>1113</v>
      </c>
      <c r="C569" s="25"/>
      <c r="D569" s="19"/>
      <c r="E569" s="19"/>
      <c r="F569" s="18"/>
      <c r="G569" s="44"/>
      <c r="H569" s="18"/>
      <c r="I569" s="64"/>
      <c r="J569" s="18"/>
      <c r="K569" s="47">
        <f>K570</f>
        <v>52.5</v>
      </c>
      <c r="L569" s="18">
        <f t="shared" si="115"/>
        <v>52.5</v>
      </c>
      <c r="M569" s="47">
        <f>M570</f>
        <v>295.3</v>
      </c>
      <c r="N569" s="18">
        <f t="shared" si="116"/>
        <v>347.8</v>
      </c>
      <c r="O569" s="47">
        <f>O570</f>
        <v>0</v>
      </c>
      <c r="P569" s="18">
        <f t="shared" si="117"/>
        <v>347.8</v>
      </c>
      <c r="Q569" s="47">
        <f>Q570</f>
        <v>0</v>
      </c>
      <c r="R569" s="18">
        <f t="shared" si="118"/>
        <v>347.8</v>
      </c>
      <c r="S569" s="47">
        <f>S570</f>
        <v>1.3999999999999773</v>
      </c>
      <c r="T569" s="18">
        <f t="shared" si="119"/>
        <v>349.2</v>
      </c>
      <c r="U569" s="47">
        <f>U570</f>
        <v>0</v>
      </c>
      <c r="V569" s="18">
        <f t="shared" si="120"/>
        <v>349.2</v>
      </c>
      <c r="W569" s="47">
        <f>W570</f>
        <v>0</v>
      </c>
      <c r="X569" s="18">
        <f t="shared" si="121"/>
        <v>349.2</v>
      </c>
    </row>
    <row r="570" spans="1:27" x14ac:dyDescent="0.25">
      <c r="A570" s="9" t="s">
        <v>511</v>
      </c>
      <c r="B570" s="86" t="s">
        <v>1113</v>
      </c>
      <c r="C570" s="25" t="s">
        <v>66</v>
      </c>
      <c r="D570" s="19"/>
      <c r="E570" s="19"/>
      <c r="F570" s="18"/>
      <c r="G570" s="44"/>
      <c r="H570" s="18"/>
      <c r="I570" s="64"/>
      <c r="J570" s="18"/>
      <c r="K570" s="96">
        <f>52.5</f>
        <v>52.5</v>
      </c>
      <c r="L570" s="18">
        <f t="shared" si="115"/>
        <v>52.5</v>
      </c>
      <c r="M570" s="62">
        <v>295.3</v>
      </c>
      <c r="N570" s="18">
        <f t="shared" si="116"/>
        <v>347.8</v>
      </c>
      <c r="O570" s="64"/>
      <c r="P570" s="18">
        <f t="shared" si="117"/>
        <v>347.8</v>
      </c>
      <c r="Q570" s="64"/>
      <c r="R570" s="18">
        <f t="shared" si="118"/>
        <v>347.8</v>
      </c>
      <c r="S570" s="122">
        <f>296.7-295.3</f>
        <v>1.3999999999999773</v>
      </c>
      <c r="T570" s="18">
        <f t="shared" si="119"/>
        <v>349.2</v>
      </c>
      <c r="U570" s="64"/>
      <c r="V570" s="18">
        <f t="shared" si="120"/>
        <v>349.2</v>
      </c>
      <c r="W570" s="64"/>
      <c r="X570" s="18">
        <f t="shared" si="121"/>
        <v>349.2</v>
      </c>
      <c r="Z570" s="43">
        <f>X570+Y570</f>
        <v>349.2</v>
      </c>
      <c r="AA570" s="43"/>
    </row>
    <row r="571" spans="1:27" x14ac:dyDescent="0.25">
      <c r="A571" s="135" t="s">
        <v>720</v>
      </c>
      <c r="B571" s="115" t="s">
        <v>1114</v>
      </c>
      <c r="C571" s="25"/>
      <c r="D571" s="19"/>
      <c r="E571" s="19"/>
      <c r="F571" s="18"/>
      <c r="G571" s="44"/>
      <c r="H571" s="18"/>
      <c r="I571" s="64"/>
      <c r="J571" s="18"/>
      <c r="K571" s="47">
        <f>K572</f>
        <v>51.3</v>
      </c>
      <c r="L571" s="18">
        <f t="shared" si="115"/>
        <v>51.3</v>
      </c>
      <c r="M571" s="47">
        <f>M572</f>
        <v>0</v>
      </c>
      <c r="N571" s="18">
        <f t="shared" si="116"/>
        <v>51.3</v>
      </c>
      <c r="O571" s="47">
        <f>O572</f>
        <v>0</v>
      </c>
      <c r="P571" s="18">
        <f t="shared" si="117"/>
        <v>51.3</v>
      </c>
      <c r="Q571" s="47">
        <f>Q572</f>
        <v>-51.3</v>
      </c>
      <c r="R571" s="18">
        <f t="shared" si="118"/>
        <v>0</v>
      </c>
      <c r="S571" s="47">
        <f>S572</f>
        <v>340.7</v>
      </c>
      <c r="T571" s="18">
        <f t="shared" si="119"/>
        <v>340.7</v>
      </c>
      <c r="U571" s="47">
        <f>U572</f>
        <v>0</v>
      </c>
      <c r="V571" s="18">
        <f t="shared" si="120"/>
        <v>340.7</v>
      </c>
      <c r="W571" s="47">
        <f>W572</f>
        <v>0</v>
      </c>
      <c r="X571" s="18">
        <f t="shared" si="121"/>
        <v>340.7</v>
      </c>
    </row>
    <row r="572" spans="1:27" x14ac:dyDescent="0.25">
      <c r="A572" s="51" t="s">
        <v>266</v>
      </c>
      <c r="B572" s="86" t="s">
        <v>1114</v>
      </c>
      <c r="C572" s="25" t="s">
        <v>267</v>
      </c>
      <c r="D572" s="19"/>
      <c r="E572" s="19"/>
      <c r="F572" s="18"/>
      <c r="G572" s="44"/>
      <c r="H572" s="18"/>
      <c r="I572" s="64"/>
      <c r="J572" s="18"/>
      <c r="K572" s="96">
        <f>51.3</f>
        <v>51.3</v>
      </c>
      <c r="L572" s="18">
        <f t="shared" si="115"/>
        <v>51.3</v>
      </c>
      <c r="M572" s="64"/>
      <c r="N572" s="18">
        <f t="shared" si="116"/>
        <v>51.3</v>
      </c>
      <c r="O572" s="64"/>
      <c r="P572" s="18">
        <f t="shared" si="117"/>
        <v>51.3</v>
      </c>
      <c r="Q572" s="44">
        <v>-51.3</v>
      </c>
      <c r="R572" s="18">
        <f t="shared" si="118"/>
        <v>0</v>
      </c>
      <c r="S572" s="122">
        <f>289.4+51.3</f>
        <v>340.7</v>
      </c>
      <c r="T572" s="18">
        <f t="shared" si="119"/>
        <v>340.7</v>
      </c>
      <c r="U572" s="64"/>
      <c r="V572" s="18">
        <f t="shared" si="120"/>
        <v>340.7</v>
      </c>
      <c r="W572" s="64"/>
      <c r="X572" s="18">
        <f t="shared" si="121"/>
        <v>340.7</v>
      </c>
      <c r="Z572" s="43">
        <f>X572+Y572</f>
        <v>340.7</v>
      </c>
      <c r="AA572" s="43"/>
    </row>
    <row r="573" spans="1:27" ht="13.5" customHeight="1" x14ac:dyDescent="0.25">
      <c r="A573" s="136" t="s">
        <v>721</v>
      </c>
      <c r="B573" s="115" t="s">
        <v>1115</v>
      </c>
      <c r="C573" s="25"/>
      <c r="D573" s="19"/>
      <c r="E573" s="19"/>
      <c r="F573" s="18"/>
      <c r="G573" s="44"/>
      <c r="H573" s="18"/>
      <c r="I573" s="64"/>
      <c r="J573" s="18"/>
      <c r="K573" s="47">
        <f>K574</f>
        <v>52.4</v>
      </c>
      <c r="L573" s="18">
        <f t="shared" si="115"/>
        <v>52.4</v>
      </c>
      <c r="M573" s="47">
        <f>M574</f>
        <v>0</v>
      </c>
      <c r="N573" s="18">
        <f t="shared" si="116"/>
        <v>52.4</v>
      </c>
      <c r="O573" s="47">
        <f>O574</f>
        <v>0</v>
      </c>
      <c r="P573" s="18">
        <f t="shared" si="117"/>
        <v>52.4</v>
      </c>
      <c r="Q573" s="47">
        <f>Q574</f>
        <v>-52.4</v>
      </c>
      <c r="R573" s="18">
        <f t="shared" si="118"/>
        <v>0</v>
      </c>
      <c r="S573" s="47">
        <f>S574</f>
        <v>349.09999999999997</v>
      </c>
      <c r="T573" s="18">
        <f t="shared" si="119"/>
        <v>349.09999999999997</v>
      </c>
      <c r="U573" s="47">
        <f>U574</f>
        <v>0</v>
      </c>
      <c r="V573" s="18">
        <f t="shared" si="120"/>
        <v>349.09999999999997</v>
      </c>
      <c r="W573" s="47">
        <f>W574</f>
        <v>0</v>
      </c>
      <c r="X573" s="18">
        <f t="shared" si="121"/>
        <v>349.09999999999997</v>
      </c>
    </row>
    <row r="574" spans="1:27" ht="13.5" customHeight="1" x14ac:dyDescent="0.25">
      <c r="A574" s="9" t="s">
        <v>511</v>
      </c>
      <c r="B574" s="86" t="s">
        <v>1115</v>
      </c>
      <c r="C574" s="25" t="s">
        <v>66</v>
      </c>
      <c r="D574" s="19"/>
      <c r="E574" s="19"/>
      <c r="F574" s="18"/>
      <c r="G574" s="44"/>
      <c r="H574" s="18"/>
      <c r="I574" s="64"/>
      <c r="J574" s="18"/>
      <c r="K574" s="96">
        <f>52.4</f>
        <v>52.4</v>
      </c>
      <c r="L574" s="18">
        <f t="shared" si="115"/>
        <v>52.4</v>
      </c>
      <c r="M574" s="64"/>
      <c r="N574" s="18">
        <f t="shared" si="116"/>
        <v>52.4</v>
      </c>
      <c r="O574" s="64"/>
      <c r="P574" s="18">
        <f t="shared" si="117"/>
        <v>52.4</v>
      </c>
      <c r="Q574" s="44">
        <v>-52.4</v>
      </c>
      <c r="R574" s="18">
        <f t="shared" si="118"/>
        <v>0</v>
      </c>
      <c r="S574" s="122">
        <f>296.7+52.4</f>
        <v>349.09999999999997</v>
      </c>
      <c r="T574" s="18">
        <f t="shared" si="119"/>
        <v>349.09999999999997</v>
      </c>
      <c r="U574" s="64"/>
      <c r="V574" s="18">
        <f t="shared" si="120"/>
        <v>349.09999999999997</v>
      </c>
      <c r="W574" s="64"/>
      <c r="X574" s="18">
        <f t="shared" si="121"/>
        <v>349.09999999999997</v>
      </c>
      <c r="Z574" s="43">
        <f>X574+Y574</f>
        <v>349.09999999999997</v>
      </c>
      <c r="AA574" s="43"/>
    </row>
    <row r="575" spans="1:27" x14ac:dyDescent="0.25">
      <c r="A575" s="137" t="s">
        <v>722</v>
      </c>
      <c r="B575" s="115" t="s">
        <v>1116</v>
      </c>
      <c r="C575" s="25"/>
      <c r="D575" s="19"/>
      <c r="E575" s="19"/>
      <c r="F575" s="18"/>
      <c r="G575" s="44"/>
      <c r="H575" s="18"/>
      <c r="I575" s="64"/>
      <c r="J575" s="18"/>
      <c r="K575" s="47">
        <f>K576</f>
        <v>51.6</v>
      </c>
      <c r="L575" s="18">
        <f t="shared" si="115"/>
        <v>51.6</v>
      </c>
      <c r="M575" s="47">
        <f>M576</f>
        <v>0</v>
      </c>
      <c r="N575" s="18">
        <f t="shared" si="116"/>
        <v>51.6</v>
      </c>
      <c r="O575" s="47">
        <f>O576</f>
        <v>0</v>
      </c>
      <c r="P575" s="18">
        <f t="shared" si="117"/>
        <v>51.6</v>
      </c>
      <c r="Q575" s="47">
        <f>Q576</f>
        <v>0</v>
      </c>
      <c r="R575" s="18">
        <f t="shared" si="118"/>
        <v>51.6</v>
      </c>
      <c r="S575" s="47">
        <f>S576</f>
        <v>292.10000000000002</v>
      </c>
      <c r="T575" s="18">
        <f t="shared" si="119"/>
        <v>343.70000000000005</v>
      </c>
      <c r="U575" s="47">
        <f>U576</f>
        <v>0</v>
      </c>
      <c r="V575" s="18">
        <f t="shared" si="120"/>
        <v>343.70000000000005</v>
      </c>
      <c r="W575" s="47">
        <f>W576</f>
        <v>0</v>
      </c>
      <c r="X575" s="18">
        <f t="shared" si="121"/>
        <v>343.70000000000005</v>
      </c>
    </row>
    <row r="576" spans="1:27" x14ac:dyDescent="0.25">
      <c r="A576" s="9" t="s">
        <v>511</v>
      </c>
      <c r="B576" s="86" t="s">
        <v>1116</v>
      </c>
      <c r="C576" s="25" t="s">
        <v>66</v>
      </c>
      <c r="D576" s="19"/>
      <c r="E576" s="19"/>
      <c r="F576" s="18"/>
      <c r="G576" s="44"/>
      <c r="H576" s="18"/>
      <c r="I576" s="64"/>
      <c r="J576" s="18"/>
      <c r="K576" s="96">
        <f>51.6</f>
        <v>51.6</v>
      </c>
      <c r="L576" s="18">
        <f t="shared" si="115"/>
        <v>51.6</v>
      </c>
      <c r="M576" s="64"/>
      <c r="N576" s="18">
        <f t="shared" si="116"/>
        <v>51.6</v>
      </c>
      <c r="O576" s="64"/>
      <c r="P576" s="18">
        <f t="shared" si="117"/>
        <v>51.6</v>
      </c>
      <c r="Q576" s="64"/>
      <c r="R576" s="18">
        <f t="shared" si="118"/>
        <v>51.6</v>
      </c>
      <c r="S576" s="122">
        <v>292.10000000000002</v>
      </c>
      <c r="T576" s="18">
        <f t="shared" si="119"/>
        <v>343.70000000000005</v>
      </c>
      <c r="U576" s="64"/>
      <c r="V576" s="18">
        <f t="shared" si="120"/>
        <v>343.70000000000005</v>
      </c>
      <c r="W576" s="64"/>
      <c r="X576" s="18">
        <f t="shared" si="121"/>
        <v>343.70000000000005</v>
      </c>
      <c r="Z576" s="43">
        <f>X576+Y576</f>
        <v>343.70000000000005</v>
      </c>
      <c r="AA576" s="43"/>
    </row>
    <row r="577" spans="1:27" x14ac:dyDescent="0.25">
      <c r="A577" s="135" t="s">
        <v>723</v>
      </c>
      <c r="B577" s="115" t="s">
        <v>1117</v>
      </c>
      <c r="C577" s="25"/>
      <c r="D577" s="19"/>
      <c r="E577" s="19"/>
      <c r="F577" s="18"/>
      <c r="G577" s="44"/>
      <c r="H577" s="18"/>
      <c r="I577" s="64"/>
      <c r="J577" s="18"/>
      <c r="K577" s="47">
        <f>K578</f>
        <v>49</v>
      </c>
      <c r="L577" s="18">
        <f t="shared" si="115"/>
        <v>49</v>
      </c>
      <c r="M577" s="47">
        <f>M578</f>
        <v>0</v>
      </c>
      <c r="N577" s="18">
        <f t="shared" si="116"/>
        <v>49</v>
      </c>
      <c r="O577" s="47">
        <f>O578</f>
        <v>0</v>
      </c>
      <c r="P577" s="18">
        <f t="shared" si="117"/>
        <v>49</v>
      </c>
      <c r="Q577" s="47">
        <f>Q578</f>
        <v>0</v>
      </c>
      <c r="R577" s="18">
        <f t="shared" si="118"/>
        <v>49</v>
      </c>
      <c r="S577" s="47">
        <f>S578</f>
        <v>291.40000000000003</v>
      </c>
      <c r="T577" s="18">
        <f t="shared" si="119"/>
        <v>340.40000000000003</v>
      </c>
      <c r="U577" s="47">
        <f>U578</f>
        <v>0</v>
      </c>
      <c r="V577" s="18">
        <f t="shared" si="120"/>
        <v>340.40000000000003</v>
      </c>
      <c r="W577" s="47">
        <f>W578</f>
        <v>0</v>
      </c>
      <c r="X577" s="18">
        <f t="shared" si="121"/>
        <v>340.40000000000003</v>
      </c>
    </row>
    <row r="578" spans="1:27" x14ac:dyDescent="0.25">
      <c r="A578" s="7" t="s">
        <v>54</v>
      </c>
      <c r="B578" s="86" t="s">
        <v>1117</v>
      </c>
      <c r="C578" s="25" t="s">
        <v>34</v>
      </c>
      <c r="D578" s="19"/>
      <c r="E578" s="19"/>
      <c r="F578" s="18"/>
      <c r="G578" s="44"/>
      <c r="H578" s="18"/>
      <c r="I578" s="64"/>
      <c r="J578" s="18"/>
      <c r="K578" s="96">
        <f>49</f>
        <v>49</v>
      </c>
      <c r="L578" s="18">
        <f t="shared" si="115"/>
        <v>49</v>
      </c>
      <c r="M578" s="64"/>
      <c r="N578" s="18">
        <f t="shared" si="116"/>
        <v>49</v>
      </c>
      <c r="O578" s="64"/>
      <c r="P578" s="18">
        <f t="shared" si="117"/>
        <v>49</v>
      </c>
      <c r="Q578" s="64"/>
      <c r="R578" s="18">
        <f t="shared" si="118"/>
        <v>49</v>
      </c>
      <c r="S578" s="122">
        <f>277.1+14.3</f>
        <v>291.40000000000003</v>
      </c>
      <c r="T578" s="18">
        <f t="shared" si="119"/>
        <v>340.40000000000003</v>
      </c>
      <c r="U578" s="64"/>
      <c r="V578" s="18">
        <f t="shared" si="120"/>
        <v>340.40000000000003</v>
      </c>
      <c r="W578" s="64"/>
      <c r="X578" s="18">
        <f t="shared" si="121"/>
        <v>340.40000000000003</v>
      </c>
      <c r="Z578" s="43">
        <f>X578+Y578</f>
        <v>340.40000000000003</v>
      </c>
      <c r="AA578" s="43"/>
    </row>
    <row r="579" spans="1:27" x14ac:dyDescent="0.25">
      <c r="A579" s="135" t="s">
        <v>724</v>
      </c>
      <c r="B579" s="115" t="s">
        <v>1118</v>
      </c>
      <c r="C579" s="25"/>
      <c r="D579" s="19"/>
      <c r="E579" s="19"/>
      <c r="F579" s="18"/>
      <c r="G579" s="44"/>
      <c r="H579" s="18"/>
      <c r="I579" s="64"/>
      <c r="J579" s="18"/>
      <c r="K579" s="47">
        <f>K580</f>
        <v>38.4</v>
      </c>
      <c r="L579" s="18">
        <f t="shared" si="115"/>
        <v>38.4</v>
      </c>
      <c r="M579" s="47">
        <f>M580</f>
        <v>0</v>
      </c>
      <c r="N579" s="18">
        <f t="shared" si="116"/>
        <v>38.4</v>
      </c>
      <c r="O579" s="47">
        <f>O580</f>
        <v>0</v>
      </c>
      <c r="P579" s="18">
        <f t="shared" si="117"/>
        <v>38.4</v>
      </c>
      <c r="Q579" s="47">
        <f>Q580</f>
        <v>0</v>
      </c>
      <c r="R579" s="18">
        <f t="shared" si="118"/>
        <v>38.4</v>
      </c>
      <c r="S579" s="47">
        <f>S580</f>
        <v>217.5</v>
      </c>
      <c r="T579" s="18">
        <f t="shared" si="119"/>
        <v>255.9</v>
      </c>
      <c r="U579" s="47">
        <f>U580</f>
        <v>0</v>
      </c>
      <c r="V579" s="18">
        <f t="shared" si="120"/>
        <v>255.9</v>
      </c>
      <c r="W579" s="47">
        <f>W580</f>
        <v>0</v>
      </c>
      <c r="X579" s="18">
        <f t="shared" si="121"/>
        <v>255.9</v>
      </c>
    </row>
    <row r="580" spans="1:27" x14ac:dyDescent="0.25">
      <c r="A580" s="7" t="s">
        <v>54</v>
      </c>
      <c r="B580" s="86" t="s">
        <v>1118</v>
      </c>
      <c r="C580" s="25" t="s">
        <v>34</v>
      </c>
      <c r="D580" s="19"/>
      <c r="E580" s="19"/>
      <c r="F580" s="18"/>
      <c r="G580" s="44"/>
      <c r="H580" s="18"/>
      <c r="I580" s="64"/>
      <c r="J580" s="18"/>
      <c r="K580" s="96">
        <f>38.4</f>
        <v>38.4</v>
      </c>
      <c r="L580" s="18">
        <f t="shared" si="115"/>
        <v>38.4</v>
      </c>
      <c r="M580" s="64"/>
      <c r="N580" s="18">
        <f t="shared" si="116"/>
        <v>38.4</v>
      </c>
      <c r="O580" s="64"/>
      <c r="P580" s="18">
        <f t="shared" si="117"/>
        <v>38.4</v>
      </c>
      <c r="Q580" s="64"/>
      <c r="R580" s="18">
        <f t="shared" si="118"/>
        <v>38.4</v>
      </c>
      <c r="S580" s="122">
        <v>217.5</v>
      </c>
      <c r="T580" s="18">
        <f t="shared" si="119"/>
        <v>255.9</v>
      </c>
      <c r="U580" s="64"/>
      <c r="V580" s="18">
        <f t="shared" si="120"/>
        <v>255.9</v>
      </c>
      <c r="W580" s="64"/>
      <c r="X580" s="18">
        <f t="shared" si="121"/>
        <v>255.9</v>
      </c>
      <c r="Z580" s="43">
        <f>X580+Y580</f>
        <v>255.9</v>
      </c>
      <c r="AA580" s="43"/>
    </row>
    <row r="581" spans="1:27" x14ac:dyDescent="0.25">
      <c r="A581" s="135" t="s">
        <v>725</v>
      </c>
      <c r="B581" s="115" t="s">
        <v>1119</v>
      </c>
      <c r="C581" s="25"/>
      <c r="D581" s="19"/>
      <c r="E581" s="19"/>
      <c r="F581" s="18"/>
      <c r="G581" s="44"/>
      <c r="H581" s="18"/>
      <c r="I581" s="64"/>
      <c r="J581" s="18"/>
      <c r="K581" s="47">
        <f>K582</f>
        <v>52.5</v>
      </c>
      <c r="L581" s="18">
        <f t="shared" si="115"/>
        <v>52.5</v>
      </c>
      <c r="M581" s="47">
        <f>M582</f>
        <v>0</v>
      </c>
      <c r="N581" s="18">
        <f t="shared" si="116"/>
        <v>52.5</v>
      </c>
      <c r="O581" s="47">
        <f>O582</f>
        <v>0</v>
      </c>
      <c r="P581" s="18">
        <f t="shared" si="117"/>
        <v>52.5</v>
      </c>
      <c r="Q581" s="47">
        <f>Q582</f>
        <v>0</v>
      </c>
      <c r="R581" s="18">
        <f t="shared" si="118"/>
        <v>52.5</v>
      </c>
      <c r="S581" s="47">
        <f>S582</f>
        <v>297.10000000000002</v>
      </c>
      <c r="T581" s="18">
        <f t="shared" si="119"/>
        <v>349.6</v>
      </c>
      <c r="U581" s="47">
        <f>U582</f>
        <v>0</v>
      </c>
      <c r="V581" s="18">
        <f t="shared" si="120"/>
        <v>349.6</v>
      </c>
      <c r="W581" s="47">
        <f>W582</f>
        <v>0</v>
      </c>
      <c r="X581" s="18">
        <f t="shared" si="121"/>
        <v>349.6</v>
      </c>
    </row>
    <row r="582" spans="1:27" x14ac:dyDescent="0.25">
      <c r="A582" s="9" t="s">
        <v>511</v>
      </c>
      <c r="B582" s="86" t="s">
        <v>1119</v>
      </c>
      <c r="C582" s="25" t="s">
        <v>66</v>
      </c>
      <c r="D582" s="19"/>
      <c r="E582" s="19"/>
      <c r="F582" s="18"/>
      <c r="G582" s="44"/>
      <c r="H582" s="18"/>
      <c r="I582" s="64"/>
      <c r="J582" s="18"/>
      <c r="K582" s="96">
        <f>52.5</f>
        <v>52.5</v>
      </c>
      <c r="L582" s="18">
        <f t="shared" si="115"/>
        <v>52.5</v>
      </c>
      <c r="M582" s="64"/>
      <c r="N582" s="18">
        <f t="shared" si="116"/>
        <v>52.5</v>
      </c>
      <c r="O582" s="64"/>
      <c r="P582" s="18">
        <f t="shared" si="117"/>
        <v>52.5</v>
      </c>
      <c r="Q582" s="64"/>
      <c r="R582" s="18">
        <f t="shared" si="118"/>
        <v>52.5</v>
      </c>
      <c r="S582" s="122">
        <v>297.10000000000002</v>
      </c>
      <c r="T582" s="18">
        <f t="shared" si="119"/>
        <v>349.6</v>
      </c>
      <c r="U582" s="64"/>
      <c r="V582" s="18">
        <f t="shared" si="120"/>
        <v>349.6</v>
      </c>
      <c r="W582" s="64"/>
      <c r="X582" s="18">
        <f t="shared" si="121"/>
        <v>349.6</v>
      </c>
      <c r="Z582" s="43">
        <f>X582+Y582</f>
        <v>349.6</v>
      </c>
      <c r="AA582" s="43"/>
    </row>
    <row r="583" spans="1:27" x14ac:dyDescent="0.25">
      <c r="A583" s="135" t="s">
        <v>726</v>
      </c>
      <c r="B583" s="115" t="s">
        <v>1120</v>
      </c>
      <c r="C583" s="25"/>
      <c r="D583" s="19"/>
      <c r="E583" s="19"/>
      <c r="F583" s="18"/>
      <c r="G583" s="44"/>
      <c r="H583" s="18"/>
      <c r="I583" s="64"/>
      <c r="J583" s="18"/>
      <c r="K583" s="47">
        <f>K584</f>
        <v>161.69999999999999</v>
      </c>
      <c r="L583" s="18">
        <f t="shared" si="115"/>
        <v>161.69999999999999</v>
      </c>
      <c r="M583" s="47">
        <f>M584</f>
        <v>0</v>
      </c>
      <c r="N583" s="18">
        <f t="shared" si="116"/>
        <v>161.69999999999999</v>
      </c>
      <c r="O583" s="47">
        <f>O584</f>
        <v>0</v>
      </c>
      <c r="P583" s="18">
        <f t="shared" si="117"/>
        <v>161.69999999999999</v>
      </c>
      <c r="Q583" s="47">
        <f>Q584</f>
        <v>-161.69999999999999</v>
      </c>
      <c r="R583" s="18">
        <f t="shared" si="118"/>
        <v>0</v>
      </c>
      <c r="S583" s="47">
        <f>S584</f>
        <v>295</v>
      </c>
      <c r="T583" s="18">
        <f t="shared" si="119"/>
        <v>295</v>
      </c>
      <c r="U583" s="47">
        <f>U584</f>
        <v>0</v>
      </c>
      <c r="V583" s="18">
        <f t="shared" si="120"/>
        <v>295</v>
      </c>
      <c r="W583" s="47">
        <f>W584</f>
        <v>0</v>
      </c>
      <c r="X583" s="18">
        <f t="shared" si="121"/>
        <v>295</v>
      </c>
    </row>
    <row r="584" spans="1:27" x14ac:dyDescent="0.25">
      <c r="A584" s="9" t="s">
        <v>511</v>
      </c>
      <c r="B584" s="86" t="s">
        <v>1120</v>
      </c>
      <c r="C584" s="25" t="s">
        <v>66</v>
      </c>
      <c r="D584" s="19"/>
      <c r="E584" s="19"/>
      <c r="F584" s="18"/>
      <c r="G584" s="44"/>
      <c r="H584" s="18"/>
      <c r="I584" s="64"/>
      <c r="J584" s="18"/>
      <c r="K584" s="96">
        <f>161.7</f>
        <v>161.69999999999999</v>
      </c>
      <c r="L584" s="18">
        <f t="shared" si="115"/>
        <v>161.69999999999999</v>
      </c>
      <c r="M584" s="64"/>
      <c r="N584" s="18">
        <f t="shared" si="116"/>
        <v>161.69999999999999</v>
      </c>
      <c r="O584" s="64"/>
      <c r="P584" s="18">
        <f t="shared" si="117"/>
        <v>161.69999999999999</v>
      </c>
      <c r="Q584" s="44">
        <v>-161.69999999999999</v>
      </c>
      <c r="R584" s="18">
        <f t="shared" si="118"/>
        <v>0</v>
      </c>
      <c r="S584" s="122">
        <f>133.3+161.7</f>
        <v>295</v>
      </c>
      <c r="T584" s="18">
        <f t="shared" si="119"/>
        <v>295</v>
      </c>
      <c r="U584" s="64"/>
      <c r="V584" s="18">
        <f t="shared" si="120"/>
        <v>295</v>
      </c>
      <c r="W584" s="64"/>
      <c r="X584" s="18">
        <f t="shared" si="121"/>
        <v>295</v>
      </c>
      <c r="Z584" s="43">
        <f>X584+Y584</f>
        <v>295</v>
      </c>
      <c r="AA584" s="43"/>
    </row>
    <row r="585" spans="1:27" ht="36.75" x14ac:dyDescent="0.25">
      <c r="A585" s="28" t="s">
        <v>716</v>
      </c>
      <c r="B585" s="75" t="s">
        <v>717</v>
      </c>
      <c r="C585" s="25"/>
      <c r="D585" s="19"/>
      <c r="E585" s="19"/>
      <c r="F585" s="18"/>
      <c r="G585" s="44"/>
      <c r="H585" s="18"/>
      <c r="I585" s="64"/>
      <c r="J585" s="18"/>
      <c r="K585" s="47">
        <f>K586</f>
        <v>300</v>
      </c>
      <c r="L585" s="18">
        <f t="shared" si="115"/>
        <v>300</v>
      </c>
      <c r="M585" s="47">
        <f>M586+M588</f>
        <v>85.6</v>
      </c>
      <c r="N585" s="18">
        <f t="shared" si="116"/>
        <v>385.6</v>
      </c>
      <c r="O585" s="47">
        <f>O586+O588</f>
        <v>0</v>
      </c>
      <c r="P585" s="18">
        <f t="shared" si="117"/>
        <v>385.6</v>
      </c>
      <c r="Q585" s="47">
        <f>Q586+Q588</f>
        <v>0</v>
      </c>
      <c r="R585" s="18">
        <f t="shared" si="118"/>
        <v>385.6</v>
      </c>
      <c r="S585" s="47">
        <f>S586+S588</f>
        <v>0</v>
      </c>
      <c r="T585" s="18">
        <f t="shared" si="119"/>
        <v>385.6</v>
      </c>
      <c r="U585" s="47">
        <f>U586+U588</f>
        <v>0</v>
      </c>
      <c r="V585" s="18">
        <f t="shared" si="120"/>
        <v>385.6</v>
      </c>
      <c r="W585" s="47">
        <f>W586+W588</f>
        <v>0</v>
      </c>
      <c r="X585" s="18">
        <f t="shared" si="121"/>
        <v>385.6</v>
      </c>
    </row>
    <row r="586" spans="1:27" x14ac:dyDescent="0.25">
      <c r="A586" s="101" t="s">
        <v>729</v>
      </c>
      <c r="B586" s="131" t="s">
        <v>718</v>
      </c>
      <c r="C586" s="25"/>
      <c r="D586" s="19"/>
      <c r="E586" s="19"/>
      <c r="F586" s="18"/>
      <c r="G586" s="44"/>
      <c r="H586" s="18"/>
      <c r="I586" s="64"/>
      <c r="J586" s="18"/>
      <c r="K586" s="47">
        <f>K587</f>
        <v>300</v>
      </c>
      <c r="L586" s="18">
        <f t="shared" si="115"/>
        <v>300</v>
      </c>
      <c r="M586" s="47">
        <f>M587</f>
        <v>0</v>
      </c>
      <c r="N586" s="18">
        <f t="shared" si="116"/>
        <v>300</v>
      </c>
      <c r="O586" s="47">
        <f>O587</f>
        <v>0</v>
      </c>
      <c r="P586" s="18">
        <f t="shared" si="117"/>
        <v>300</v>
      </c>
      <c r="Q586" s="47">
        <f>Q587</f>
        <v>0</v>
      </c>
      <c r="R586" s="18">
        <f t="shared" si="118"/>
        <v>300</v>
      </c>
      <c r="S586" s="47">
        <f>S587</f>
        <v>0</v>
      </c>
      <c r="T586" s="18">
        <f t="shared" si="119"/>
        <v>300</v>
      </c>
      <c r="U586" s="47">
        <f>U587</f>
        <v>0</v>
      </c>
      <c r="V586" s="18">
        <f t="shared" si="120"/>
        <v>300</v>
      </c>
      <c r="W586" s="47">
        <f>W587</f>
        <v>0</v>
      </c>
      <c r="X586" s="18">
        <f t="shared" si="121"/>
        <v>300</v>
      </c>
    </row>
    <row r="587" spans="1:27" x14ac:dyDescent="0.25">
      <c r="A587" s="7" t="s">
        <v>54</v>
      </c>
      <c r="B587" s="134" t="s">
        <v>718</v>
      </c>
      <c r="C587" s="25" t="s">
        <v>34</v>
      </c>
      <c r="D587" s="19"/>
      <c r="E587" s="19"/>
      <c r="F587" s="18"/>
      <c r="G587" s="44"/>
      <c r="H587" s="18"/>
      <c r="I587" s="64"/>
      <c r="J587" s="18"/>
      <c r="K587" s="96">
        <f>150+150</f>
        <v>300</v>
      </c>
      <c r="L587" s="18">
        <f t="shared" si="115"/>
        <v>300</v>
      </c>
      <c r="M587" s="64"/>
      <c r="N587" s="18">
        <f t="shared" si="116"/>
        <v>300</v>
      </c>
      <c r="O587" s="64"/>
      <c r="P587" s="18">
        <f t="shared" si="117"/>
        <v>300</v>
      </c>
      <c r="Q587" s="64"/>
      <c r="R587" s="18">
        <f t="shared" si="118"/>
        <v>300</v>
      </c>
      <c r="S587" s="64"/>
      <c r="T587" s="18">
        <f t="shared" si="119"/>
        <v>300</v>
      </c>
      <c r="U587" s="64"/>
      <c r="V587" s="18">
        <f t="shared" si="120"/>
        <v>300</v>
      </c>
      <c r="W587" s="64"/>
      <c r="X587" s="18">
        <f t="shared" si="121"/>
        <v>300</v>
      </c>
      <c r="Z587" s="43">
        <f>X587+Y587</f>
        <v>300</v>
      </c>
      <c r="AA587" s="43"/>
    </row>
    <row r="588" spans="1:27" ht="24.75" x14ac:dyDescent="0.25">
      <c r="A588" s="101" t="s">
        <v>783</v>
      </c>
      <c r="B588" s="115" t="s">
        <v>784</v>
      </c>
      <c r="C588" s="25"/>
      <c r="D588" s="19"/>
      <c r="E588" s="19"/>
      <c r="F588" s="18"/>
      <c r="G588" s="44"/>
      <c r="H588" s="18"/>
      <c r="I588" s="64"/>
      <c r="J588" s="18"/>
      <c r="K588" s="96"/>
      <c r="L588" s="18"/>
      <c r="M588" s="78">
        <f>M589</f>
        <v>85.6</v>
      </c>
      <c r="N588" s="18">
        <f t="shared" si="116"/>
        <v>85.6</v>
      </c>
      <c r="O588" s="78">
        <f>O589</f>
        <v>0</v>
      </c>
      <c r="P588" s="18">
        <f t="shared" si="117"/>
        <v>85.6</v>
      </c>
      <c r="Q588" s="78">
        <f>Q589</f>
        <v>0</v>
      </c>
      <c r="R588" s="18">
        <f t="shared" si="118"/>
        <v>85.6</v>
      </c>
      <c r="S588" s="78">
        <f>S589</f>
        <v>0</v>
      </c>
      <c r="T588" s="18">
        <f t="shared" si="119"/>
        <v>85.6</v>
      </c>
      <c r="U588" s="78">
        <f>U589</f>
        <v>0</v>
      </c>
      <c r="V588" s="18">
        <f t="shared" si="120"/>
        <v>85.6</v>
      </c>
      <c r="W588" s="78">
        <f>W589</f>
        <v>0</v>
      </c>
      <c r="X588" s="18">
        <f t="shared" si="121"/>
        <v>85.6</v>
      </c>
    </row>
    <row r="589" spans="1:27" x14ac:dyDescent="0.25">
      <c r="A589" s="9" t="s">
        <v>511</v>
      </c>
      <c r="B589" s="86" t="s">
        <v>784</v>
      </c>
      <c r="C589" s="25" t="s">
        <v>66</v>
      </c>
      <c r="D589" s="19"/>
      <c r="E589" s="19"/>
      <c r="F589" s="18"/>
      <c r="G589" s="44"/>
      <c r="H589" s="18"/>
      <c r="I589" s="64"/>
      <c r="J589" s="18"/>
      <c r="K589" s="96"/>
      <c r="L589" s="18"/>
      <c r="M589" s="92">
        <v>85.6</v>
      </c>
      <c r="N589" s="18">
        <f t="shared" si="116"/>
        <v>85.6</v>
      </c>
      <c r="O589" s="77"/>
      <c r="P589" s="18">
        <f t="shared" si="117"/>
        <v>85.6</v>
      </c>
      <c r="Q589" s="77"/>
      <c r="R589" s="18">
        <f t="shared" si="118"/>
        <v>85.6</v>
      </c>
      <c r="S589" s="77"/>
      <c r="T589" s="18">
        <f t="shared" si="119"/>
        <v>85.6</v>
      </c>
      <c r="U589" s="77"/>
      <c r="V589" s="18">
        <f t="shared" si="120"/>
        <v>85.6</v>
      </c>
      <c r="W589" s="77"/>
      <c r="X589" s="18">
        <f t="shared" si="121"/>
        <v>85.6</v>
      </c>
      <c r="Z589" s="43">
        <f>X589+Y589</f>
        <v>85.6</v>
      </c>
      <c r="AA589" s="43"/>
    </row>
    <row r="590" spans="1:27" x14ac:dyDescent="0.25">
      <c r="A590" s="13" t="s">
        <v>676</v>
      </c>
      <c r="B590" s="29" t="s">
        <v>677</v>
      </c>
      <c r="C590" s="25"/>
      <c r="D590" s="19"/>
      <c r="E590" s="19"/>
      <c r="F590" s="18"/>
      <c r="G590" s="64"/>
      <c r="H590" s="18"/>
      <c r="I590" s="47">
        <f>I592+I594</f>
        <v>167.7</v>
      </c>
      <c r="J590" s="18">
        <f t="shared" si="114"/>
        <v>167.7</v>
      </c>
      <c r="K590" s="47">
        <f>K592+K594+K591</f>
        <v>60058.8</v>
      </c>
      <c r="L590" s="18">
        <f t="shared" si="115"/>
        <v>60226.5</v>
      </c>
      <c r="M590" s="47">
        <f>M592+M594+M591</f>
        <v>58249.2</v>
      </c>
      <c r="N590" s="18">
        <f t="shared" si="116"/>
        <v>118475.7</v>
      </c>
      <c r="O590" s="47">
        <f>O592+O594+O591+O596</f>
        <v>50606.799999999974</v>
      </c>
      <c r="P590" s="18">
        <f t="shared" si="117"/>
        <v>169082.49999999997</v>
      </c>
      <c r="Q590" s="47">
        <f>Q592+Q594+Q591+Q596</f>
        <v>-82221.799999999988</v>
      </c>
      <c r="R590" s="18">
        <f t="shared" si="118"/>
        <v>86860.699999999983</v>
      </c>
      <c r="S590" s="47">
        <f>S592+S594+S591+S596</f>
        <v>3335.6000000000004</v>
      </c>
      <c r="T590" s="18">
        <f t="shared" si="119"/>
        <v>90196.299999999988</v>
      </c>
      <c r="U590" s="84">
        <f>U592+U594+U591+U596</f>
        <v>36662.100000000006</v>
      </c>
      <c r="V590" s="18">
        <f t="shared" si="120"/>
        <v>126858.4</v>
      </c>
      <c r="W590" s="84">
        <f>W592+W594+W591+W596</f>
        <v>-36342.400000000001</v>
      </c>
      <c r="X590" s="18">
        <f t="shared" si="121"/>
        <v>90516</v>
      </c>
    </row>
    <row r="591" spans="1:27" x14ac:dyDescent="0.25">
      <c r="A591" s="7" t="s">
        <v>54</v>
      </c>
      <c r="B591" s="31" t="s">
        <v>677</v>
      </c>
      <c r="C591" s="25" t="s">
        <v>34</v>
      </c>
      <c r="D591" s="19"/>
      <c r="E591" s="19"/>
      <c r="F591" s="18"/>
      <c r="G591" s="64"/>
      <c r="H591" s="18"/>
      <c r="I591" s="47"/>
      <c r="J591" s="18"/>
      <c r="K591" s="96">
        <f>13000+1200+36149.9+2898.3+(13000-264-792)+807.8-14614.4+40.9+7000+480</f>
        <v>58906.5</v>
      </c>
      <c r="L591" s="18">
        <f t="shared" si="115"/>
        <v>58906.5</v>
      </c>
      <c r="M591" s="44">
        <f>30000+1063.5+300+400+5230.3-1084.4+22000+650+2215-2280.4+547.2</f>
        <v>59041.2</v>
      </c>
      <c r="N591" s="18">
        <f t="shared" si="116"/>
        <v>117947.7</v>
      </c>
      <c r="O591" s="44">
        <f>9300-117947.7</f>
        <v>-108647.7</v>
      </c>
      <c r="P591" s="18">
        <f t="shared" si="117"/>
        <v>9300</v>
      </c>
      <c r="Q591" s="44">
        <v>10700</v>
      </c>
      <c r="R591" s="18">
        <f t="shared" si="118"/>
        <v>20000</v>
      </c>
      <c r="S591" s="44">
        <f>2076.9+295.3+963.4</f>
        <v>3335.6000000000004</v>
      </c>
      <c r="T591" s="18">
        <f t="shared" si="119"/>
        <v>23335.599999999999</v>
      </c>
      <c r="U591" s="44">
        <f>448.8+230.5+77+36136-60227.8</f>
        <v>-23335.5</v>
      </c>
      <c r="V591" s="18">
        <f t="shared" si="120"/>
        <v>9.9999999998544808E-2</v>
      </c>
      <c r="W591" s="64"/>
      <c r="X591" s="18">
        <f t="shared" si="121"/>
        <v>9.9999999998544808E-2</v>
      </c>
      <c r="Z591" s="43">
        <f>X591+Y591</f>
        <v>9.9999999998544808E-2</v>
      </c>
      <c r="AA591" s="43"/>
    </row>
    <row r="592" spans="1:27" hidden="1" x14ac:dyDescent="0.25">
      <c r="A592" s="28" t="s">
        <v>673</v>
      </c>
      <c r="B592" s="115" t="s">
        <v>674</v>
      </c>
      <c r="C592" s="86"/>
      <c r="D592" s="19"/>
      <c r="E592" s="19"/>
      <c r="F592" s="18"/>
      <c r="G592" s="64"/>
      <c r="H592" s="18"/>
      <c r="I592" s="47">
        <f>I593</f>
        <v>67.7</v>
      </c>
      <c r="J592" s="18">
        <f t="shared" si="114"/>
        <v>67.7</v>
      </c>
      <c r="K592" s="47">
        <f>K593</f>
        <v>-67.7</v>
      </c>
      <c r="L592" s="18">
        <f t="shared" si="115"/>
        <v>0</v>
      </c>
      <c r="M592" s="47">
        <f>M593</f>
        <v>0</v>
      </c>
      <c r="N592" s="18">
        <f t="shared" si="116"/>
        <v>0</v>
      </c>
      <c r="O592" s="47">
        <f>O593</f>
        <v>0</v>
      </c>
      <c r="P592" s="18">
        <f t="shared" si="117"/>
        <v>0</v>
      </c>
      <c r="Q592" s="47">
        <f>Q593</f>
        <v>0</v>
      </c>
      <c r="R592" s="18">
        <f t="shared" si="118"/>
        <v>0</v>
      </c>
      <c r="S592" s="47">
        <f>S593</f>
        <v>0</v>
      </c>
      <c r="T592" s="18">
        <f t="shared" si="119"/>
        <v>0</v>
      </c>
      <c r="U592" s="47">
        <f>U593</f>
        <v>0</v>
      </c>
      <c r="V592" s="18">
        <f t="shared" si="120"/>
        <v>0</v>
      </c>
      <c r="W592" s="47">
        <f>W593</f>
        <v>0</v>
      </c>
      <c r="X592" s="18">
        <f t="shared" si="121"/>
        <v>0</v>
      </c>
    </row>
    <row r="593" spans="1:27" hidden="1" x14ac:dyDescent="0.25">
      <c r="A593" s="7" t="s">
        <v>54</v>
      </c>
      <c r="B593" s="86" t="s">
        <v>674</v>
      </c>
      <c r="C593" s="86" t="s">
        <v>34</v>
      </c>
      <c r="D593" s="19"/>
      <c r="E593" s="19"/>
      <c r="F593" s="18"/>
      <c r="G593" s="64"/>
      <c r="H593" s="18"/>
      <c r="I593" s="44">
        <v>67.7</v>
      </c>
      <c r="J593" s="18">
        <f t="shared" si="114"/>
        <v>67.7</v>
      </c>
      <c r="K593" s="96">
        <v>-67.7</v>
      </c>
      <c r="L593" s="18">
        <f t="shared" si="115"/>
        <v>0</v>
      </c>
      <c r="M593" s="64"/>
      <c r="N593" s="18">
        <f t="shared" si="116"/>
        <v>0</v>
      </c>
      <c r="O593" s="64"/>
      <c r="P593" s="18">
        <f t="shared" si="117"/>
        <v>0</v>
      </c>
      <c r="Q593" s="64"/>
      <c r="R593" s="18">
        <f t="shared" si="118"/>
        <v>0</v>
      </c>
      <c r="S593" s="64"/>
      <c r="T593" s="18">
        <f t="shared" si="119"/>
        <v>0</v>
      </c>
      <c r="U593" s="64"/>
      <c r="V593" s="18">
        <f t="shared" si="120"/>
        <v>0</v>
      </c>
      <c r="W593" s="64"/>
      <c r="X593" s="18">
        <f t="shared" si="121"/>
        <v>0</v>
      </c>
      <c r="Z593" s="43">
        <f>X593+Y593</f>
        <v>0</v>
      </c>
      <c r="AA593" s="43"/>
    </row>
    <row r="594" spans="1:27" x14ac:dyDescent="0.25">
      <c r="A594" s="28" t="s">
        <v>671</v>
      </c>
      <c r="B594" s="131" t="s">
        <v>672</v>
      </c>
      <c r="C594" s="26"/>
      <c r="D594" s="19"/>
      <c r="E594" s="19"/>
      <c r="F594" s="18"/>
      <c r="G594" s="64"/>
      <c r="H594" s="18"/>
      <c r="I594" s="84">
        <f>I595</f>
        <v>100</v>
      </c>
      <c r="J594" s="18">
        <f t="shared" si="114"/>
        <v>100</v>
      </c>
      <c r="K594" s="84">
        <f>K595</f>
        <v>1220</v>
      </c>
      <c r="L594" s="18">
        <f t="shared" si="115"/>
        <v>1320</v>
      </c>
      <c r="M594" s="84">
        <f>M595</f>
        <v>-792</v>
      </c>
      <c r="N594" s="18">
        <f t="shared" si="116"/>
        <v>528</v>
      </c>
      <c r="O594" s="84">
        <f>O595</f>
        <v>0</v>
      </c>
      <c r="P594" s="18">
        <f t="shared" si="117"/>
        <v>528</v>
      </c>
      <c r="Q594" s="84">
        <f>Q595</f>
        <v>0</v>
      </c>
      <c r="R594" s="18">
        <f t="shared" si="118"/>
        <v>528</v>
      </c>
      <c r="S594" s="84">
        <f>S595</f>
        <v>0</v>
      </c>
      <c r="T594" s="18">
        <f t="shared" si="119"/>
        <v>528</v>
      </c>
      <c r="U594" s="84">
        <f>U595</f>
        <v>0</v>
      </c>
      <c r="V594" s="18">
        <f t="shared" si="120"/>
        <v>528</v>
      </c>
      <c r="W594" s="84">
        <f>W595</f>
        <v>0</v>
      </c>
      <c r="X594" s="18">
        <f t="shared" si="121"/>
        <v>528</v>
      </c>
    </row>
    <row r="595" spans="1:27" x14ac:dyDescent="0.25">
      <c r="A595" s="7" t="s">
        <v>54</v>
      </c>
      <c r="B595" s="134" t="s">
        <v>672</v>
      </c>
      <c r="C595" s="27" t="s">
        <v>34</v>
      </c>
      <c r="D595" s="19"/>
      <c r="E595" s="19"/>
      <c r="F595" s="18"/>
      <c r="G595" s="64"/>
      <c r="H595" s="18"/>
      <c r="I595" s="85">
        <v>100</v>
      </c>
      <c r="J595" s="18">
        <f t="shared" si="114"/>
        <v>100</v>
      </c>
      <c r="K595" s="100">
        <f>164+792+264</f>
        <v>1220</v>
      </c>
      <c r="L595" s="18">
        <f t="shared" si="115"/>
        <v>1320</v>
      </c>
      <c r="M595" s="120">
        <v>-792</v>
      </c>
      <c r="N595" s="18">
        <f t="shared" si="116"/>
        <v>528</v>
      </c>
      <c r="O595" s="121"/>
      <c r="P595" s="18">
        <f t="shared" si="117"/>
        <v>528</v>
      </c>
      <c r="Q595" s="121"/>
      <c r="R595" s="18">
        <f t="shared" si="118"/>
        <v>528</v>
      </c>
      <c r="S595" s="121"/>
      <c r="T595" s="18">
        <f t="shared" si="119"/>
        <v>528</v>
      </c>
      <c r="U595" s="121"/>
      <c r="V595" s="18">
        <f t="shared" si="120"/>
        <v>528</v>
      </c>
      <c r="W595" s="121"/>
      <c r="X595" s="18">
        <f t="shared" si="121"/>
        <v>528</v>
      </c>
      <c r="Z595" s="43">
        <f>X595+Y595</f>
        <v>528</v>
      </c>
      <c r="AA595" s="43"/>
    </row>
    <row r="596" spans="1:27" x14ac:dyDescent="0.25">
      <c r="A596" s="13" t="s">
        <v>676</v>
      </c>
      <c r="B596" s="26" t="s">
        <v>677</v>
      </c>
      <c r="C596" s="27"/>
      <c r="D596" s="19"/>
      <c r="E596" s="19"/>
      <c r="F596" s="18"/>
      <c r="G596" s="64"/>
      <c r="H596" s="18"/>
      <c r="I596" s="85"/>
      <c r="J596" s="18"/>
      <c r="K596" s="100"/>
      <c r="L596" s="18"/>
      <c r="M596" s="120"/>
      <c r="N596" s="18"/>
      <c r="O596" s="84">
        <f>O597+O599+O601+O603+O605+O607+O609+O611+O613+O615+O617+O619+O621+O623+O625+O627+O629+O631+O633+O635+O637+O639+O641+O643+O645+O647+O649+O651+O653+O655+O657+O659+O661+O663+O665+O667+O669+O671+O673+O675+O677+O679+O681+O683+O685+O687+O689+O691+O693+O695+O697+O699+O701+O703+O705+O707+O709+O711+O713+O715+O717+O719+O721+O723+O725+O727+O729+O731+O733+O735+O737+O739+O741+O743+O745+O747+O749+O751+O753+O755+O757+O759+O761+O763+O765+O767+O769+O771+O773+O775+O777+O779+O781+O783+O785+O787+O789+O791+O793+O795+O797+O799+O801+O803+O805+O807+O809+O811+O813+O815+O817+O819+O821+O823+O825+O827+O829+O831+O833+O835+O837+O839+O841+O843+O845+O847+O849+O851+O853+O855+O857+O859+O861+O863+O865+O867+O869+O871+O873+O875+O877+O879+O881+O883+O885+O887+O889+O891+O893+O895+O897+O899+O901+O903+O905+O907+O909+O911</f>
        <v>159254.49999999997</v>
      </c>
      <c r="P596" s="18">
        <f t="shared" si="117"/>
        <v>159254.49999999997</v>
      </c>
      <c r="Q596" s="84">
        <f>Q597+Q599+Q601+Q603+Q605+Q607+Q609+Q611+Q613+Q615+Q617+Q619+Q621+Q623+Q625+Q627+Q629+Q631+Q633+Q635+Q637+Q639+Q641+Q643+Q645+Q647+Q649+Q651+Q653+Q655+Q657+Q659+Q661+Q663+Q665+Q667+Q669+Q671+Q673+Q675+Q677+Q679+Q681+Q683+Q685+Q687+Q689+Q691+Q693+Q695+Q697+Q699+Q701+Q703+Q705+Q707+Q709+Q711+Q713+Q715+Q717+Q719+Q721+Q723+Q725+Q727+Q729+Q731+Q733+Q735+Q737+Q739+Q741+Q743+Q745+Q747+Q749+Q751+Q753+Q755+Q757+Q759+Q761+Q763+Q765+Q767+Q769+Q771+Q773+Q775+Q777+Q779+Q781+Q783+Q785+Q787+Q789+Q791+Q793+Q795+Q797+Q799+Q801+Q803+Q805+Q807+Q809+Q811+Q813+Q815+Q817+Q819+Q821+Q823+Q825+Q827+Q829+Q831+Q833+Q835+Q837+Q839+Q841+Q843+Q845+Q847+Q849+Q851+Q853+Q855+Q857+Q859+Q861+Q863+Q865+Q867+Q869+Q871+Q873+Q875+Q877+Q879+Q881+Q883+Q885+Q887+Q889+Q891+Q893+Q895+Q897+Q899+Q901+Q903+Q905+Q907+Q909+Q911</f>
        <v>-92921.799999999988</v>
      </c>
      <c r="R596" s="18">
        <f t="shared" si="118"/>
        <v>66332.699999999983</v>
      </c>
      <c r="S596" s="84">
        <f>S597+S599+S601+S603+S605+S607+S609+S611+S613+S615+S617+S619+S621+S623+S625+S627+S629+S631+S633+S635+S637+S639+S641+S643+S645+S647+S649+S651+S653+S655+S657+S659+S661+S663+S665+S667+S669+S671+S673+S675+S677+S679+S681+S683+S685+S687+S689+S691+S693+S695+S697+S699+S701+S703+S705+S707+S709+S711+S713+S715+S717+S719+S721+S723+S725+S727+S729+S731+S733+S735+S737+S739+S741+S743+S745+S747+S749+S751+S753+S755+S757+S759+S761+S763+S765+S767+S769+S771+S773+S775+S777+S779+S781+S783+S785+S787+S789+S791+S793+S795+S797+S799+S801+S803+S805+S807+S809+S811+S813+S815+S817+S819+S821+S823+S825+S827+S829+S831+S833+S835+S837+S839+S841+S843+S845+S847+S849+S851+S853+S855+S857+S859+S861+S863+S865+S867+S869+S871+S873+S875+S877+S879+S881+S883+S885+S887+S889+S891+S893+S895+S897+S899+S901+S903+S905+S907+S909+S911+S913+S915+S917+S919+S921+S923+S925+S927+S929+S931+S933+S935+S937+S939+S941+S943+S945+S947+S949+S951+S953+S955+S957+S959+S961+S963+S965+S967+S969+S971+S973+S975+S977+S979+S981+S983+S985+S987+S989+S991+S993+S995+S997+S999+S1001+S1003+S1005+S1007+S1009+S1011+S1013+S1015+S1017+S1019+S1021+S1023+S1025+S1027+S1029+S1031+S1033+S1035+S1037</f>
        <v>0</v>
      </c>
      <c r="T596" s="18">
        <f t="shared" si="119"/>
        <v>66332.699999999983</v>
      </c>
      <c r="U596" s="84">
        <f>U597+U599+U601+U603+U605+U607+U609+U611+U613+U615+U617+U619+U621+U623+U625+U627+U629+U631+U633+U635+U637+U639+U641+U643+U645+U647+U649+U651+U653+U655+U657+U659+U661+U663+U665+U667+U669+U671+U673+U675+U677+U679+U681+U683+U685+U687+U689+U691+U693+U695+U697+U699+U701+U703+U705+U707+U709+U711+U713+U715+U717+U719+U721+U723+U725+U727+U729+U731+U733+U735+U737+U739+U741+U743+U745+U747+U749+U751+U753+U755+U757+U759+U761+U763+U765+U767+U769+U771+U773+U775+U777+U779+U781+U783+U785+U787+U789+U791+U793+U795+U797+U799+U801+U803+U805+U807+U809+U811+U813+U815+U817+U819+U821+U823+U825+U827+U829+U831+U833+U835+U837+U839+U841+U843+U845+U847+U849+U851+U853+U855+U857+U859+U861+U863+U865+U867+U869+U871+U873+U875+U877+U879+U881+U883+U885+U887+U889+U891+U893+U895+U897+U899+U901+U903+U905+U907+U909+U911+U913+U915+U917+U919+U921+U923+U925+U927+U929+U931+U933+U935+U937+U939+U941+U943+U945+U947+U949+U951+U953+U955+U957+U959+U961+U963+U965+U967+U969+U971+U973+U975+U977+U979+U981+U983+U985+U987+U989+U991+U993+U995+U997+U999+U1001+U1003+U1005+U1007+U1009+U1011+U1013+U1015+U1017+U1019+U1021+U1023+U1025+U1027+U1029+U1031+U1033+U1035+U1037</f>
        <v>59997.600000000006</v>
      </c>
      <c r="V596" s="18">
        <f t="shared" si="120"/>
        <v>126330.29999999999</v>
      </c>
      <c r="W596" s="84">
        <f>W597+W599+W601+W603+W605+W607+W609+W611+W613+W615+W617+W619+W621+W623+W625+W627+W629+W631+W633+W635+W637+W639+W641+W643+W645+W647+W649+W651+W653+W655+W657+W659+W661+W663+W665+W667+W669+W671+W673+W675+W677+W679+W681+W683+W685+W687+W689+W691+W693+W695+W697+W699+W701+W703+W705+W707+W709+W711+W713+W715+W717+W719+W721+W723+W725+W727+W729+W731+W733+W735+W737+W739+W741+W743+W745+W747+W749+W751+W753+W755+W757+W759+W761+W763+W765+W767+W769+W771+W773+W775+W777+W779+W781+W783+W785+W787+W789+W791+W793+W795+W797+W799+W801+W803+W805+W807+W809+W811+W813+W815+W817+W819+W821+W823+W825+W827+W829+W831+W833+W835+W837+W839+W841+W843+W845+W847+W849+W851+W853+W855+W857+W859+W861+W863+W865+W867+W869+W871+W873+W875+W877+W879+W881+W883+W885+W887+W889+W891+W893+W895+W897+W899+W901+W903+W905+W907+W909+W911+W913+W915+W917+W919+W921+W923+W925+W927+W929+W931+W933+W935+W937+W939+W941+W943+W945+W947+W949+W951+W953+W955+W957+W959+W961+W963+W965+W967+W969+W971+W973+W975+W977+W979+W981+W983+W985+W987+W989+W991+W993+W995+W997+W999+W1001+W1003+W1005+W1007+W1009+W1011+W1013+W1015+W1017+W1019+W1021+W1023+W1025+W1027+W1029+W1031+W1033+W1035+W1037</f>
        <v>-36342.400000000001</v>
      </c>
      <c r="X596" s="18">
        <f t="shared" si="121"/>
        <v>89987.9</v>
      </c>
    </row>
    <row r="597" spans="1:27" x14ac:dyDescent="0.25">
      <c r="A597" s="125" t="s">
        <v>801</v>
      </c>
      <c r="B597" s="128" t="s">
        <v>831</v>
      </c>
      <c r="C597" s="27"/>
      <c r="D597" s="19"/>
      <c r="E597" s="19"/>
      <c r="F597" s="18"/>
      <c r="G597" s="64"/>
      <c r="H597" s="18"/>
      <c r="I597" s="85"/>
      <c r="J597" s="18"/>
      <c r="K597" s="100"/>
      <c r="L597" s="18"/>
      <c r="M597" s="120"/>
      <c r="N597" s="18"/>
      <c r="O597" s="84">
        <f>O598</f>
        <v>250</v>
      </c>
      <c r="P597" s="18">
        <f t="shared" si="117"/>
        <v>250</v>
      </c>
      <c r="Q597" s="84">
        <f>Q598</f>
        <v>-150</v>
      </c>
      <c r="R597" s="18">
        <f t="shared" si="118"/>
        <v>100</v>
      </c>
      <c r="S597" s="84">
        <f>S598</f>
        <v>0</v>
      </c>
      <c r="T597" s="18">
        <f t="shared" si="119"/>
        <v>100</v>
      </c>
      <c r="U597" s="84">
        <f>U598</f>
        <v>0</v>
      </c>
      <c r="V597" s="18">
        <f t="shared" si="120"/>
        <v>100</v>
      </c>
      <c r="W597" s="84">
        <f>W598</f>
        <v>0</v>
      </c>
      <c r="X597" s="18">
        <f t="shared" si="121"/>
        <v>100</v>
      </c>
    </row>
    <row r="598" spans="1:27" x14ac:dyDescent="0.25">
      <c r="A598" s="7" t="s">
        <v>54</v>
      </c>
      <c r="B598" s="130" t="s">
        <v>831</v>
      </c>
      <c r="C598" s="86" t="s">
        <v>34</v>
      </c>
      <c r="D598" s="19"/>
      <c r="E598" s="19"/>
      <c r="F598" s="18"/>
      <c r="G598" s="64"/>
      <c r="H598" s="18"/>
      <c r="I598" s="85"/>
      <c r="J598" s="18"/>
      <c r="K598" s="100"/>
      <c r="L598" s="18"/>
      <c r="M598" s="120"/>
      <c r="N598" s="18"/>
      <c r="O598" s="100">
        <v>250</v>
      </c>
      <c r="P598" s="18">
        <f t="shared" si="117"/>
        <v>250</v>
      </c>
      <c r="Q598" s="85">
        <v>-150</v>
      </c>
      <c r="R598" s="18">
        <f t="shared" si="118"/>
        <v>100</v>
      </c>
      <c r="S598" s="121"/>
      <c r="T598" s="18">
        <f t="shared" si="119"/>
        <v>100</v>
      </c>
      <c r="U598" s="121"/>
      <c r="V598" s="18">
        <f t="shared" si="120"/>
        <v>100</v>
      </c>
      <c r="W598" s="121"/>
      <c r="X598" s="18">
        <f t="shared" si="121"/>
        <v>100</v>
      </c>
      <c r="Z598" s="43">
        <f>X598+Y598</f>
        <v>100</v>
      </c>
      <c r="AA598" s="43"/>
    </row>
    <row r="599" spans="1:27" x14ac:dyDescent="0.25">
      <c r="A599" s="126" t="s">
        <v>802</v>
      </c>
      <c r="B599" s="128" t="s">
        <v>832</v>
      </c>
      <c r="C599" s="27"/>
      <c r="D599" s="19"/>
      <c r="E599" s="19"/>
      <c r="F599" s="18"/>
      <c r="G599" s="64"/>
      <c r="H599" s="18"/>
      <c r="I599" s="85"/>
      <c r="J599" s="18"/>
      <c r="K599" s="100"/>
      <c r="L599" s="18"/>
      <c r="M599" s="120"/>
      <c r="N599" s="18"/>
      <c r="O599" s="84">
        <f t="shared" ref="O599:W599" si="134">O600</f>
        <v>250</v>
      </c>
      <c r="P599" s="18">
        <f t="shared" si="117"/>
        <v>250</v>
      </c>
      <c r="Q599" s="84">
        <f t="shared" si="134"/>
        <v>-150</v>
      </c>
      <c r="R599" s="18">
        <f t="shared" si="118"/>
        <v>100</v>
      </c>
      <c r="S599" s="84">
        <f t="shared" si="134"/>
        <v>0</v>
      </c>
      <c r="T599" s="18">
        <f t="shared" si="119"/>
        <v>100</v>
      </c>
      <c r="U599" s="84">
        <f t="shared" si="134"/>
        <v>0</v>
      </c>
      <c r="V599" s="18">
        <f t="shared" si="120"/>
        <v>100</v>
      </c>
      <c r="W599" s="84">
        <f t="shared" si="134"/>
        <v>0</v>
      </c>
      <c r="X599" s="18">
        <f t="shared" si="121"/>
        <v>100</v>
      </c>
    </row>
    <row r="600" spans="1:27" x14ac:dyDescent="0.25">
      <c r="A600" s="7" t="s">
        <v>54</v>
      </c>
      <c r="B600" s="130" t="s">
        <v>832</v>
      </c>
      <c r="C600" s="86" t="s">
        <v>34</v>
      </c>
      <c r="D600" s="19"/>
      <c r="E600" s="19"/>
      <c r="F600" s="18"/>
      <c r="G600" s="64"/>
      <c r="H600" s="18"/>
      <c r="I600" s="85"/>
      <c r="J600" s="18"/>
      <c r="K600" s="100"/>
      <c r="L600" s="18"/>
      <c r="M600" s="120"/>
      <c r="N600" s="18"/>
      <c r="O600" s="100">
        <v>250</v>
      </c>
      <c r="P600" s="18">
        <f t="shared" si="117"/>
        <v>250</v>
      </c>
      <c r="Q600" s="85">
        <v>-150</v>
      </c>
      <c r="R600" s="18">
        <f t="shared" si="118"/>
        <v>100</v>
      </c>
      <c r="S600" s="121"/>
      <c r="T600" s="18">
        <f t="shared" si="119"/>
        <v>100</v>
      </c>
      <c r="U600" s="121"/>
      <c r="V600" s="18">
        <f t="shared" si="120"/>
        <v>100</v>
      </c>
      <c r="W600" s="121"/>
      <c r="X600" s="18">
        <f t="shared" si="121"/>
        <v>100</v>
      </c>
      <c r="Z600" s="43">
        <f>X600+Y600</f>
        <v>100</v>
      </c>
      <c r="AA600" s="43"/>
    </row>
    <row r="601" spans="1:27" ht="15" customHeight="1" x14ac:dyDescent="0.25">
      <c r="A601" s="126" t="s">
        <v>803</v>
      </c>
      <c r="B601" s="128" t="s">
        <v>833</v>
      </c>
      <c r="C601" s="27"/>
      <c r="D601" s="19"/>
      <c r="E601" s="19"/>
      <c r="F601" s="18"/>
      <c r="G601" s="64"/>
      <c r="H601" s="18"/>
      <c r="I601" s="85"/>
      <c r="J601" s="18"/>
      <c r="K601" s="100"/>
      <c r="L601" s="18"/>
      <c r="M601" s="120"/>
      <c r="N601" s="18"/>
      <c r="O601" s="84">
        <f t="shared" ref="O601:W601" si="135">O602</f>
        <v>127.6</v>
      </c>
      <c r="P601" s="18">
        <f t="shared" si="117"/>
        <v>127.6</v>
      </c>
      <c r="Q601" s="84">
        <f t="shared" si="135"/>
        <v>-76.599999999999994</v>
      </c>
      <c r="R601" s="18">
        <f t="shared" si="118"/>
        <v>51</v>
      </c>
      <c r="S601" s="84">
        <f t="shared" si="135"/>
        <v>0</v>
      </c>
      <c r="T601" s="18">
        <f t="shared" si="119"/>
        <v>51</v>
      </c>
      <c r="U601" s="84">
        <f t="shared" si="135"/>
        <v>0</v>
      </c>
      <c r="V601" s="18">
        <f t="shared" si="120"/>
        <v>51</v>
      </c>
      <c r="W601" s="84">
        <f t="shared" si="135"/>
        <v>0</v>
      </c>
      <c r="X601" s="18">
        <f t="shared" si="121"/>
        <v>51</v>
      </c>
    </row>
    <row r="602" spans="1:27" x14ac:dyDescent="0.25">
      <c r="A602" s="7" t="s">
        <v>54</v>
      </c>
      <c r="B602" s="130" t="s">
        <v>833</v>
      </c>
      <c r="C602" s="86" t="s">
        <v>34</v>
      </c>
      <c r="D602" s="19"/>
      <c r="E602" s="19"/>
      <c r="F602" s="18"/>
      <c r="G602" s="64"/>
      <c r="H602" s="18"/>
      <c r="I602" s="85"/>
      <c r="J602" s="18"/>
      <c r="K602" s="100"/>
      <c r="L602" s="18"/>
      <c r="M602" s="120"/>
      <c r="N602" s="18"/>
      <c r="O602" s="100">
        <v>127.6</v>
      </c>
      <c r="P602" s="18">
        <f t="shared" si="117"/>
        <v>127.6</v>
      </c>
      <c r="Q602" s="85">
        <v>-76.599999999999994</v>
      </c>
      <c r="R602" s="18">
        <f t="shared" si="118"/>
        <v>51</v>
      </c>
      <c r="S602" s="121"/>
      <c r="T602" s="18">
        <f t="shared" si="119"/>
        <v>51</v>
      </c>
      <c r="U602" s="121"/>
      <c r="V602" s="18">
        <f t="shared" si="120"/>
        <v>51</v>
      </c>
      <c r="W602" s="121"/>
      <c r="X602" s="18">
        <f t="shared" si="121"/>
        <v>51</v>
      </c>
      <c r="Z602" s="43">
        <f>X602+Y602</f>
        <v>51</v>
      </c>
      <c r="AA602" s="43"/>
    </row>
    <row r="603" spans="1:27" ht="36" x14ac:dyDescent="0.25">
      <c r="A603" s="126" t="s">
        <v>804</v>
      </c>
      <c r="B603" s="128" t="s">
        <v>834</v>
      </c>
      <c r="C603" s="27"/>
      <c r="D603" s="19"/>
      <c r="E603" s="19"/>
      <c r="F603" s="18"/>
      <c r="G603" s="64"/>
      <c r="H603" s="18"/>
      <c r="I603" s="85"/>
      <c r="J603" s="18"/>
      <c r="K603" s="100"/>
      <c r="L603" s="18"/>
      <c r="M603" s="120"/>
      <c r="N603" s="18"/>
      <c r="O603" s="84">
        <f t="shared" ref="O603:W603" si="136">O604</f>
        <v>230</v>
      </c>
      <c r="P603" s="18">
        <f t="shared" si="117"/>
        <v>230</v>
      </c>
      <c r="Q603" s="84">
        <f t="shared" si="136"/>
        <v>-138</v>
      </c>
      <c r="R603" s="18">
        <f t="shared" si="118"/>
        <v>92</v>
      </c>
      <c r="S603" s="84">
        <f t="shared" si="136"/>
        <v>0</v>
      </c>
      <c r="T603" s="18">
        <f t="shared" si="119"/>
        <v>92</v>
      </c>
      <c r="U603" s="84">
        <f t="shared" si="136"/>
        <v>0</v>
      </c>
      <c r="V603" s="18">
        <f t="shared" si="120"/>
        <v>92</v>
      </c>
      <c r="W603" s="84">
        <f t="shared" si="136"/>
        <v>0</v>
      </c>
      <c r="X603" s="18">
        <f t="shared" si="121"/>
        <v>92</v>
      </c>
    </row>
    <row r="604" spans="1:27" x14ac:dyDescent="0.25">
      <c r="A604" s="7" t="s">
        <v>54</v>
      </c>
      <c r="B604" s="130" t="s">
        <v>834</v>
      </c>
      <c r="C604" s="86" t="s">
        <v>66</v>
      </c>
      <c r="D604" s="19"/>
      <c r="E604" s="19"/>
      <c r="F604" s="18"/>
      <c r="G604" s="64"/>
      <c r="H604" s="18"/>
      <c r="I604" s="85"/>
      <c r="J604" s="18"/>
      <c r="K604" s="100"/>
      <c r="L604" s="18"/>
      <c r="M604" s="120"/>
      <c r="N604" s="18"/>
      <c r="O604" s="100">
        <v>230</v>
      </c>
      <c r="P604" s="18">
        <f t="shared" si="117"/>
        <v>230</v>
      </c>
      <c r="Q604" s="85">
        <v>-138</v>
      </c>
      <c r="R604" s="18">
        <f t="shared" si="118"/>
        <v>92</v>
      </c>
      <c r="S604" s="121"/>
      <c r="T604" s="18">
        <f t="shared" si="119"/>
        <v>92</v>
      </c>
      <c r="U604" s="121"/>
      <c r="V604" s="18">
        <f t="shared" si="120"/>
        <v>92</v>
      </c>
      <c r="W604" s="121"/>
      <c r="X604" s="18">
        <f t="shared" si="121"/>
        <v>92</v>
      </c>
      <c r="Z604" s="43">
        <f>X604+Y604</f>
        <v>92</v>
      </c>
      <c r="AA604" s="43"/>
    </row>
    <row r="605" spans="1:27" x14ac:dyDescent="0.25">
      <c r="A605" s="126" t="s">
        <v>805</v>
      </c>
      <c r="B605" s="128" t="s">
        <v>835</v>
      </c>
      <c r="C605" s="27"/>
      <c r="D605" s="19"/>
      <c r="E605" s="19"/>
      <c r="F605" s="18"/>
      <c r="G605" s="64"/>
      <c r="H605" s="18"/>
      <c r="I605" s="85"/>
      <c r="J605" s="18"/>
      <c r="K605" s="100"/>
      <c r="L605" s="18"/>
      <c r="M605" s="120"/>
      <c r="N605" s="18"/>
      <c r="O605" s="84">
        <f t="shared" ref="O605:W605" si="137">O606</f>
        <v>250.1</v>
      </c>
      <c r="P605" s="18">
        <f t="shared" si="117"/>
        <v>250.1</v>
      </c>
      <c r="Q605" s="84">
        <f t="shared" si="137"/>
        <v>-150</v>
      </c>
      <c r="R605" s="18">
        <f t="shared" si="118"/>
        <v>100.1</v>
      </c>
      <c r="S605" s="84">
        <f t="shared" si="137"/>
        <v>0</v>
      </c>
      <c r="T605" s="18">
        <f t="shared" si="119"/>
        <v>100.1</v>
      </c>
      <c r="U605" s="84">
        <f t="shared" si="137"/>
        <v>0</v>
      </c>
      <c r="V605" s="18">
        <f t="shared" si="120"/>
        <v>100.1</v>
      </c>
      <c r="W605" s="84">
        <f t="shared" si="137"/>
        <v>0</v>
      </c>
      <c r="X605" s="18">
        <f t="shared" si="121"/>
        <v>100.1</v>
      </c>
    </row>
    <row r="606" spans="1:27" x14ac:dyDescent="0.25">
      <c r="A606" s="7" t="s">
        <v>54</v>
      </c>
      <c r="B606" s="130" t="s">
        <v>835</v>
      </c>
      <c r="C606" s="86" t="s">
        <v>34</v>
      </c>
      <c r="D606" s="19"/>
      <c r="E606" s="19"/>
      <c r="F606" s="18"/>
      <c r="G606" s="64"/>
      <c r="H606" s="18"/>
      <c r="I606" s="85"/>
      <c r="J606" s="18"/>
      <c r="K606" s="100"/>
      <c r="L606" s="18"/>
      <c r="M606" s="120"/>
      <c r="N606" s="18"/>
      <c r="O606" s="100">
        <v>250.1</v>
      </c>
      <c r="P606" s="18">
        <f t="shared" si="117"/>
        <v>250.1</v>
      </c>
      <c r="Q606" s="85">
        <v>-150</v>
      </c>
      <c r="R606" s="18">
        <f t="shared" si="118"/>
        <v>100.1</v>
      </c>
      <c r="S606" s="121"/>
      <c r="T606" s="18">
        <f t="shared" si="119"/>
        <v>100.1</v>
      </c>
      <c r="U606" s="121"/>
      <c r="V606" s="18">
        <f t="shared" si="120"/>
        <v>100.1</v>
      </c>
      <c r="W606" s="121"/>
      <c r="X606" s="18">
        <f t="shared" si="121"/>
        <v>100.1</v>
      </c>
      <c r="Z606" s="43">
        <f>X606+Y606</f>
        <v>100.1</v>
      </c>
      <c r="AA606" s="43"/>
    </row>
    <row r="607" spans="1:27" x14ac:dyDescent="0.25">
      <c r="A607" s="125" t="s">
        <v>806</v>
      </c>
      <c r="B607" s="128" t="s">
        <v>836</v>
      </c>
      <c r="C607" s="27"/>
      <c r="D607" s="19"/>
      <c r="E607" s="19"/>
      <c r="F607" s="18"/>
      <c r="G607" s="64"/>
      <c r="H607" s="18"/>
      <c r="I607" s="85"/>
      <c r="J607" s="18"/>
      <c r="K607" s="100"/>
      <c r="L607" s="18"/>
      <c r="M607" s="120"/>
      <c r="N607" s="18"/>
      <c r="O607" s="84">
        <f t="shared" ref="O607:W607" si="138">O608</f>
        <v>500</v>
      </c>
      <c r="P607" s="18">
        <f t="shared" si="117"/>
        <v>500</v>
      </c>
      <c r="Q607" s="84">
        <f t="shared" si="138"/>
        <v>-300</v>
      </c>
      <c r="R607" s="18">
        <f t="shared" si="118"/>
        <v>200</v>
      </c>
      <c r="S607" s="84">
        <f t="shared" si="138"/>
        <v>0</v>
      </c>
      <c r="T607" s="18">
        <f t="shared" si="119"/>
        <v>200</v>
      </c>
      <c r="U607" s="84">
        <f t="shared" si="138"/>
        <v>0</v>
      </c>
      <c r="V607" s="18">
        <f t="shared" si="120"/>
        <v>200</v>
      </c>
      <c r="W607" s="84">
        <f t="shared" si="138"/>
        <v>0</v>
      </c>
      <c r="X607" s="18">
        <f t="shared" si="121"/>
        <v>200</v>
      </c>
    </row>
    <row r="608" spans="1:27" x14ac:dyDescent="0.25">
      <c r="A608" s="7" t="s">
        <v>54</v>
      </c>
      <c r="B608" s="130" t="s">
        <v>836</v>
      </c>
      <c r="C608" s="86" t="s">
        <v>34</v>
      </c>
      <c r="D608" s="19"/>
      <c r="E608" s="19"/>
      <c r="F608" s="18"/>
      <c r="G608" s="64"/>
      <c r="H608" s="18"/>
      <c r="I608" s="85"/>
      <c r="J608" s="18"/>
      <c r="K608" s="100"/>
      <c r="L608" s="18"/>
      <c r="M608" s="120"/>
      <c r="N608" s="18"/>
      <c r="O608" s="100">
        <v>500</v>
      </c>
      <c r="P608" s="18">
        <f t="shared" si="117"/>
        <v>500</v>
      </c>
      <c r="Q608" s="85">
        <v>-300</v>
      </c>
      <c r="R608" s="18">
        <f t="shared" si="118"/>
        <v>200</v>
      </c>
      <c r="S608" s="121"/>
      <c r="T608" s="18">
        <f t="shared" si="119"/>
        <v>200</v>
      </c>
      <c r="U608" s="121"/>
      <c r="V608" s="18">
        <f t="shared" si="120"/>
        <v>200</v>
      </c>
      <c r="W608" s="121"/>
      <c r="X608" s="18">
        <f t="shared" si="121"/>
        <v>200</v>
      </c>
      <c r="Z608" s="43">
        <f>X608+Y608</f>
        <v>200</v>
      </c>
      <c r="AA608" s="43"/>
    </row>
    <row r="609" spans="1:27" x14ac:dyDescent="0.25">
      <c r="A609" s="125" t="s">
        <v>807</v>
      </c>
      <c r="B609" s="128" t="s">
        <v>837</v>
      </c>
      <c r="C609" s="27"/>
      <c r="D609" s="19"/>
      <c r="E609" s="19"/>
      <c r="F609" s="18"/>
      <c r="G609" s="64"/>
      <c r="H609" s="18"/>
      <c r="I609" s="85"/>
      <c r="J609" s="18"/>
      <c r="K609" s="100"/>
      <c r="L609" s="18"/>
      <c r="M609" s="120"/>
      <c r="N609" s="18"/>
      <c r="O609" s="84">
        <f t="shared" ref="O609:W609" si="139">O610</f>
        <v>525</v>
      </c>
      <c r="P609" s="18">
        <f t="shared" si="117"/>
        <v>525</v>
      </c>
      <c r="Q609" s="84">
        <f t="shared" si="139"/>
        <v>-315</v>
      </c>
      <c r="R609" s="18">
        <f t="shared" si="118"/>
        <v>210</v>
      </c>
      <c r="S609" s="84">
        <f t="shared" si="139"/>
        <v>0</v>
      </c>
      <c r="T609" s="18">
        <f t="shared" si="119"/>
        <v>210</v>
      </c>
      <c r="U609" s="84">
        <f t="shared" si="139"/>
        <v>0</v>
      </c>
      <c r="V609" s="18">
        <f t="shared" si="120"/>
        <v>210</v>
      </c>
      <c r="W609" s="84">
        <f t="shared" si="139"/>
        <v>0</v>
      </c>
      <c r="X609" s="18">
        <f t="shared" si="121"/>
        <v>210</v>
      </c>
    </row>
    <row r="610" spans="1:27" x14ac:dyDescent="0.25">
      <c r="A610" s="7" t="s">
        <v>54</v>
      </c>
      <c r="B610" s="130" t="s">
        <v>837</v>
      </c>
      <c r="C610" s="86" t="s">
        <v>34</v>
      </c>
      <c r="D610" s="19"/>
      <c r="E610" s="19"/>
      <c r="F610" s="18"/>
      <c r="G610" s="64"/>
      <c r="H610" s="18"/>
      <c r="I610" s="85"/>
      <c r="J610" s="18"/>
      <c r="K610" s="100"/>
      <c r="L610" s="18"/>
      <c r="M610" s="120"/>
      <c r="N610" s="18"/>
      <c r="O610" s="100">
        <v>525</v>
      </c>
      <c r="P610" s="18">
        <f t="shared" si="117"/>
        <v>525</v>
      </c>
      <c r="Q610" s="85">
        <v>-315</v>
      </c>
      <c r="R610" s="18">
        <f t="shared" si="118"/>
        <v>210</v>
      </c>
      <c r="S610" s="121"/>
      <c r="T610" s="18">
        <f t="shared" si="119"/>
        <v>210</v>
      </c>
      <c r="U610" s="121"/>
      <c r="V610" s="18">
        <f t="shared" si="120"/>
        <v>210</v>
      </c>
      <c r="W610" s="121"/>
      <c r="X610" s="18">
        <f t="shared" si="121"/>
        <v>210</v>
      </c>
      <c r="Z610" s="43">
        <f>X610+Y610</f>
        <v>210</v>
      </c>
      <c r="AA610" s="43"/>
    </row>
    <row r="611" spans="1:27" x14ac:dyDescent="0.25">
      <c r="A611" s="125" t="s">
        <v>808</v>
      </c>
      <c r="B611" s="128" t="s">
        <v>838</v>
      </c>
      <c r="C611" s="27"/>
      <c r="D611" s="19"/>
      <c r="E611" s="19"/>
      <c r="F611" s="18"/>
      <c r="G611" s="64"/>
      <c r="H611" s="18"/>
      <c r="I611" s="85"/>
      <c r="J611" s="18"/>
      <c r="K611" s="100"/>
      <c r="L611" s="18"/>
      <c r="M611" s="120"/>
      <c r="N611" s="18"/>
      <c r="O611" s="84">
        <f t="shared" ref="O611:W611" si="140">O612</f>
        <v>250</v>
      </c>
      <c r="P611" s="18">
        <f t="shared" si="117"/>
        <v>250</v>
      </c>
      <c r="Q611" s="84">
        <f t="shared" si="140"/>
        <v>-150</v>
      </c>
      <c r="R611" s="18">
        <f t="shared" si="118"/>
        <v>100</v>
      </c>
      <c r="S611" s="84">
        <f t="shared" si="140"/>
        <v>0</v>
      </c>
      <c r="T611" s="18">
        <f t="shared" si="119"/>
        <v>100</v>
      </c>
      <c r="U611" s="84">
        <f t="shared" si="140"/>
        <v>0</v>
      </c>
      <c r="V611" s="18">
        <f t="shared" si="120"/>
        <v>100</v>
      </c>
      <c r="W611" s="84">
        <f t="shared" si="140"/>
        <v>0</v>
      </c>
      <c r="X611" s="18">
        <f t="shared" si="121"/>
        <v>100</v>
      </c>
    </row>
    <row r="612" spans="1:27" x14ac:dyDescent="0.25">
      <c r="A612" s="7" t="s">
        <v>54</v>
      </c>
      <c r="B612" s="130" t="s">
        <v>838</v>
      </c>
      <c r="C612" s="86" t="s">
        <v>34</v>
      </c>
      <c r="D612" s="19"/>
      <c r="E612" s="19"/>
      <c r="F612" s="18"/>
      <c r="G612" s="64"/>
      <c r="H612" s="18"/>
      <c r="I612" s="85"/>
      <c r="J612" s="18"/>
      <c r="K612" s="100"/>
      <c r="L612" s="18"/>
      <c r="M612" s="120"/>
      <c r="N612" s="18"/>
      <c r="O612" s="100">
        <v>250</v>
      </c>
      <c r="P612" s="18">
        <f t="shared" si="117"/>
        <v>250</v>
      </c>
      <c r="Q612" s="85">
        <v>-150</v>
      </c>
      <c r="R612" s="18">
        <f t="shared" si="118"/>
        <v>100</v>
      </c>
      <c r="S612" s="121"/>
      <c r="T612" s="18">
        <f t="shared" si="119"/>
        <v>100</v>
      </c>
      <c r="U612" s="121"/>
      <c r="V612" s="18">
        <f t="shared" si="120"/>
        <v>100</v>
      </c>
      <c r="W612" s="121"/>
      <c r="X612" s="18">
        <f t="shared" si="121"/>
        <v>100</v>
      </c>
      <c r="Z612" s="43">
        <f>X612+Y612</f>
        <v>100</v>
      </c>
      <c r="AA612" s="43"/>
    </row>
    <row r="613" spans="1:27" x14ac:dyDescent="0.25">
      <c r="A613" s="125" t="s">
        <v>809</v>
      </c>
      <c r="B613" s="128" t="s">
        <v>839</v>
      </c>
      <c r="C613" s="27"/>
      <c r="D613" s="19"/>
      <c r="E613" s="19"/>
      <c r="F613" s="18"/>
      <c r="G613" s="64"/>
      <c r="H613" s="18"/>
      <c r="I613" s="85"/>
      <c r="J613" s="18"/>
      <c r="K613" s="100"/>
      <c r="L613" s="18"/>
      <c r="M613" s="120"/>
      <c r="N613" s="18"/>
      <c r="O613" s="84">
        <f t="shared" ref="O613:W613" si="141">O614</f>
        <v>1820</v>
      </c>
      <c r="P613" s="18">
        <f t="shared" si="117"/>
        <v>1820</v>
      </c>
      <c r="Q613" s="84">
        <f t="shared" si="141"/>
        <v>-1092</v>
      </c>
      <c r="R613" s="18">
        <f t="shared" si="118"/>
        <v>728</v>
      </c>
      <c r="S613" s="84">
        <f t="shared" si="141"/>
        <v>0</v>
      </c>
      <c r="T613" s="18">
        <f t="shared" si="119"/>
        <v>728</v>
      </c>
      <c r="U613" s="84">
        <f t="shared" si="141"/>
        <v>0</v>
      </c>
      <c r="V613" s="18">
        <f t="shared" si="120"/>
        <v>728</v>
      </c>
      <c r="W613" s="84">
        <f t="shared" si="141"/>
        <v>0</v>
      </c>
      <c r="X613" s="18">
        <f t="shared" si="121"/>
        <v>728</v>
      </c>
    </row>
    <row r="614" spans="1:27" x14ac:dyDescent="0.25">
      <c r="A614" s="7" t="s">
        <v>54</v>
      </c>
      <c r="B614" s="130" t="s">
        <v>839</v>
      </c>
      <c r="C614" s="86" t="s">
        <v>34</v>
      </c>
      <c r="D614" s="19"/>
      <c r="E614" s="19"/>
      <c r="F614" s="18"/>
      <c r="G614" s="64"/>
      <c r="H614" s="18"/>
      <c r="I614" s="85"/>
      <c r="J614" s="18"/>
      <c r="K614" s="100"/>
      <c r="L614" s="18"/>
      <c r="M614" s="120"/>
      <c r="N614" s="18"/>
      <c r="O614" s="100">
        <v>1820</v>
      </c>
      <c r="P614" s="18">
        <f t="shared" si="117"/>
        <v>1820</v>
      </c>
      <c r="Q614" s="85">
        <v>-1092</v>
      </c>
      <c r="R614" s="18">
        <f t="shared" si="118"/>
        <v>728</v>
      </c>
      <c r="S614" s="121"/>
      <c r="T614" s="18">
        <f t="shared" si="119"/>
        <v>728</v>
      </c>
      <c r="U614" s="121"/>
      <c r="V614" s="18">
        <f t="shared" si="120"/>
        <v>728</v>
      </c>
      <c r="W614" s="121"/>
      <c r="X614" s="18">
        <f t="shared" si="121"/>
        <v>728</v>
      </c>
      <c r="Z614" s="43">
        <f>X614+Y614</f>
        <v>728</v>
      </c>
      <c r="AA614" s="43"/>
    </row>
    <row r="615" spans="1:27" ht="24" x14ac:dyDescent="0.25">
      <c r="A615" s="125" t="s">
        <v>810</v>
      </c>
      <c r="B615" s="128" t="s">
        <v>840</v>
      </c>
      <c r="C615" s="27"/>
      <c r="D615" s="19"/>
      <c r="E615" s="19"/>
      <c r="F615" s="18"/>
      <c r="G615" s="64"/>
      <c r="H615" s="18"/>
      <c r="I615" s="85"/>
      <c r="J615" s="18"/>
      <c r="K615" s="100"/>
      <c r="L615" s="18"/>
      <c r="M615" s="120"/>
      <c r="N615" s="18"/>
      <c r="O615" s="84">
        <f t="shared" ref="O615:W615" si="142">O616</f>
        <v>380.6</v>
      </c>
      <c r="P615" s="18">
        <f t="shared" si="117"/>
        <v>380.6</v>
      </c>
      <c r="Q615" s="84">
        <f t="shared" si="142"/>
        <v>-228.4</v>
      </c>
      <c r="R615" s="18">
        <f t="shared" si="118"/>
        <v>152.20000000000002</v>
      </c>
      <c r="S615" s="84">
        <f t="shared" si="142"/>
        <v>0</v>
      </c>
      <c r="T615" s="18">
        <f t="shared" si="119"/>
        <v>152.20000000000002</v>
      </c>
      <c r="U615" s="84">
        <f t="shared" si="142"/>
        <v>0</v>
      </c>
      <c r="V615" s="18">
        <f t="shared" si="120"/>
        <v>152.20000000000002</v>
      </c>
      <c r="W615" s="84">
        <f t="shared" si="142"/>
        <v>0</v>
      </c>
      <c r="X615" s="18">
        <f t="shared" si="121"/>
        <v>152.20000000000002</v>
      </c>
    </row>
    <row r="616" spans="1:27" x14ac:dyDescent="0.25">
      <c r="A616" s="7" t="s">
        <v>54</v>
      </c>
      <c r="B616" s="130" t="s">
        <v>840</v>
      </c>
      <c r="C616" s="86" t="s">
        <v>34</v>
      </c>
      <c r="D616" s="19"/>
      <c r="E616" s="19"/>
      <c r="F616" s="18"/>
      <c r="G616" s="64"/>
      <c r="H616" s="18"/>
      <c r="I616" s="85"/>
      <c r="J616" s="18"/>
      <c r="K616" s="100"/>
      <c r="L616" s="18"/>
      <c r="M616" s="120"/>
      <c r="N616" s="18"/>
      <c r="O616" s="100">
        <v>380.6</v>
      </c>
      <c r="P616" s="18">
        <f t="shared" si="117"/>
        <v>380.6</v>
      </c>
      <c r="Q616" s="85">
        <v>-228.4</v>
      </c>
      <c r="R616" s="18">
        <f t="shared" si="118"/>
        <v>152.20000000000002</v>
      </c>
      <c r="S616" s="121"/>
      <c r="T616" s="18">
        <f t="shared" si="119"/>
        <v>152.20000000000002</v>
      </c>
      <c r="U616" s="121"/>
      <c r="V616" s="18">
        <f t="shared" si="120"/>
        <v>152.20000000000002</v>
      </c>
      <c r="W616" s="121"/>
      <c r="X616" s="18">
        <f t="shared" si="121"/>
        <v>152.20000000000002</v>
      </c>
      <c r="Z616" s="43">
        <f>X616+Y616</f>
        <v>152.20000000000002</v>
      </c>
      <c r="AA616" s="43"/>
    </row>
    <row r="617" spans="1:27" x14ac:dyDescent="0.25">
      <c r="A617" s="125" t="s">
        <v>811</v>
      </c>
      <c r="B617" s="128" t="s">
        <v>841</v>
      </c>
      <c r="C617" s="27"/>
      <c r="D617" s="19"/>
      <c r="E617" s="19"/>
      <c r="F617" s="18"/>
      <c r="G617" s="64"/>
      <c r="H617" s="18"/>
      <c r="I617" s="85"/>
      <c r="J617" s="18"/>
      <c r="K617" s="100"/>
      <c r="L617" s="18"/>
      <c r="M617" s="120"/>
      <c r="N617" s="18"/>
      <c r="O617" s="84">
        <f t="shared" ref="O617:W617" si="143">O618</f>
        <v>690.5</v>
      </c>
      <c r="P617" s="18">
        <f t="shared" si="117"/>
        <v>690.5</v>
      </c>
      <c r="Q617" s="84">
        <f t="shared" si="143"/>
        <v>-414.3</v>
      </c>
      <c r="R617" s="18">
        <f t="shared" si="118"/>
        <v>276.2</v>
      </c>
      <c r="S617" s="84">
        <f t="shared" si="143"/>
        <v>0</v>
      </c>
      <c r="T617" s="18">
        <f t="shared" si="119"/>
        <v>276.2</v>
      </c>
      <c r="U617" s="84">
        <f t="shared" si="143"/>
        <v>0</v>
      </c>
      <c r="V617" s="18">
        <f t="shared" si="120"/>
        <v>276.2</v>
      </c>
      <c r="W617" s="84">
        <f t="shared" si="143"/>
        <v>0</v>
      </c>
      <c r="X617" s="18">
        <f t="shared" si="121"/>
        <v>276.2</v>
      </c>
    </row>
    <row r="618" spans="1:27" x14ac:dyDescent="0.25">
      <c r="A618" s="7" t="s">
        <v>54</v>
      </c>
      <c r="B618" s="130" t="s">
        <v>841</v>
      </c>
      <c r="C618" s="86" t="s">
        <v>34</v>
      </c>
      <c r="D618" s="19"/>
      <c r="E618" s="19"/>
      <c r="F618" s="18"/>
      <c r="G618" s="64"/>
      <c r="H618" s="18"/>
      <c r="I618" s="85"/>
      <c r="J618" s="18"/>
      <c r="K618" s="100"/>
      <c r="L618" s="18"/>
      <c r="M618" s="120"/>
      <c r="N618" s="18"/>
      <c r="O618" s="100">
        <v>690.5</v>
      </c>
      <c r="P618" s="18">
        <f t="shared" si="117"/>
        <v>690.5</v>
      </c>
      <c r="Q618" s="85">
        <v>-414.3</v>
      </c>
      <c r="R618" s="18">
        <f t="shared" si="118"/>
        <v>276.2</v>
      </c>
      <c r="S618" s="121"/>
      <c r="T618" s="18">
        <f t="shared" si="119"/>
        <v>276.2</v>
      </c>
      <c r="U618" s="121"/>
      <c r="V618" s="18">
        <f t="shared" si="120"/>
        <v>276.2</v>
      </c>
      <c r="W618" s="121"/>
      <c r="X618" s="18">
        <f t="shared" si="121"/>
        <v>276.2</v>
      </c>
      <c r="Z618" s="43">
        <f>X618+Y618</f>
        <v>276.2</v>
      </c>
      <c r="AA618" s="43"/>
    </row>
    <row r="619" spans="1:27" x14ac:dyDescent="0.25">
      <c r="A619" s="125" t="s">
        <v>812</v>
      </c>
      <c r="B619" s="128" t="s">
        <v>842</v>
      </c>
      <c r="C619" s="27"/>
      <c r="D619" s="19"/>
      <c r="E619" s="19"/>
      <c r="F619" s="18"/>
      <c r="G619" s="64"/>
      <c r="H619" s="18"/>
      <c r="I619" s="85"/>
      <c r="J619" s="18"/>
      <c r="K619" s="100"/>
      <c r="L619" s="18"/>
      <c r="M619" s="120"/>
      <c r="N619" s="18"/>
      <c r="O619" s="84">
        <f t="shared" ref="O619:W619" si="144">O620</f>
        <v>2000</v>
      </c>
      <c r="P619" s="18">
        <f t="shared" si="117"/>
        <v>2000</v>
      </c>
      <c r="Q619" s="84">
        <f t="shared" si="144"/>
        <v>-1200</v>
      </c>
      <c r="R619" s="18">
        <f t="shared" si="118"/>
        <v>800</v>
      </c>
      <c r="S619" s="84">
        <f t="shared" si="144"/>
        <v>0</v>
      </c>
      <c r="T619" s="18">
        <f t="shared" si="119"/>
        <v>800</v>
      </c>
      <c r="U619" s="84">
        <f t="shared" si="144"/>
        <v>0</v>
      </c>
      <c r="V619" s="18">
        <f t="shared" si="120"/>
        <v>800</v>
      </c>
      <c r="W619" s="84">
        <f t="shared" si="144"/>
        <v>0</v>
      </c>
      <c r="X619" s="18">
        <f t="shared" si="121"/>
        <v>800</v>
      </c>
    </row>
    <row r="620" spans="1:27" x14ac:dyDescent="0.25">
      <c r="A620" s="7" t="s">
        <v>54</v>
      </c>
      <c r="B620" s="130" t="s">
        <v>842</v>
      </c>
      <c r="C620" s="86" t="s">
        <v>34</v>
      </c>
      <c r="D620" s="19"/>
      <c r="E620" s="19"/>
      <c r="F620" s="18"/>
      <c r="G620" s="64"/>
      <c r="H620" s="18"/>
      <c r="I620" s="85"/>
      <c r="J620" s="18"/>
      <c r="K620" s="100"/>
      <c r="L620" s="18"/>
      <c r="M620" s="120"/>
      <c r="N620" s="18"/>
      <c r="O620" s="100">
        <v>2000</v>
      </c>
      <c r="P620" s="18">
        <f t="shared" si="117"/>
        <v>2000</v>
      </c>
      <c r="Q620" s="85">
        <v>-1200</v>
      </c>
      <c r="R620" s="18">
        <f t="shared" si="118"/>
        <v>800</v>
      </c>
      <c r="S620" s="121"/>
      <c r="T620" s="18">
        <f t="shared" si="119"/>
        <v>800</v>
      </c>
      <c r="U620" s="121"/>
      <c r="V620" s="18">
        <f t="shared" si="120"/>
        <v>800</v>
      </c>
      <c r="W620" s="121"/>
      <c r="X620" s="18">
        <f t="shared" si="121"/>
        <v>800</v>
      </c>
      <c r="Z620" s="43">
        <f>X620+Y620</f>
        <v>800</v>
      </c>
      <c r="AA620" s="43"/>
    </row>
    <row r="621" spans="1:27" ht="24" x14ac:dyDescent="0.25">
      <c r="A621" s="125" t="s">
        <v>813</v>
      </c>
      <c r="B621" s="128" t="s">
        <v>843</v>
      </c>
      <c r="C621" s="27"/>
      <c r="D621" s="19"/>
      <c r="E621" s="19"/>
      <c r="F621" s="18"/>
      <c r="G621" s="64"/>
      <c r="H621" s="18"/>
      <c r="I621" s="85"/>
      <c r="J621" s="18"/>
      <c r="K621" s="100"/>
      <c r="L621" s="18"/>
      <c r="M621" s="120"/>
      <c r="N621" s="18"/>
      <c r="O621" s="84">
        <f t="shared" ref="O621:W621" si="145">O622</f>
        <v>260</v>
      </c>
      <c r="P621" s="18">
        <f t="shared" si="117"/>
        <v>260</v>
      </c>
      <c r="Q621" s="84">
        <f t="shared" si="145"/>
        <v>-156</v>
      </c>
      <c r="R621" s="18">
        <f t="shared" si="118"/>
        <v>104</v>
      </c>
      <c r="S621" s="84">
        <f t="shared" si="145"/>
        <v>0</v>
      </c>
      <c r="T621" s="18">
        <f t="shared" si="119"/>
        <v>104</v>
      </c>
      <c r="U621" s="84">
        <f t="shared" si="145"/>
        <v>0</v>
      </c>
      <c r="V621" s="18">
        <f t="shared" si="120"/>
        <v>104</v>
      </c>
      <c r="W621" s="84">
        <f t="shared" si="145"/>
        <v>0</v>
      </c>
      <c r="X621" s="18">
        <f t="shared" si="121"/>
        <v>104</v>
      </c>
    </row>
    <row r="622" spans="1:27" x14ac:dyDescent="0.25">
      <c r="A622" s="7" t="s">
        <v>54</v>
      </c>
      <c r="B622" s="130" t="s">
        <v>843</v>
      </c>
      <c r="C622" s="86" t="s">
        <v>34</v>
      </c>
      <c r="D622" s="19"/>
      <c r="E622" s="19"/>
      <c r="F622" s="18"/>
      <c r="G622" s="64"/>
      <c r="H622" s="18"/>
      <c r="I622" s="85"/>
      <c r="J622" s="18"/>
      <c r="K622" s="100"/>
      <c r="L622" s="18"/>
      <c r="M622" s="120"/>
      <c r="N622" s="18"/>
      <c r="O622" s="100">
        <v>260</v>
      </c>
      <c r="P622" s="18">
        <f t="shared" si="117"/>
        <v>260</v>
      </c>
      <c r="Q622" s="85">
        <v>-156</v>
      </c>
      <c r="R622" s="18">
        <f t="shared" si="118"/>
        <v>104</v>
      </c>
      <c r="S622" s="121"/>
      <c r="T622" s="18">
        <f t="shared" si="119"/>
        <v>104</v>
      </c>
      <c r="U622" s="121"/>
      <c r="V622" s="18">
        <f t="shared" si="120"/>
        <v>104</v>
      </c>
      <c r="W622" s="121"/>
      <c r="X622" s="18">
        <f t="shared" si="121"/>
        <v>104</v>
      </c>
      <c r="Z622" s="43">
        <f>X622+Y622</f>
        <v>104</v>
      </c>
      <c r="AA622" s="43"/>
    </row>
    <row r="623" spans="1:27" x14ac:dyDescent="0.25">
      <c r="A623" s="125" t="s">
        <v>814</v>
      </c>
      <c r="B623" s="128" t="s">
        <v>844</v>
      </c>
      <c r="C623" s="86"/>
      <c r="D623" s="19"/>
      <c r="E623" s="19"/>
      <c r="F623" s="18"/>
      <c r="G623" s="64"/>
      <c r="H623" s="18"/>
      <c r="I623" s="85"/>
      <c r="J623" s="18"/>
      <c r="K623" s="100"/>
      <c r="L623" s="18"/>
      <c r="M623" s="120"/>
      <c r="N623" s="18"/>
      <c r="O623" s="84">
        <f t="shared" ref="O623:W623" si="146">O624</f>
        <v>1957.5</v>
      </c>
      <c r="P623" s="18">
        <f t="shared" si="117"/>
        <v>1957.5</v>
      </c>
      <c r="Q623" s="84">
        <f t="shared" si="146"/>
        <v>-1174.5</v>
      </c>
      <c r="R623" s="18">
        <f t="shared" si="118"/>
        <v>783</v>
      </c>
      <c r="S623" s="84">
        <f t="shared" si="146"/>
        <v>0</v>
      </c>
      <c r="T623" s="18">
        <f t="shared" si="119"/>
        <v>783</v>
      </c>
      <c r="U623" s="84">
        <f t="shared" si="146"/>
        <v>0</v>
      </c>
      <c r="V623" s="18">
        <f t="shared" si="120"/>
        <v>783</v>
      </c>
      <c r="W623" s="84">
        <f t="shared" si="146"/>
        <v>0</v>
      </c>
      <c r="X623" s="18">
        <f t="shared" si="121"/>
        <v>783</v>
      </c>
    </row>
    <row r="624" spans="1:27" x14ac:dyDescent="0.25">
      <c r="A624" s="7" t="s">
        <v>54</v>
      </c>
      <c r="B624" s="130" t="s">
        <v>844</v>
      </c>
      <c r="C624" s="86" t="s">
        <v>34</v>
      </c>
      <c r="D624" s="19"/>
      <c r="E624" s="19"/>
      <c r="F624" s="18"/>
      <c r="G624" s="64"/>
      <c r="H624" s="18"/>
      <c r="I624" s="85"/>
      <c r="J624" s="18"/>
      <c r="K624" s="100"/>
      <c r="L624" s="18"/>
      <c r="M624" s="120"/>
      <c r="N624" s="18"/>
      <c r="O624" s="100">
        <v>1957.5</v>
      </c>
      <c r="P624" s="18">
        <f t="shared" si="117"/>
        <v>1957.5</v>
      </c>
      <c r="Q624" s="85">
        <v>-1174.5</v>
      </c>
      <c r="R624" s="18">
        <f t="shared" si="118"/>
        <v>783</v>
      </c>
      <c r="S624" s="121"/>
      <c r="T624" s="18">
        <f t="shared" si="119"/>
        <v>783</v>
      </c>
      <c r="U624" s="121"/>
      <c r="V624" s="18">
        <f t="shared" si="120"/>
        <v>783</v>
      </c>
      <c r="W624" s="121"/>
      <c r="X624" s="18">
        <f t="shared" si="121"/>
        <v>783</v>
      </c>
      <c r="Z624" s="43">
        <f>X624+Y624</f>
        <v>783</v>
      </c>
      <c r="AA624" s="43"/>
    </row>
    <row r="625" spans="1:27" x14ac:dyDescent="0.25">
      <c r="A625" s="125" t="s">
        <v>815</v>
      </c>
      <c r="B625" s="128" t="s">
        <v>845</v>
      </c>
      <c r="C625" s="27"/>
      <c r="D625" s="19"/>
      <c r="E625" s="19"/>
      <c r="F625" s="18"/>
      <c r="G625" s="64"/>
      <c r="H625" s="18"/>
      <c r="I625" s="85"/>
      <c r="J625" s="18"/>
      <c r="K625" s="100"/>
      <c r="L625" s="18"/>
      <c r="M625" s="120"/>
      <c r="N625" s="18"/>
      <c r="O625" s="84">
        <f t="shared" ref="O625:W625" si="147">O626</f>
        <v>850</v>
      </c>
      <c r="P625" s="18">
        <f t="shared" si="117"/>
        <v>850</v>
      </c>
      <c r="Q625" s="84">
        <f t="shared" si="147"/>
        <v>-510</v>
      </c>
      <c r="R625" s="18">
        <f t="shared" si="118"/>
        <v>340</v>
      </c>
      <c r="S625" s="84">
        <f t="shared" si="147"/>
        <v>0</v>
      </c>
      <c r="T625" s="18">
        <f t="shared" si="119"/>
        <v>340</v>
      </c>
      <c r="U625" s="84">
        <f t="shared" si="147"/>
        <v>0</v>
      </c>
      <c r="V625" s="18">
        <f t="shared" si="120"/>
        <v>340</v>
      </c>
      <c r="W625" s="84">
        <f t="shared" si="147"/>
        <v>0</v>
      </c>
      <c r="X625" s="18">
        <f t="shared" si="121"/>
        <v>340</v>
      </c>
    </row>
    <row r="626" spans="1:27" x14ac:dyDescent="0.25">
      <c r="A626" s="7" t="s">
        <v>54</v>
      </c>
      <c r="B626" s="130" t="s">
        <v>845</v>
      </c>
      <c r="C626" s="86" t="s">
        <v>34</v>
      </c>
      <c r="D626" s="19"/>
      <c r="E626" s="19"/>
      <c r="F626" s="18"/>
      <c r="G626" s="64"/>
      <c r="H626" s="18"/>
      <c r="I626" s="85"/>
      <c r="J626" s="18"/>
      <c r="K626" s="100"/>
      <c r="L626" s="18"/>
      <c r="M626" s="120"/>
      <c r="N626" s="18"/>
      <c r="O626" s="100">
        <v>850</v>
      </c>
      <c r="P626" s="18">
        <f t="shared" si="117"/>
        <v>850</v>
      </c>
      <c r="Q626" s="85">
        <v>-510</v>
      </c>
      <c r="R626" s="18">
        <f t="shared" si="118"/>
        <v>340</v>
      </c>
      <c r="S626" s="121"/>
      <c r="T626" s="18">
        <f t="shared" si="119"/>
        <v>340</v>
      </c>
      <c r="U626" s="121"/>
      <c r="V626" s="18">
        <f t="shared" si="120"/>
        <v>340</v>
      </c>
      <c r="W626" s="121"/>
      <c r="X626" s="18">
        <f t="shared" si="121"/>
        <v>340</v>
      </c>
      <c r="Z626" s="43">
        <f>X626+Y626</f>
        <v>340</v>
      </c>
      <c r="AA626" s="43"/>
    </row>
    <row r="627" spans="1:27" x14ac:dyDescent="0.25">
      <c r="A627" s="125" t="s">
        <v>816</v>
      </c>
      <c r="B627" s="128" t="s">
        <v>846</v>
      </c>
      <c r="C627" s="27"/>
      <c r="D627" s="19"/>
      <c r="E627" s="19"/>
      <c r="F627" s="18"/>
      <c r="G627" s="64"/>
      <c r="H627" s="18"/>
      <c r="I627" s="85"/>
      <c r="J627" s="18"/>
      <c r="K627" s="100"/>
      <c r="L627" s="18"/>
      <c r="M627" s="120"/>
      <c r="N627" s="18"/>
      <c r="O627" s="84">
        <f t="shared" ref="O627:W627" si="148">O628</f>
        <v>1741.5</v>
      </c>
      <c r="P627" s="18">
        <f t="shared" si="117"/>
        <v>1741.5</v>
      </c>
      <c r="Q627" s="84">
        <f t="shared" si="148"/>
        <v>-1044.9000000000001</v>
      </c>
      <c r="R627" s="18">
        <f t="shared" si="118"/>
        <v>696.59999999999991</v>
      </c>
      <c r="S627" s="84">
        <f t="shared" si="148"/>
        <v>0</v>
      </c>
      <c r="T627" s="18">
        <f t="shared" si="119"/>
        <v>696.59999999999991</v>
      </c>
      <c r="U627" s="84">
        <f t="shared" si="148"/>
        <v>0</v>
      </c>
      <c r="V627" s="18">
        <f t="shared" si="120"/>
        <v>696.59999999999991</v>
      </c>
      <c r="W627" s="84">
        <f t="shared" si="148"/>
        <v>0</v>
      </c>
      <c r="X627" s="18">
        <f t="shared" si="121"/>
        <v>696.59999999999991</v>
      </c>
    </row>
    <row r="628" spans="1:27" x14ac:dyDescent="0.25">
      <c r="A628" s="7" t="s">
        <v>54</v>
      </c>
      <c r="B628" s="130" t="s">
        <v>846</v>
      </c>
      <c r="C628" s="86" t="s">
        <v>34</v>
      </c>
      <c r="D628" s="19"/>
      <c r="E628" s="19"/>
      <c r="F628" s="18"/>
      <c r="G628" s="64"/>
      <c r="H628" s="18"/>
      <c r="I628" s="85"/>
      <c r="J628" s="18"/>
      <c r="K628" s="100"/>
      <c r="L628" s="18"/>
      <c r="M628" s="120"/>
      <c r="N628" s="18"/>
      <c r="O628" s="100">
        <v>1741.5</v>
      </c>
      <c r="P628" s="18">
        <f t="shared" si="117"/>
        <v>1741.5</v>
      </c>
      <c r="Q628" s="85">
        <v>-1044.9000000000001</v>
      </c>
      <c r="R628" s="18">
        <f t="shared" si="118"/>
        <v>696.59999999999991</v>
      </c>
      <c r="S628" s="121"/>
      <c r="T628" s="18">
        <f t="shared" si="119"/>
        <v>696.59999999999991</v>
      </c>
      <c r="U628" s="121"/>
      <c r="V628" s="18">
        <f t="shared" si="120"/>
        <v>696.59999999999991</v>
      </c>
      <c r="W628" s="121"/>
      <c r="X628" s="18">
        <f t="shared" si="121"/>
        <v>696.59999999999991</v>
      </c>
      <c r="Z628" s="43">
        <f>X628+Y628</f>
        <v>696.59999999999991</v>
      </c>
      <c r="AA628" s="43"/>
    </row>
    <row r="629" spans="1:27" ht="24" x14ac:dyDescent="0.25">
      <c r="A629" s="125" t="s">
        <v>817</v>
      </c>
      <c r="B629" s="128" t="s">
        <v>847</v>
      </c>
      <c r="C629" s="27"/>
      <c r="D629" s="19"/>
      <c r="E629" s="19"/>
      <c r="F629" s="18"/>
      <c r="G629" s="64"/>
      <c r="H629" s="18"/>
      <c r="I629" s="85"/>
      <c r="J629" s="18"/>
      <c r="K629" s="100"/>
      <c r="L629" s="18"/>
      <c r="M629" s="120"/>
      <c r="N629" s="18"/>
      <c r="O629" s="84">
        <f t="shared" ref="O629:W629" si="149">O630</f>
        <v>108</v>
      </c>
      <c r="P629" s="18">
        <f t="shared" si="117"/>
        <v>108</v>
      </c>
      <c r="Q629" s="84">
        <f t="shared" si="149"/>
        <v>-64.8</v>
      </c>
      <c r="R629" s="18">
        <f t="shared" si="118"/>
        <v>43.2</v>
      </c>
      <c r="S629" s="84">
        <f t="shared" si="149"/>
        <v>0</v>
      </c>
      <c r="T629" s="18">
        <f t="shared" si="119"/>
        <v>43.2</v>
      </c>
      <c r="U629" s="84">
        <f t="shared" si="149"/>
        <v>0</v>
      </c>
      <c r="V629" s="18">
        <f t="shared" si="120"/>
        <v>43.2</v>
      </c>
      <c r="W629" s="84">
        <f t="shared" si="149"/>
        <v>0</v>
      </c>
      <c r="X629" s="18">
        <f t="shared" si="121"/>
        <v>43.2</v>
      </c>
    </row>
    <row r="630" spans="1:27" x14ac:dyDescent="0.25">
      <c r="A630" s="7" t="s">
        <v>54</v>
      </c>
      <c r="B630" s="130" t="s">
        <v>847</v>
      </c>
      <c r="C630" s="86" t="s">
        <v>34</v>
      </c>
      <c r="D630" s="19"/>
      <c r="E630" s="19"/>
      <c r="F630" s="18"/>
      <c r="G630" s="64"/>
      <c r="H630" s="18"/>
      <c r="I630" s="85"/>
      <c r="J630" s="18"/>
      <c r="K630" s="100"/>
      <c r="L630" s="18"/>
      <c r="M630" s="120"/>
      <c r="N630" s="18"/>
      <c r="O630" s="100">
        <v>108</v>
      </c>
      <c r="P630" s="18">
        <f t="shared" si="117"/>
        <v>108</v>
      </c>
      <c r="Q630" s="85">
        <v>-64.8</v>
      </c>
      <c r="R630" s="18">
        <f t="shared" si="118"/>
        <v>43.2</v>
      </c>
      <c r="S630" s="121"/>
      <c r="T630" s="18">
        <f t="shared" si="119"/>
        <v>43.2</v>
      </c>
      <c r="U630" s="121"/>
      <c r="V630" s="18">
        <f t="shared" si="120"/>
        <v>43.2</v>
      </c>
      <c r="W630" s="121"/>
      <c r="X630" s="18">
        <f t="shared" si="121"/>
        <v>43.2</v>
      </c>
      <c r="Z630" s="43">
        <f>X630+Y630</f>
        <v>43.2</v>
      </c>
      <c r="AA630" s="43"/>
    </row>
    <row r="631" spans="1:27" x14ac:dyDescent="0.25">
      <c r="A631" s="125" t="s">
        <v>818</v>
      </c>
      <c r="B631" s="128" t="s">
        <v>848</v>
      </c>
      <c r="C631" s="27"/>
      <c r="D631" s="19"/>
      <c r="E631" s="19"/>
      <c r="F631" s="18"/>
      <c r="G631" s="64"/>
      <c r="H631" s="18"/>
      <c r="I631" s="85"/>
      <c r="J631" s="18"/>
      <c r="K631" s="100"/>
      <c r="L631" s="18"/>
      <c r="M631" s="120"/>
      <c r="N631" s="18"/>
      <c r="O631" s="84">
        <f t="shared" ref="O631:W631" si="150">O632</f>
        <v>1050</v>
      </c>
      <c r="P631" s="18">
        <f t="shared" si="117"/>
        <v>1050</v>
      </c>
      <c r="Q631" s="84">
        <f t="shared" si="150"/>
        <v>-630</v>
      </c>
      <c r="R631" s="18">
        <f t="shared" si="118"/>
        <v>420</v>
      </c>
      <c r="S631" s="84">
        <f t="shared" si="150"/>
        <v>0</v>
      </c>
      <c r="T631" s="18">
        <f t="shared" si="119"/>
        <v>420</v>
      </c>
      <c r="U631" s="84">
        <f t="shared" si="150"/>
        <v>0</v>
      </c>
      <c r="V631" s="18">
        <f t="shared" si="120"/>
        <v>420</v>
      </c>
      <c r="W631" s="84">
        <f t="shared" si="150"/>
        <v>0</v>
      </c>
      <c r="X631" s="18">
        <f t="shared" si="121"/>
        <v>420</v>
      </c>
    </row>
    <row r="632" spans="1:27" x14ac:dyDescent="0.25">
      <c r="A632" s="7" t="s">
        <v>54</v>
      </c>
      <c r="B632" s="130" t="s">
        <v>848</v>
      </c>
      <c r="C632" s="86" t="s">
        <v>34</v>
      </c>
      <c r="D632" s="19"/>
      <c r="E632" s="19"/>
      <c r="F632" s="18"/>
      <c r="G632" s="64"/>
      <c r="H632" s="18"/>
      <c r="I632" s="85"/>
      <c r="J632" s="18"/>
      <c r="K632" s="100"/>
      <c r="L632" s="18"/>
      <c r="M632" s="120"/>
      <c r="N632" s="18"/>
      <c r="O632" s="100">
        <v>1050</v>
      </c>
      <c r="P632" s="18">
        <f t="shared" si="117"/>
        <v>1050</v>
      </c>
      <c r="Q632" s="85">
        <v>-630</v>
      </c>
      <c r="R632" s="18">
        <f t="shared" si="118"/>
        <v>420</v>
      </c>
      <c r="S632" s="121"/>
      <c r="T632" s="18">
        <f t="shared" si="119"/>
        <v>420</v>
      </c>
      <c r="U632" s="121"/>
      <c r="V632" s="18">
        <f t="shared" si="120"/>
        <v>420</v>
      </c>
      <c r="W632" s="121"/>
      <c r="X632" s="18">
        <f t="shared" si="121"/>
        <v>420</v>
      </c>
      <c r="Z632" s="43">
        <f>X632+Y632</f>
        <v>420</v>
      </c>
      <c r="AA632" s="43"/>
    </row>
    <row r="633" spans="1:27" x14ac:dyDescent="0.25">
      <c r="A633" s="125" t="s">
        <v>819</v>
      </c>
      <c r="B633" s="128" t="s">
        <v>849</v>
      </c>
      <c r="C633" s="27"/>
      <c r="D633" s="19"/>
      <c r="E633" s="19"/>
      <c r="F633" s="18"/>
      <c r="G633" s="64"/>
      <c r="H633" s="18"/>
      <c r="I633" s="85"/>
      <c r="J633" s="18"/>
      <c r="K633" s="100"/>
      <c r="L633" s="18"/>
      <c r="M633" s="120"/>
      <c r="N633" s="18"/>
      <c r="O633" s="84">
        <f t="shared" ref="O633:W633" si="151">O634</f>
        <v>775</v>
      </c>
      <c r="P633" s="18">
        <f t="shared" si="117"/>
        <v>775</v>
      </c>
      <c r="Q633" s="84">
        <f t="shared" si="151"/>
        <v>-465</v>
      </c>
      <c r="R633" s="18">
        <f t="shared" si="118"/>
        <v>310</v>
      </c>
      <c r="S633" s="84">
        <f t="shared" si="151"/>
        <v>0</v>
      </c>
      <c r="T633" s="18">
        <f t="shared" si="119"/>
        <v>310</v>
      </c>
      <c r="U633" s="84">
        <f t="shared" si="151"/>
        <v>0</v>
      </c>
      <c r="V633" s="18">
        <f t="shared" si="120"/>
        <v>310</v>
      </c>
      <c r="W633" s="84">
        <f t="shared" si="151"/>
        <v>0</v>
      </c>
      <c r="X633" s="18">
        <f t="shared" si="121"/>
        <v>310</v>
      </c>
    </row>
    <row r="634" spans="1:27" x14ac:dyDescent="0.25">
      <c r="A634" s="7" t="s">
        <v>54</v>
      </c>
      <c r="B634" s="130" t="s">
        <v>849</v>
      </c>
      <c r="C634" s="86" t="s">
        <v>34</v>
      </c>
      <c r="D634" s="19"/>
      <c r="E634" s="19"/>
      <c r="F634" s="18"/>
      <c r="G634" s="64"/>
      <c r="H634" s="18"/>
      <c r="I634" s="85"/>
      <c r="J634" s="18"/>
      <c r="K634" s="100"/>
      <c r="L634" s="18"/>
      <c r="M634" s="120"/>
      <c r="N634" s="18"/>
      <c r="O634" s="100">
        <v>775</v>
      </c>
      <c r="P634" s="18">
        <f t="shared" si="117"/>
        <v>775</v>
      </c>
      <c r="Q634" s="85">
        <v>-465</v>
      </c>
      <c r="R634" s="18">
        <f t="shared" si="118"/>
        <v>310</v>
      </c>
      <c r="S634" s="121"/>
      <c r="T634" s="18">
        <f t="shared" si="119"/>
        <v>310</v>
      </c>
      <c r="U634" s="121"/>
      <c r="V634" s="18">
        <f t="shared" si="120"/>
        <v>310</v>
      </c>
      <c r="W634" s="121"/>
      <c r="X634" s="18">
        <f t="shared" si="121"/>
        <v>310</v>
      </c>
      <c r="Z634" s="43">
        <f>X634+Y634</f>
        <v>310</v>
      </c>
      <c r="AA634" s="43"/>
    </row>
    <row r="635" spans="1:27" ht="24" x14ac:dyDescent="0.25">
      <c r="A635" s="125" t="s">
        <v>820</v>
      </c>
      <c r="B635" s="128" t="s">
        <v>850</v>
      </c>
      <c r="C635" s="27"/>
      <c r="D635" s="19"/>
      <c r="E635" s="19"/>
      <c r="F635" s="18"/>
      <c r="G635" s="64"/>
      <c r="H635" s="18"/>
      <c r="I635" s="85"/>
      <c r="J635" s="18"/>
      <c r="K635" s="100"/>
      <c r="L635" s="18"/>
      <c r="M635" s="120"/>
      <c r="N635" s="18"/>
      <c r="O635" s="84">
        <f t="shared" ref="O635:W635" si="152">O636</f>
        <v>345</v>
      </c>
      <c r="P635" s="18">
        <f t="shared" si="117"/>
        <v>345</v>
      </c>
      <c r="Q635" s="84">
        <f t="shared" si="152"/>
        <v>-207</v>
      </c>
      <c r="R635" s="18">
        <f t="shared" si="118"/>
        <v>138</v>
      </c>
      <c r="S635" s="84">
        <f t="shared" si="152"/>
        <v>0</v>
      </c>
      <c r="T635" s="18">
        <f t="shared" si="119"/>
        <v>138</v>
      </c>
      <c r="U635" s="84">
        <f t="shared" si="152"/>
        <v>0</v>
      </c>
      <c r="V635" s="18">
        <f t="shared" si="120"/>
        <v>138</v>
      </c>
      <c r="W635" s="84">
        <f t="shared" si="152"/>
        <v>0</v>
      </c>
      <c r="X635" s="18">
        <f t="shared" si="121"/>
        <v>138</v>
      </c>
    </row>
    <row r="636" spans="1:27" x14ac:dyDescent="0.25">
      <c r="A636" s="7" t="s">
        <v>54</v>
      </c>
      <c r="B636" s="130" t="s">
        <v>850</v>
      </c>
      <c r="C636" s="86" t="s">
        <v>34</v>
      </c>
      <c r="D636" s="19"/>
      <c r="E636" s="19"/>
      <c r="F636" s="18"/>
      <c r="G636" s="64"/>
      <c r="H636" s="18"/>
      <c r="I636" s="85"/>
      <c r="J636" s="18"/>
      <c r="K636" s="100"/>
      <c r="L636" s="18"/>
      <c r="M636" s="120"/>
      <c r="N636" s="18"/>
      <c r="O636" s="100">
        <v>345</v>
      </c>
      <c r="P636" s="18">
        <f t="shared" si="117"/>
        <v>345</v>
      </c>
      <c r="Q636" s="85">
        <v>-207</v>
      </c>
      <c r="R636" s="18">
        <f t="shared" si="118"/>
        <v>138</v>
      </c>
      <c r="S636" s="121"/>
      <c r="T636" s="18">
        <f t="shared" si="119"/>
        <v>138</v>
      </c>
      <c r="U636" s="121"/>
      <c r="V636" s="18">
        <f t="shared" si="120"/>
        <v>138</v>
      </c>
      <c r="W636" s="121"/>
      <c r="X636" s="18">
        <f t="shared" si="121"/>
        <v>138</v>
      </c>
      <c r="Z636" s="43">
        <f>X636+Y636</f>
        <v>138</v>
      </c>
      <c r="AA636" s="43"/>
    </row>
    <row r="637" spans="1:27" ht="24" x14ac:dyDescent="0.25">
      <c r="A637" s="125" t="s">
        <v>821</v>
      </c>
      <c r="B637" s="128" t="s">
        <v>851</v>
      </c>
      <c r="C637" s="27"/>
      <c r="D637" s="19"/>
      <c r="E637" s="19"/>
      <c r="F637" s="18"/>
      <c r="G637" s="64"/>
      <c r="H637" s="18"/>
      <c r="I637" s="85"/>
      <c r="J637" s="18"/>
      <c r="K637" s="100"/>
      <c r="L637" s="18"/>
      <c r="M637" s="120"/>
      <c r="N637" s="18"/>
      <c r="O637" s="84">
        <f t="shared" ref="O637:W637" si="153">O638</f>
        <v>1160</v>
      </c>
      <c r="P637" s="18">
        <f t="shared" ref="P637:P700" si="154">N637+O637</f>
        <v>1160</v>
      </c>
      <c r="Q637" s="84">
        <f t="shared" si="153"/>
        <v>-696</v>
      </c>
      <c r="R637" s="18">
        <f t="shared" si="118"/>
        <v>464</v>
      </c>
      <c r="S637" s="84">
        <f t="shared" si="153"/>
        <v>0</v>
      </c>
      <c r="T637" s="18">
        <f t="shared" si="119"/>
        <v>464</v>
      </c>
      <c r="U637" s="84">
        <f t="shared" si="153"/>
        <v>0</v>
      </c>
      <c r="V637" s="18">
        <f t="shared" si="120"/>
        <v>464</v>
      </c>
      <c r="W637" s="84">
        <f t="shared" si="153"/>
        <v>0</v>
      </c>
      <c r="X637" s="18">
        <f t="shared" si="121"/>
        <v>464</v>
      </c>
    </row>
    <row r="638" spans="1:27" x14ac:dyDescent="0.25">
      <c r="A638" s="7" t="s">
        <v>54</v>
      </c>
      <c r="B638" s="130" t="s">
        <v>851</v>
      </c>
      <c r="C638" s="86" t="s">
        <v>34</v>
      </c>
      <c r="D638" s="19"/>
      <c r="E638" s="19"/>
      <c r="F638" s="18"/>
      <c r="G638" s="64"/>
      <c r="H638" s="18"/>
      <c r="I638" s="85"/>
      <c r="J638" s="18"/>
      <c r="K638" s="100"/>
      <c r="L638" s="18"/>
      <c r="M638" s="120"/>
      <c r="N638" s="18"/>
      <c r="O638" s="100">
        <v>1160</v>
      </c>
      <c r="P638" s="18">
        <f t="shared" si="154"/>
        <v>1160</v>
      </c>
      <c r="Q638" s="85">
        <v>-696</v>
      </c>
      <c r="R638" s="18">
        <f t="shared" si="118"/>
        <v>464</v>
      </c>
      <c r="S638" s="121"/>
      <c r="T638" s="18">
        <f t="shared" si="119"/>
        <v>464</v>
      </c>
      <c r="U638" s="121"/>
      <c r="V638" s="18">
        <f t="shared" si="120"/>
        <v>464</v>
      </c>
      <c r="W638" s="121"/>
      <c r="X638" s="18">
        <f t="shared" si="121"/>
        <v>464</v>
      </c>
      <c r="Z638" s="43">
        <f>X638+Y638</f>
        <v>464</v>
      </c>
      <c r="AA638" s="43"/>
    </row>
    <row r="639" spans="1:27" x14ac:dyDescent="0.25">
      <c r="A639" s="125" t="s">
        <v>822</v>
      </c>
      <c r="B639" s="128" t="s">
        <v>852</v>
      </c>
      <c r="C639" s="27"/>
      <c r="D639" s="19"/>
      <c r="E639" s="19"/>
      <c r="F639" s="18"/>
      <c r="G639" s="64"/>
      <c r="H639" s="18"/>
      <c r="I639" s="85"/>
      <c r="J639" s="18"/>
      <c r="K639" s="100"/>
      <c r="L639" s="18"/>
      <c r="M639" s="120"/>
      <c r="N639" s="18"/>
      <c r="O639" s="84">
        <f t="shared" ref="O639:W639" si="155">O640</f>
        <v>900</v>
      </c>
      <c r="P639" s="18">
        <f t="shared" si="154"/>
        <v>900</v>
      </c>
      <c r="Q639" s="84">
        <f t="shared" si="155"/>
        <v>-540</v>
      </c>
      <c r="R639" s="18">
        <f t="shared" si="118"/>
        <v>360</v>
      </c>
      <c r="S639" s="84">
        <f t="shared" si="155"/>
        <v>0</v>
      </c>
      <c r="T639" s="18">
        <f t="shared" si="119"/>
        <v>360</v>
      </c>
      <c r="U639" s="84">
        <f t="shared" si="155"/>
        <v>0</v>
      </c>
      <c r="V639" s="18">
        <f t="shared" si="120"/>
        <v>360</v>
      </c>
      <c r="W639" s="84">
        <f t="shared" si="155"/>
        <v>0</v>
      </c>
      <c r="X639" s="18">
        <f t="shared" si="121"/>
        <v>360</v>
      </c>
    </row>
    <row r="640" spans="1:27" x14ac:dyDescent="0.25">
      <c r="A640" s="7" t="s">
        <v>54</v>
      </c>
      <c r="B640" s="130" t="s">
        <v>852</v>
      </c>
      <c r="C640" s="86" t="s">
        <v>34</v>
      </c>
      <c r="D640" s="19"/>
      <c r="E640" s="19"/>
      <c r="F640" s="18"/>
      <c r="G640" s="64"/>
      <c r="H640" s="18"/>
      <c r="I640" s="85"/>
      <c r="J640" s="18"/>
      <c r="K640" s="100"/>
      <c r="L640" s="18"/>
      <c r="M640" s="120"/>
      <c r="N640" s="18"/>
      <c r="O640" s="100">
        <v>900</v>
      </c>
      <c r="P640" s="18">
        <f t="shared" si="154"/>
        <v>900</v>
      </c>
      <c r="Q640" s="85">
        <v>-540</v>
      </c>
      <c r="R640" s="18">
        <f t="shared" si="118"/>
        <v>360</v>
      </c>
      <c r="S640" s="121"/>
      <c r="T640" s="18">
        <f t="shared" si="119"/>
        <v>360</v>
      </c>
      <c r="U640" s="121"/>
      <c r="V640" s="18">
        <f t="shared" si="120"/>
        <v>360</v>
      </c>
      <c r="W640" s="121"/>
      <c r="X640" s="18">
        <f t="shared" si="121"/>
        <v>360</v>
      </c>
      <c r="Z640" s="43">
        <f>X640+Y640</f>
        <v>360</v>
      </c>
      <c r="AA640" s="43"/>
    </row>
    <row r="641" spans="1:27" ht="24" x14ac:dyDescent="0.25">
      <c r="A641" s="129" t="s">
        <v>823</v>
      </c>
      <c r="B641" s="128" t="s">
        <v>853</v>
      </c>
      <c r="C641" s="27"/>
      <c r="D641" s="19"/>
      <c r="E641" s="19"/>
      <c r="F641" s="18"/>
      <c r="G641" s="64"/>
      <c r="H641" s="18"/>
      <c r="I641" s="85"/>
      <c r="J641" s="18"/>
      <c r="K641" s="100"/>
      <c r="L641" s="18"/>
      <c r="M641" s="120"/>
      <c r="N641" s="18"/>
      <c r="O641" s="84">
        <f t="shared" ref="O641:W641" si="156">O642</f>
        <v>717.5</v>
      </c>
      <c r="P641" s="18">
        <f t="shared" si="154"/>
        <v>717.5</v>
      </c>
      <c r="Q641" s="84">
        <f t="shared" si="156"/>
        <v>-430.5</v>
      </c>
      <c r="R641" s="18">
        <f t="shared" si="118"/>
        <v>287</v>
      </c>
      <c r="S641" s="84">
        <f t="shared" si="156"/>
        <v>0</v>
      </c>
      <c r="T641" s="18">
        <f t="shared" si="119"/>
        <v>287</v>
      </c>
      <c r="U641" s="84">
        <f t="shared" si="156"/>
        <v>0</v>
      </c>
      <c r="V641" s="18">
        <f t="shared" si="120"/>
        <v>287</v>
      </c>
      <c r="W641" s="84">
        <f t="shared" si="156"/>
        <v>0</v>
      </c>
      <c r="X641" s="18">
        <f t="shared" si="121"/>
        <v>287</v>
      </c>
    </row>
    <row r="642" spans="1:27" x14ac:dyDescent="0.25">
      <c r="A642" s="7" t="s">
        <v>54</v>
      </c>
      <c r="B642" s="130" t="s">
        <v>853</v>
      </c>
      <c r="C642" s="86" t="s">
        <v>34</v>
      </c>
      <c r="D642" s="19"/>
      <c r="E642" s="19"/>
      <c r="F642" s="18"/>
      <c r="G642" s="64"/>
      <c r="H642" s="18"/>
      <c r="I642" s="85"/>
      <c r="J642" s="18"/>
      <c r="K642" s="100"/>
      <c r="L642" s="18"/>
      <c r="M642" s="120"/>
      <c r="N642" s="18"/>
      <c r="O642" s="100">
        <v>717.5</v>
      </c>
      <c r="P642" s="18">
        <f t="shared" si="154"/>
        <v>717.5</v>
      </c>
      <c r="Q642" s="85">
        <v>-430.5</v>
      </c>
      <c r="R642" s="18">
        <f t="shared" si="118"/>
        <v>287</v>
      </c>
      <c r="S642" s="121"/>
      <c r="T642" s="18">
        <f t="shared" si="119"/>
        <v>287</v>
      </c>
      <c r="U642" s="121"/>
      <c r="V642" s="18">
        <f t="shared" si="120"/>
        <v>287</v>
      </c>
      <c r="W642" s="121"/>
      <c r="X642" s="18">
        <f t="shared" si="121"/>
        <v>287</v>
      </c>
      <c r="Z642" s="43">
        <f>X642+Y642</f>
        <v>287</v>
      </c>
      <c r="AA642" s="43"/>
    </row>
    <row r="643" spans="1:27" ht="24" x14ac:dyDescent="0.25">
      <c r="A643" s="125" t="s">
        <v>824</v>
      </c>
      <c r="B643" s="128" t="s">
        <v>854</v>
      </c>
      <c r="C643" s="27"/>
      <c r="D643" s="19"/>
      <c r="E643" s="19"/>
      <c r="F643" s="18"/>
      <c r="G643" s="64"/>
      <c r="H643" s="18"/>
      <c r="I643" s="85"/>
      <c r="J643" s="18"/>
      <c r="K643" s="100"/>
      <c r="L643" s="18"/>
      <c r="M643" s="120"/>
      <c r="N643" s="18"/>
      <c r="O643" s="84">
        <f t="shared" ref="O643:W643" si="157">O644</f>
        <v>1800</v>
      </c>
      <c r="P643" s="18">
        <f t="shared" si="154"/>
        <v>1800</v>
      </c>
      <c r="Q643" s="84">
        <f t="shared" si="157"/>
        <v>-1080</v>
      </c>
      <c r="R643" s="18">
        <f t="shared" si="118"/>
        <v>720</v>
      </c>
      <c r="S643" s="84">
        <f t="shared" si="157"/>
        <v>0</v>
      </c>
      <c r="T643" s="18">
        <f t="shared" si="119"/>
        <v>720</v>
      </c>
      <c r="U643" s="84">
        <f t="shared" si="157"/>
        <v>0</v>
      </c>
      <c r="V643" s="18">
        <f t="shared" si="120"/>
        <v>720</v>
      </c>
      <c r="W643" s="84">
        <f t="shared" si="157"/>
        <v>0</v>
      </c>
      <c r="X643" s="18">
        <f t="shared" si="121"/>
        <v>720</v>
      </c>
    </row>
    <row r="644" spans="1:27" x14ac:dyDescent="0.25">
      <c r="A644" s="7" t="s">
        <v>54</v>
      </c>
      <c r="B644" s="130" t="s">
        <v>854</v>
      </c>
      <c r="C644" s="86" t="s">
        <v>34</v>
      </c>
      <c r="D644" s="19"/>
      <c r="E644" s="19"/>
      <c r="F644" s="18"/>
      <c r="G644" s="64"/>
      <c r="H644" s="18"/>
      <c r="I644" s="85"/>
      <c r="J644" s="18"/>
      <c r="K644" s="100"/>
      <c r="L644" s="18"/>
      <c r="M644" s="120"/>
      <c r="N644" s="18"/>
      <c r="O644" s="100">
        <v>1800</v>
      </c>
      <c r="P644" s="18">
        <f t="shared" si="154"/>
        <v>1800</v>
      </c>
      <c r="Q644" s="85">
        <v>-1080</v>
      </c>
      <c r="R644" s="18">
        <f t="shared" si="118"/>
        <v>720</v>
      </c>
      <c r="S644" s="121"/>
      <c r="T644" s="18">
        <f t="shared" si="119"/>
        <v>720</v>
      </c>
      <c r="U644" s="121"/>
      <c r="V644" s="18">
        <f t="shared" si="120"/>
        <v>720</v>
      </c>
      <c r="W644" s="121"/>
      <c r="X644" s="18">
        <f t="shared" si="121"/>
        <v>720</v>
      </c>
      <c r="Z644" s="43">
        <f>X644+Y644</f>
        <v>720</v>
      </c>
      <c r="AA644" s="43"/>
    </row>
    <row r="645" spans="1:27" x14ac:dyDescent="0.25">
      <c r="A645" s="125" t="s">
        <v>825</v>
      </c>
      <c r="B645" s="128" t="s">
        <v>855</v>
      </c>
      <c r="C645" s="27"/>
      <c r="D645" s="19"/>
      <c r="E645" s="19"/>
      <c r="F645" s="18"/>
      <c r="G645" s="64"/>
      <c r="H645" s="18"/>
      <c r="I645" s="85"/>
      <c r="J645" s="18"/>
      <c r="K645" s="100"/>
      <c r="L645" s="18"/>
      <c r="M645" s="120"/>
      <c r="N645" s="18"/>
      <c r="O645" s="84">
        <f t="shared" ref="O645:W645" si="158">O646</f>
        <v>1300</v>
      </c>
      <c r="P645" s="18">
        <f t="shared" si="154"/>
        <v>1300</v>
      </c>
      <c r="Q645" s="84">
        <f t="shared" si="158"/>
        <v>-780</v>
      </c>
      <c r="R645" s="18">
        <f t="shared" si="118"/>
        <v>520</v>
      </c>
      <c r="S645" s="84">
        <f t="shared" si="158"/>
        <v>0</v>
      </c>
      <c r="T645" s="18">
        <f t="shared" si="119"/>
        <v>520</v>
      </c>
      <c r="U645" s="84">
        <f t="shared" si="158"/>
        <v>0</v>
      </c>
      <c r="V645" s="18">
        <f t="shared" si="120"/>
        <v>520</v>
      </c>
      <c r="W645" s="84">
        <f t="shared" si="158"/>
        <v>0</v>
      </c>
      <c r="X645" s="18">
        <f t="shared" si="121"/>
        <v>520</v>
      </c>
    </row>
    <row r="646" spans="1:27" x14ac:dyDescent="0.25">
      <c r="A646" s="7" t="s">
        <v>54</v>
      </c>
      <c r="B646" s="130" t="s">
        <v>855</v>
      </c>
      <c r="C646" s="86" t="s">
        <v>34</v>
      </c>
      <c r="D646" s="19"/>
      <c r="E646" s="19"/>
      <c r="F646" s="18"/>
      <c r="G646" s="64"/>
      <c r="H646" s="18"/>
      <c r="I646" s="85"/>
      <c r="J646" s="18"/>
      <c r="K646" s="100"/>
      <c r="L646" s="18"/>
      <c r="M646" s="120"/>
      <c r="N646" s="18"/>
      <c r="O646" s="100">
        <v>1300</v>
      </c>
      <c r="P646" s="18">
        <f t="shared" si="154"/>
        <v>1300</v>
      </c>
      <c r="Q646" s="85">
        <v>-780</v>
      </c>
      <c r="R646" s="18">
        <f t="shared" si="118"/>
        <v>520</v>
      </c>
      <c r="S646" s="121"/>
      <c r="T646" s="18">
        <f t="shared" si="119"/>
        <v>520</v>
      </c>
      <c r="U646" s="121"/>
      <c r="V646" s="18">
        <f t="shared" si="120"/>
        <v>520</v>
      </c>
      <c r="W646" s="121"/>
      <c r="X646" s="18">
        <f t="shared" si="121"/>
        <v>520</v>
      </c>
      <c r="Z646" s="43">
        <f>X646+Y646</f>
        <v>520</v>
      </c>
      <c r="AA646" s="43"/>
    </row>
    <row r="647" spans="1:27" ht="24" x14ac:dyDescent="0.25">
      <c r="A647" s="125" t="s">
        <v>826</v>
      </c>
      <c r="B647" s="128" t="s">
        <v>856</v>
      </c>
      <c r="C647" s="27"/>
      <c r="D647" s="19"/>
      <c r="E647" s="19"/>
      <c r="F647" s="18"/>
      <c r="G647" s="64"/>
      <c r="H647" s="18"/>
      <c r="I647" s="85"/>
      <c r="J647" s="18"/>
      <c r="K647" s="100"/>
      <c r="L647" s="18"/>
      <c r="M647" s="120"/>
      <c r="N647" s="18"/>
      <c r="O647" s="84">
        <f t="shared" ref="O647:W647" si="159">O648</f>
        <v>684.8</v>
      </c>
      <c r="P647" s="18">
        <f t="shared" si="154"/>
        <v>684.8</v>
      </c>
      <c r="Q647" s="84">
        <f t="shared" si="159"/>
        <v>-410.9</v>
      </c>
      <c r="R647" s="18">
        <f t="shared" si="118"/>
        <v>273.89999999999998</v>
      </c>
      <c r="S647" s="84">
        <f t="shared" si="159"/>
        <v>0</v>
      </c>
      <c r="T647" s="18">
        <f t="shared" si="119"/>
        <v>273.89999999999998</v>
      </c>
      <c r="U647" s="84">
        <f t="shared" si="159"/>
        <v>0</v>
      </c>
      <c r="V647" s="18">
        <f t="shared" si="120"/>
        <v>273.89999999999998</v>
      </c>
      <c r="W647" s="84">
        <f t="shared" si="159"/>
        <v>0</v>
      </c>
      <c r="X647" s="18">
        <f t="shared" si="121"/>
        <v>273.89999999999998</v>
      </c>
    </row>
    <row r="648" spans="1:27" x14ac:dyDescent="0.25">
      <c r="A648" s="7" t="s">
        <v>54</v>
      </c>
      <c r="B648" s="130" t="s">
        <v>856</v>
      </c>
      <c r="C648" s="86" t="s">
        <v>34</v>
      </c>
      <c r="D648" s="19"/>
      <c r="E648" s="19"/>
      <c r="F648" s="18"/>
      <c r="G648" s="64"/>
      <c r="H648" s="18"/>
      <c r="I648" s="85"/>
      <c r="J648" s="18"/>
      <c r="K648" s="100"/>
      <c r="L648" s="18"/>
      <c r="M648" s="120"/>
      <c r="N648" s="18"/>
      <c r="O648" s="100">
        <v>684.8</v>
      </c>
      <c r="P648" s="18">
        <f t="shared" si="154"/>
        <v>684.8</v>
      </c>
      <c r="Q648" s="85">
        <v>-410.9</v>
      </c>
      <c r="R648" s="18">
        <f t="shared" si="118"/>
        <v>273.89999999999998</v>
      </c>
      <c r="S648" s="121"/>
      <c r="T648" s="18">
        <f t="shared" si="119"/>
        <v>273.89999999999998</v>
      </c>
      <c r="U648" s="121"/>
      <c r="V648" s="18">
        <f t="shared" si="120"/>
        <v>273.89999999999998</v>
      </c>
      <c r="W648" s="121"/>
      <c r="X648" s="18">
        <f t="shared" si="121"/>
        <v>273.89999999999998</v>
      </c>
      <c r="Z648" s="43">
        <f>X648+Y648</f>
        <v>273.89999999999998</v>
      </c>
      <c r="AA648" s="43"/>
    </row>
    <row r="649" spans="1:27" x14ac:dyDescent="0.25">
      <c r="A649" s="125" t="s">
        <v>827</v>
      </c>
      <c r="B649" s="128" t="s">
        <v>857</v>
      </c>
      <c r="C649" s="27"/>
      <c r="D649" s="19"/>
      <c r="E649" s="19"/>
      <c r="F649" s="18"/>
      <c r="G649" s="64"/>
      <c r="H649" s="18"/>
      <c r="I649" s="85"/>
      <c r="J649" s="18"/>
      <c r="K649" s="100"/>
      <c r="L649" s="18"/>
      <c r="M649" s="120"/>
      <c r="N649" s="18"/>
      <c r="O649" s="84">
        <f t="shared" ref="O649:W649" si="160">O650</f>
        <v>2748.1</v>
      </c>
      <c r="P649" s="18">
        <f t="shared" si="154"/>
        <v>2748.1</v>
      </c>
      <c r="Q649" s="84">
        <f t="shared" si="160"/>
        <v>-1648.9</v>
      </c>
      <c r="R649" s="18">
        <f t="shared" si="118"/>
        <v>1099.1999999999998</v>
      </c>
      <c r="S649" s="84">
        <f t="shared" si="160"/>
        <v>0</v>
      </c>
      <c r="T649" s="18">
        <f t="shared" si="119"/>
        <v>1099.1999999999998</v>
      </c>
      <c r="U649" s="84">
        <f t="shared" si="160"/>
        <v>0</v>
      </c>
      <c r="V649" s="18">
        <f t="shared" si="120"/>
        <v>1099.1999999999998</v>
      </c>
      <c r="W649" s="84">
        <f t="shared" si="160"/>
        <v>-206.4</v>
      </c>
      <c r="X649" s="18">
        <f t="shared" si="121"/>
        <v>892.79999999999984</v>
      </c>
    </row>
    <row r="650" spans="1:27" x14ac:dyDescent="0.25">
      <c r="A650" s="7" t="s">
        <v>54</v>
      </c>
      <c r="B650" s="130" t="s">
        <v>857</v>
      </c>
      <c r="C650" s="86" t="s">
        <v>34</v>
      </c>
      <c r="D650" s="19"/>
      <c r="E650" s="19"/>
      <c r="F650" s="18"/>
      <c r="G650" s="64"/>
      <c r="H650" s="18"/>
      <c r="I650" s="85"/>
      <c r="J650" s="18"/>
      <c r="K650" s="100"/>
      <c r="L650" s="18"/>
      <c r="M650" s="120"/>
      <c r="N650" s="18"/>
      <c r="O650" s="100">
        <v>2748.1</v>
      </c>
      <c r="P650" s="18">
        <f t="shared" si="154"/>
        <v>2748.1</v>
      </c>
      <c r="Q650" s="85">
        <v>-1648.9</v>
      </c>
      <c r="R650" s="18">
        <f t="shared" si="118"/>
        <v>1099.1999999999998</v>
      </c>
      <c r="S650" s="121"/>
      <c r="T650" s="18">
        <f t="shared" si="119"/>
        <v>1099.1999999999998</v>
      </c>
      <c r="U650" s="121"/>
      <c r="V650" s="18">
        <f t="shared" si="120"/>
        <v>1099.1999999999998</v>
      </c>
      <c r="W650" s="85">
        <v>-206.4</v>
      </c>
      <c r="X650" s="18">
        <f t="shared" si="121"/>
        <v>892.79999999999984</v>
      </c>
      <c r="Z650" s="43">
        <f>X650+Y650</f>
        <v>892.79999999999984</v>
      </c>
      <c r="AA650" s="43"/>
    </row>
    <row r="651" spans="1:27" ht="24" x14ac:dyDescent="0.25">
      <c r="A651" s="125" t="s">
        <v>828</v>
      </c>
      <c r="B651" s="128" t="s">
        <v>858</v>
      </c>
      <c r="C651" s="27"/>
      <c r="D651" s="19"/>
      <c r="E651" s="19"/>
      <c r="F651" s="18"/>
      <c r="G651" s="64"/>
      <c r="H651" s="18"/>
      <c r="I651" s="85"/>
      <c r="J651" s="18"/>
      <c r="K651" s="100"/>
      <c r="L651" s="18"/>
      <c r="M651" s="120"/>
      <c r="N651" s="18"/>
      <c r="O651" s="84">
        <f t="shared" ref="O651:W651" si="161">O652</f>
        <v>1600</v>
      </c>
      <c r="P651" s="18">
        <f t="shared" si="154"/>
        <v>1600</v>
      </c>
      <c r="Q651" s="84">
        <f t="shared" si="161"/>
        <v>-960</v>
      </c>
      <c r="R651" s="18">
        <f t="shared" si="118"/>
        <v>640</v>
      </c>
      <c r="S651" s="84">
        <f t="shared" si="161"/>
        <v>0</v>
      </c>
      <c r="T651" s="18">
        <f t="shared" si="119"/>
        <v>640</v>
      </c>
      <c r="U651" s="84">
        <f t="shared" si="161"/>
        <v>0</v>
      </c>
      <c r="V651" s="18">
        <f t="shared" si="120"/>
        <v>640</v>
      </c>
      <c r="W651" s="84">
        <f t="shared" si="161"/>
        <v>0</v>
      </c>
      <c r="X651" s="18">
        <f t="shared" si="121"/>
        <v>640</v>
      </c>
    </row>
    <row r="652" spans="1:27" x14ac:dyDescent="0.25">
      <c r="A652" s="7" t="s">
        <v>54</v>
      </c>
      <c r="B652" s="130" t="s">
        <v>858</v>
      </c>
      <c r="C652" s="86" t="s">
        <v>34</v>
      </c>
      <c r="D652" s="19"/>
      <c r="E652" s="19"/>
      <c r="F652" s="18"/>
      <c r="G652" s="64"/>
      <c r="H652" s="18"/>
      <c r="I652" s="85"/>
      <c r="J652" s="18"/>
      <c r="K652" s="100"/>
      <c r="L652" s="18"/>
      <c r="M652" s="120"/>
      <c r="N652" s="18"/>
      <c r="O652" s="100">
        <v>1600</v>
      </c>
      <c r="P652" s="18">
        <f t="shared" si="154"/>
        <v>1600</v>
      </c>
      <c r="Q652" s="85">
        <v>-960</v>
      </c>
      <c r="R652" s="18">
        <f t="shared" si="118"/>
        <v>640</v>
      </c>
      <c r="S652" s="121"/>
      <c r="T652" s="18">
        <f t="shared" si="119"/>
        <v>640</v>
      </c>
      <c r="U652" s="121"/>
      <c r="V652" s="18">
        <f t="shared" si="120"/>
        <v>640</v>
      </c>
      <c r="W652" s="121"/>
      <c r="X652" s="18">
        <f t="shared" si="121"/>
        <v>640</v>
      </c>
      <c r="Z652" s="43">
        <f>X652+Y652</f>
        <v>640</v>
      </c>
      <c r="AA652" s="43"/>
    </row>
    <row r="653" spans="1:27" x14ac:dyDescent="0.25">
      <c r="A653" s="125" t="s">
        <v>829</v>
      </c>
      <c r="B653" s="128" t="s">
        <v>859</v>
      </c>
      <c r="C653" s="27"/>
      <c r="D653" s="19"/>
      <c r="E653" s="19"/>
      <c r="F653" s="18"/>
      <c r="G653" s="64"/>
      <c r="H653" s="18"/>
      <c r="I653" s="85"/>
      <c r="J653" s="18"/>
      <c r="K653" s="100"/>
      <c r="L653" s="18"/>
      <c r="M653" s="120"/>
      <c r="N653" s="18"/>
      <c r="O653" s="84">
        <f t="shared" ref="O653:W653" si="162">O654</f>
        <v>1315.1</v>
      </c>
      <c r="P653" s="18">
        <f t="shared" si="154"/>
        <v>1315.1</v>
      </c>
      <c r="Q653" s="84">
        <f t="shared" si="162"/>
        <v>-789</v>
      </c>
      <c r="R653" s="18">
        <f t="shared" si="118"/>
        <v>526.09999999999991</v>
      </c>
      <c r="S653" s="84">
        <f t="shared" si="162"/>
        <v>0</v>
      </c>
      <c r="T653" s="18">
        <f t="shared" si="119"/>
        <v>526.09999999999991</v>
      </c>
      <c r="U653" s="84">
        <f t="shared" si="162"/>
        <v>0</v>
      </c>
      <c r="V653" s="18">
        <f t="shared" si="120"/>
        <v>526.09999999999991</v>
      </c>
      <c r="W653" s="84">
        <f t="shared" si="162"/>
        <v>0</v>
      </c>
      <c r="X653" s="18">
        <f t="shared" si="121"/>
        <v>526.09999999999991</v>
      </c>
    </row>
    <row r="654" spans="1:27" x14ac:dyDescent="0.25">
      <c r="A654" s="7" t="s">
        <v>54</v>
      </c>
      <c r="B654" s="130" t="s">
        <v>859</v>
      </c>
      <c r="C654" s="86" t="s">
        <v>34</v>
      </c>
      <c r="D654" s="19"/>
      <c r="E654" s="19"/>
      <c r="F654" s="18"/>
      <c r="G654" s="64"/>
      <c r="H654" s="18"/>
      <c r="I654" s="85"/>
      <c r="J654" s="18"/>
      <c r="K654" s="100"/>
      <c r="L654" s="18"/>
      <c r="M654" s="120"/>
      <c r="N654" s="18"/>
      <c r="O654" s="100">
        <v>1315.1</v>
      </c>
      <c r="P654" s="18">
        <f t="shared" si="154"/>
        <v>1315.1</v>
      </c>
      <c r="Q654" s="85">
        <v>-789</v>
      </c>
      <c r="R654" s="18">
        <f t="shared" si="118"/>
        <v>526.09999999999991</v>
      </c>
      <c r="S654" s="121"/>
      <c r="T654" s="18">
        <f t="shared" si="119"/>
        <v>526.09999999999991</v>
      </c>
      <c r="U654" s="121"/>
      <c r="V654" s="18">
        <f t="shared" si="120"/>
        <v>526.09999999999991</v>
      </c>
      <c r="W654" s="121"/>
      <c r="X654" s="18">
        <f t="shared" si="121"/>
        <v>526.09999999999991</v>
      </c>
      <c r="Z654" s="43">
        <f>X654+Y654</f>
        <v>526.09999999999991</v>
      </c>
      <c r="AA654" s="43"/>
    </row>
    <row r="655" spans="1:27" x14ac:dyDescent="0.25">
      <c r="A655" s="125" t="s">
        <v>830</v>
      </c>
      <c r="B655" s="128" t="s">
        <v>860</v>
      </c>
      <c r="C655" s="27"/>
      <c r="D655" s="19"/>
      <c r="E655" s="19"/>
      <c r="F655" s="18"/>
      <c r="G655" s="64"/>
      <c r="H655" s="18"/>
      <c r="I655" s="85"/>
      <c r="J655" s="18"/>
      <c r="K655" s="100"/>
      <c r="L655" s="18"/>
      <c r="M655" s="120"/>
      <c r="N655" s="18"/>
      <c r="O655" s="84">
        <f t="shared" ref="O655:W655" si="163">O656</f>
        <v>1725</v>
      </c>
      <c r="P655" s="18">
        <f t="shared" si="154"/>
        <v>1725</v>
      </c>
      <c r="Q655" s="84">
        <f t="shared" si="163"/>
        <v>-1035</v>
      </c>
      <c r="R655" s="18">
        <f t="shared" si="118"/>
        <v>690</v>
      </c>
      <c r="S655" s="84">
        <f t="shared" si="163"/>
        <v>0</v>
      </c>
      <c r="T655" s="18">
        <f t="shared" si="119"/>
        <v>690</v>
      </c>
      <c r="U655" s="84">
        <f t="shared" si="163"/>
        <v>0</v>
      </c>
      <c r="V655" s="18">
        <f t="shared" si="120"/>
        <v>690</v>
      </c>
      <c r="W655" s="84">
        <f t="shared" si="163"/>
        <v>0</v>
      </c>
      <c r="X655" s="18">
        <f t="shared" si="121"/>
        <v>690</v>
      </c>
    </row>
    <row r="656" spans="1:27" x14ac:dyDescent="0.25">
      <c r="A656" s="7" t="s">
        <v>54</v>
      </c>
      <c r="B656" s="130" t="s">
        <v>860</v>
      </c>
      <c r="C656" s="86" t="s">
        <v>34</v>
      </c>
      <c r="D656" s="19"/>
      <c r="E656" s="19"/>
      <c r="F656" s="18"/>
      <c r="G656" s="64"/>
      <c r="H656" s="18"/>
      <c r="I656" s="85"/>
      <c r="J656" s="18"/>
      <c r="K656" s="100"/>
      <c r="L656" s="18"/>
      <c r="M656" s="120"/>
      <c r="N656" s="18"/>
      <c r="O656" s="100">
        <v>1725</v>
      </c>
      <c r="P656" s="18">
        <f t="shared" si="154"/>
        <v>1725</v>
      </c>
      <c r="Q656" s="85">
        <v>-1035</v>
      </c>
      <c r="R656" s="18">
        <f t="shared" si="118"/>
        <v>690</v>
      </c>
      <c r="S656" s="121"/>
      <c r="T656" s="18">
        <f t="shared" si="119"/>
        <v>690</v>
      </c>
      <c r="U656" s="121"/>
      <c r="V656" s="18">
        <f t="shared" si="120"/>
        <v>690</v>
      </c>
      <c r="W656" s="121"/>
      <c r="X656" s="18">
        <f t="shared" si="121"/>
        <v>690</v>
      </c>
      <c r="Z656" s="43">
        <f>X656+Y656</f>
        <v>690</v>
      </c>
      <c r="AA656" s="43"/>
    </row>
    <row r="657" spans="1:27" ht="61.5" customHeight="1" x14ac:dyDescent="0.25">
      <c r="A657" s="125" t="s">
        <v>861</v>
      </c>
      <c r="B657" s="128" t="s">
        <v>891</v>
      </c>
      <c r="C657" s="27"/>
      <c r="D657" s="19"/>
      <c r="E657" s="19"/>
      <c r="F657" s="18"/>
      <c r="G657" s="64"/>
      <c r="H657" s="18"/>
      <c r="I657" s="85"/>
      <c r="J657" s="18"/>
      <c r="K657" s="100"/>
      <c r="L657" s="18"/>
      <c r="M657" s="120"/>
      <c r="N657" s="18"/>
      <c r="O657" s="84">
        <f t="shared" ref="O657:W657" si="164">O658</f>
        <v>0</v>
      </c>
      <c r="P657" s="18">
        <f t="shared" si="154"/>
        <v>0</v>
      </c>
      <c r="Q657" s="84">
        <f t="shared" si="164"/>
        <v>302.89999999999998</v>
      </c>
      <c r="R657" s="18">
        <f t="shared" si="118"/>
        <v>302.89999999999998</v>
      </c>
      <c r="S657" s="84">
        <f t="shared" si="164"/>
        <v>0</v>
      </c>
      <c r="T657" s="18">
        <f t="shared" si="119"/>
        <v>302.89999999999998</v>
      </c>
      <c r="U657" s="84">
        <f t="shared" si="164"/>
        <v>0</v>
      </c>
      <c r="V657" s="18">
        <f t="shared" si="120"/>
        <v>302.89999999999998</v>
      </c>
      <c r="W657" s="84">
        <f t="shared" si="164"/>
        <v>0</v>
      </c>
      <c r="X657" s="18">
        <f t="shared" si="121"/>
        <v>302.89999999999998</v>
      </c>
    </row>
    <row r="658" spans="1:27" x14ac:dyDescent="0.25">
      <c r="A658" s="7" t="s">
        <v>54</v>
      </c>
      <c r="B658" s="130" t="s">
        <v>891</v>
      </c>
      <c r="C658" s="86" t="s">
        <v>66</v>
      </c>
      <c r="D658" s="19"/>
      <c r="E658" s="19"/>
      <c r="F658" s="18"/>
      <c r="G658" s="64"/>
      <c r="H658" s="18"/>
      <c r="I658" s="85"/>
      <c r="J658" s="18"/>
      <c r="K658" s="100"/>
      <c r="L658" s="18"/>
      <c r="M658" s="120"/>
      <c r="N658" s="18"/>
      <c r="O658" s="84"/>
      <c r="P658" s="18">
        <f t="shared" si="154"/>
        <v>0</v>
      </c>
      <c r="Q658" s="85">
        <v>302.89999999999998</v>
      </c>
      <c r="R658" s="18">
        <f t="shared" si="118"/>
        <v>302.89999999999998</v>
      </c>
      <c r="S658" s="121"/>
      <c r="T658" s="18">
        <f t="shared" si="119"/>
        <v>302.89999999999998</v>
      </c>
      <c r="U658" s="121"/>
      <c r="V658" s="18">
        <f t="shared" si="120"/>
        <v>302.89999999999998</v>
      </c>
      <c r="W658" s="121"/>
      <c r="X658" s="18">
        <f t="shared" si="121"/>
        <v>302.89999999999998</v>
      </c>
      <c r="Z658" s="43">
        <f>X658+Y658</f>
        <v>302.89999999999998</v>
      </c>
      <c r="AA658" s="43"/>
    </row>
    <row r="659" spans="1:27" x14ac:dyDescent="0.25">
      <c r="A659" s="125" t="s">
        <v>862</v>
      </c>
      <c r="B659" s="128" t="s">
        <v>892</v>
      </c>
      <c r="C659" s="27"/>
      <c r="D659" s="19"/>
      <c r="E659" s="19"/>
      <c r="F659" s="18"/>
      <c r="G659" s="64"/>
      <c r="H659" s="18"/>
      <c r="I659" s="85"/>
      <c r="J659" s="18"/>
      <c r="K659" s="100"/>
      <c r="L659" s="18"/>
      <c r="M659" s="120"/>
      <c r="N659" s="18"/>
      <c r="O659" s="84">
        <f t="shared" ref="O659:W659" si="165">O660</f>
        <v>1000.1</v>
      </c>
      <c r="P659" s="18">
        <f t="shared" si="154"/>
        <v>1000.1</v>
      </c>
      <c r="Q659" s="84">
        <f t="shared" si="165"/>
        <v>-600</v>
      </c>
      <c r="R659" s="18">
        <f t="shared" si="118"/>
        <v>400.1</v>
      </c>
      <c r="S659" s="84">
        <f t="shared" si="165"/>
        <v>0</v>
      </c>
      <c r="T659" s="18">
        <f t="shared" si="119"/>
        <v>400.1</v>
      </c>
      <c r="U659" s="84">
        <f t="shared" si="165"/>
        <v>0</v>
      </c>
      <c r="V659" s="18">
        <f t="shared" si="120"/>
        <v>400.1</v>
      </c>
      <c r="W659" s="84">
        <f t="shared" si="165"/>
        <v>0</v>
      </c>
      <c r="X659" s="18">
        <f t="shared" si="121"/>
        <v>400.1</v>
      </c>
    </row>
    <row r="660" spans="1:27" x14ac:dyDescent="0.25">
      <c r="A660" s="7" t="s">
        <v>54</v>
      </c>
      <c r="B660" s="130" t="s">
        <v>892</v>
      </c>
      <c r="C660" s="86" t="s">
        <v>34</v>
      </c>
      <c r="D660" s="19"/>
      <c r="E660" s="19"/>
      <c r="F660" s="18"/>
      <c r="G660" s="64"/>
      <c r="H660" s="18"/>
      <c r="I660" s="85"/>
      <c r="J660" s="18"/>
      <c r="K660" s="100"/>
      <c r="L660" s="18"/>
      <c r="M660" s="120"/>
      <c r="N660" s="18"/>
      <c r="O660" s="100">
        <v>1000.1</v>
      </c>
      <c r="P660" s="18">
        <f t="shared" si="154"/>
        <v>1000.1</v>
      </c>
      <c r="Q660" s="85">
        <v>-600</v>
      </c>
      <c r="R660" s="18">
        <f t="shared" si="118"/>
        <v>400.1</v>
      </c>
      <c r="S660" s="121"/>
      <c r="T660" s="18">
        <f t="shared" si="119"/>
        <v>400.1</v>
      </c>
      <c r="U660" s="121"/>
      <c r="V660" s="18">
        <f t="shared" si="120"/>
        <v>400.1</v>
      </c>
      <c r="W660" s="121"/>
      <c r="X660" s="18">
        <f t="shared" si="121"/>
        <v>400.1</v>
      </c>
      <c r="Z660" s="43">
        <f>X660+Y660</f>
        <v>400.1</v>
      </c>
      <c r="AA660" s="43"/>
    </row>
    <row r="661" spans="1:27" ht="24" x14ac:dyDescent="0.25">
      <c r="A661" s="125" t="s">
        <v>863</v>
      </c>
      <c r="B661" s="128" t="s">
        <v>893</v>
      </c>
      <c r="C661" s="27"/>
      <c r="D661" s="19"/>
      <c r="E661" s="19"/>
      <c r="F661" s="18"/>
      <c r="G661" s="64"/>
      <c r="H661" s="18"/>
      <c r="I661" s="85"/>
      <c r="J661" s="18"/>
      <c r="K661" s="100"/>
      <c r="L661" s="18"/>
      <c r="M661" s="120"/>
      <c r="N661" s="18"/>
      <c r="O661" s="84">
        <f t="shared" ref="O661:W661" si="166">O662</f>
        <v>180</v>
      </c>
      <c r="P661" s="18">
        <f t="shared" si="154"/>
        <v>180</v>
      </c>
      <c r="Q661" s="84">
        <f t="shared" si="166"/>
        <v>-108</v>
      </c>
      <c r="R661" s="18">
        <f t="shared" si="118"/>
        <v>72</v>
      </c>
      <c r="S661" s="84">
        <f t="shared" si="166"/>
        <v>0</v>
      </c>
      <c r="T661" s="18">
        <f t="shared" si="119"/>
        <v>72</v>
      </c>
      <c r="U661" s="84">
        <f t="shared" si="166"/>
        <v>0</v>
      </c>
      <c r="V661" s="18">
        <f t="shared" si="120"/>
        <v>72</v>
      </c>
      <c r="W661" s="84">
        <f t="shared" si="166"/>
        <v>0</v>
      </c>
      <c r="X661" s="18">
        <f t="shared" si="121"/>
        <v>72</v>
      </c>
    </row>
    <row r="662" spans="1:27" x14ac:dyDescent="0.25">
      <c r="A662" s="7" t="s">
        <v>54</v>
      </c>
      <c r="B662" s="130" t="s">
        <v>893</v>
      </c>
      <c r="C662" s="86" t="s">
        <v>34</v>
      </c>
      <c r="D662" s="19"/>
      <c r="E662" s="19"/>
      <c r="F662" s="18"/>
      <c r="G662" s="64"/>
      <c r="H662" s="18"/>
      <c r="I662" s="85"/>
      <c r="J662" s="18"/>
      <c r="K662" s="100"/>
      <c r="L662" s="18"/>
      <c r="M662" s="120"/>
      <c r="N662" s="18"/>
      <c r="O662" s="100">
        <v>180</v>
      </c>
      <c r="P662" s="18">
        <f t="shared" si="154"/>
        <v>180</v>
      </c>
      <c r="Q662" s="85">
        <v>-108</v>
      </c>
      <c r="R662" s="18">
        <f t="shared" si="118"/>
        <v>72</v>
      </c>
      <c r="S662" s="121"/>
      <c r="T662" s="18">
        <f t="shared" si="119"/>
        <v>72</v>
      </c>
      <c r="U662" s="121"/>
      <c r="V662" s="18">
        <f t="shared" si="120"/>
        <v>72</v>
      </c>
      <c r="W662" s="121"/>
      <c r="X662" s="18">
        <f t="shared" si="121"/>
        <v>72</v>
      </c>
      <c r="Z662" s="43">
        <f>X662+Y662</f>
        <v>72</v>
      </c>
      <c r="AA662" s="43"/>
    </row>
    <row r="663" spans="1:27" ht="24" x14ac:dyDescent="0.25">
      <c r="A663" s="125" t="s">
        <v>864</v>
      </c>
      <c r="B663" s="128" t="s">
        <v>894</v>
      </c>
      <c r="C663" s="27"/>
      <c r="D663" s="19"/>
      <c r="E663" s="19"/>
      <c r="F663" s="18"/>
      <c r="G663" s="64"/>
      <c r="H663" s="18"/>
      <c r="I663" s="85"/>
      <c r="J663" s="18"/>
      <c r="K663" s="100"/>
      <c r="L663" s="18"/>
      <c r="M663" s="120"/>
      <c r="N663" s="18"/>
      <c r="O663" s="84">
        <f t="shared" ref="O663:W663" si="167">O664</f>
        <v>570</v>
      </c>
      <c r="P663" s="18">
        <f t="shared" si="154"/>
        <v>570</v>
      </c>
      <c r="Q663" s="84">
        <f t="shared" si="167"/>
        <v>-342</v>
      </c>
      <c r="R663" s="18">
        <f t="shared" si="118"/>
        <v>228</v>
      </c>
      <c r="S663" s="84">
        <f t="shared" si="167"/>
        <v>0</v>
      </c>
      <c r="T663" s="18">
        <f t="shared" si="119"/>
        <v>228</v>
      </c>
      <c r="U663" s="84">
        <f t="shared" si="167"/>
        <v>0</v>
      </c>
      <c r="V663" s="18">
        <f t="shared" si="120"/>
        <v>228</v>
      </c>
      <c r="W663" s="84">
        <f t="shared" si="167"/>
        <v>0</v>
      </c>
      <c r="X663" s="18">
        <f t="shared" si="121"/>
        <v>228</v>
      </c>
    </row>
    <row r="664" spans="1:27" x14ac:dyDescent="0.25">
      <c r="A664" s="7" t="s">
        <v>54</v>
      </c>
      <c r="B664" s="130" t="s">
        <v>894</v>
      </c>
      <c r="C664" s="86" t="s">
        <v>34</v>
      </c>
      <c r="D664" s="19"/>
      <c r="E664" s="19"/>
      <c r="F664" s="18"/>
      <c r="G664" s="64"/>
      <c r="H664" s="18"/>
      <c r="I664" s="85"/>
      <c r="J664" s="18"/>
      <c r="K664" s="100"/>
      <c r="L664" s="18"/>
      <c r="M664" s="120"/>
      <c r="N664" s="18"/>
      <c r="O664" s="100">
        <v>570</v>
      </c>
      <c r="P664" s="18">
        <f t="shared" si="154"/>
        <v>570</v>
      </c>
      <c r="Q664" s="85">
        <v>-342</v>
      </c>
      <c r="R664" s="18">
        <f t="shared" si="118"/>
        <v>228</v>
      </c>
      <c r="S664" s="121"/>
      <c r="T664" s="18">
        <f t="shared" si="119"/>
        <v>228</v>
      </c>
      <c r="U664" s="121"/>
      <c r="V664" s="18">
        <f t="shared" si="120"/>
        <v>228</v>
      </c>
      <c r="W664" s="121"/>
      <c r="X664" s="18">
        <f t="shared" si="121"/>
        <v>228</v>
      </c>
      <c r="Z664" s="43">
        <f>X664+Y664</f>
        <v>228</v>
      </c>
      <c r="AA664" s="43"/>
    </row>
    <row r="665" spans="1:27" x14ac:dyDescent="0.25">
      <c r="A665" s="125" t="s">
        <v>865</v>
      </c>
      <c r="B665" s="128" t="s">
        <v>895</v>
      </c>
      <c r="C665" s="27"/>
      <c r="D665" s="19"/>
      <c r="E665" s="19"/>
      <c r="F665" s="18"/>
      <c r="G665" s="64"/>
      <c r="H665" s="18"/>
      <c r="I665" s="85"/>
      <c r="J665" s="18"/>
      <c r="K665" s="100"/>
      <c r="L665" s="18"/>
      <c r="M665" s="120"/>
      <c r="N665" s="18"/>
      <c r="O665" s="84">
        <f t="shared" ref="O665:W665" si="168">O666</f>
        <v>8500</v>
      </c>
      <c r="P665" s="18">
        <f t="shared" si="154"/>
        <v>8500</v>
      </c>
      <c r="Q665" s="84">
        <f t="shared" si="168"/>
        <v>-5100</v>
      </c>
      <c r="R665" s="18">
        <f t="shared" si="118"/>
        <v>3400</v>
      </c>
      <c r="S665" s="84">
        <f t="shared" si="168"/>
        <v>0</v>
      </c>
      <c r="T665" s="18">
        <f t="shared" si="119"/>
        <v>3400</v>
      </c>
      <c r="U665" s="84">
        <f t="shared" si="168"/>
        <v>0</v>
      </c>
      <c r="V665" s="18">
        <f t="shared" si="120"/>
        <v>3400</v>
      </c>
      <c r="W665" s="84">
        <f t="shared" si="168"/>
        <v>0</v>
      </c>
      <c r="X665" s="18">
        <f t="shared" si="121"/>
        <v>3400</v>
      </c>
    </row>
    <row r="666" spans="1:27" x14ac:dyDescent="0.25">
      <c r="A666" s="7" t="s">
        <v>54</v>
      </c>
      <c r="B666" s="130" t="s">
        <v>895</v>
      </c>
      <c r="C666" s="86" t="s">
        <v>34</v>
      </c>
      <c r="D666" s="19"/>
      <c r="E666" s="19"/>
      <c r="F666" s="18"/>
      <c r="G666" s="64"/>
      <c r="H666" s="18"/>
      <c r="I666" s="85"/>
      <c r="J666" s="18"/>
      <c r="K666" s="100"/>
      <c r="L666" s="18"/>
      <c r="M666" s="120"/>
      <c r="N666" s="18"/>
      <c r="O666" s="100">
        <v>8500</v>
      </c>
      <c r="P666" s="18">
        <f t="shared" si="154"/>
        <v>8500</v>
      </c>
      <c r="Q666" s="85">
        <v>-5100</v>
      </c>
      <c r="R666" s="18">
        <f t="shared" si="118"/>
        <v>3400</v>
      </c>
      <c r="S666" s="121"/>
      <c r="T666" s="18">
        <f t="shared" si="119"/>
        <v>3400</v>
      </c>
      <c r="U666" s="121"/>
      <c r="V666" s="18">
        <f t="shared" si="120"/>
        <v>3400</v>
      </c>
      <c r="W666" s="121"/>
      <c r="X666" s="18">
        <f t="shared" si="121"/>
        <v>3400</v>
      </c>
      <c r="Z666" s="43">
        <f>X666+Y666</f>
        <v>3400</v>
      </c>
      <c r="AA666" s="43"/>
    </row>
    <row r="667" spans="1:27" ht="24" x14ac:dyDescent="0.25">
      <c r="A667" s="125" t="s">
        <v>866</v>
      </c>
      <c r="B667" s="128" t="s">
        <v>896</v>
      </c>
      <c r="C667" s="27"/>
      <c r="D667" s="19"/>
      <c r="E667" s="19"/>
      <c r="F667" s="18"/>
      <c r="G667" s="64"/>
      <c r="H667" s="18"/>
      <c r="I667" s="85"/>
      <c r="J667" s="18"/>
      <c r="K667" s="100"/>
      <c r="L667" s="18"/>
      <c r="M667" s="120"/>
      <c r="N667" s="18"/>
      <c r="O667" s="84">
        <f t="shared" ref="O667:W667" si="169">O668</f>
        <v>1577</v>
      </c>
      <c r="P667" s="18">
        <f t="shared" si="154"/>
        <v>1577</v>
      </c>
      <c r="Q667" s="84">
        <f t="shared" si="169"/>
        <v>-946.2</v>
      </c>
      <c r="R667" s="18">
        <f t="shared" si="118"/>
        <v>630.79999999999995</v>
      </c>
      <c r="S667" s="84">
        <f t="shared" si="169"/>
        <v>0</v>
      </c>
      <c r="T667" s="18">
        <f t="shared" si="119"/>
        <v>630.79999999999995</v>
      </c>
      <c r="U667" s="84">
        <f t="shared" si="169"/>
        <v>-104.1</v>
      </c>
      <c r="V667" s="18">
        <f t="shared" si="120"/>
        <v>526.69999999999993</v>
      </c>
      <c r="W667" s="84">
        <f t="shared" si="169"/>
        <v>0</v>
      </c>
      <c r="X667" s="18">
        <f t="shared" si="121"/>
        <v>526.69999999999993</v>
      </c>
    </row>
    <row r="668" spans="1:27" x14ac:dyDescent="0.25">
      <c r="A668" s="7" t="s">
        <v>54</v>
      </c>
      <c r="B668" s="130" t="s">
        <v>896</v>
      </c>
      <c r="C668" s="86" t="s">
        <v>34</v>
      </c>
      <c r="D668" s="19"/>
      <c r="E668" s="19"/>
      <c r="F668" s="18"/>
      <c r="G668" s="64"/>
      <c r="H668" s="18"/>
      <c r="I668" s="85"/>
      <c r="J668" s="18"/>
      <c r="K668" s="100"/>
      <c r="L668" s="18"/>
      <c r="M668" s="120"/>
      <c r="N668" s="18"/>
      <c r="O668" s="100">
        <v>1577</v>
      </c>
      <c r="P668" s="18">
        <f t="shared" si="154"/>
        <v>1577</v>
      </c>
      <c r="Q668" s="85">
        <v>-946.2</v>
      </c>
      <c r="R668" s="18">
        <f t="shared" si="118"/>
        <v>630.79999999999995</v>
      </c>
      <c r="S668" s="121"/>
      <c r="T668" s="18">
        <f t="shared" si="119"/>
        <v>630.79999999999995</v>
      </c>
      <c r="U668" s="85">
        <v>-104.1</v>
      </c>
      <c r="V668" s="18">
        <f t="shared" si="120"/>
        <v>526.69999999999993</v>
      </c>
      <c r="W668" s="121"/>
      <c r="X668" s="18">
        <f t="shared" si="121"/>
        <v>526.69999999999993</v>
      </c>
      <c r="Z668" s="43">
        <f>X668+Y668</f>
        <v>526.69999999999993</v>
      </c>
      <c r="AA668" s="43"/>
    </row>
    <row r="669" spans="1:27" ht="24" x14ac:dyDescent="0.25">
      <c r="A669" s="125" t="s">
        <v>867</v>
      </c>
      <c r="B669" s="128" t="s">
        <v>897</v>
      </c>
      <c r="C669" s="27"/>
      <c r="D669" s="19"/>
      <c r="E669" s="19"/>
      <c r="F669" s="18"/>
      <c r="G669" s="64"/>
      <c r="H669" s="18"/>
      <c r="I669" s="85"/>
      <c r="J669" s="18"/>
      <c r="K669" s="100"/>
      <c r="L669" s="18"/>
      <c r="M669" s="120"/>
      <c r="N669" s="18"/>
      <c r="O669" s="84">
        <f t="shared" ref="O669:W669" si="170">O670</f>
        <v>3980</v>
      </c>
      <c r="P669" s="18">
        <f t="shared" si="154"/>
        <v>3980</v>
      </c>
      <c r="Q669" s="84">
        <f t="shared" si="170"/>
        <v>-2388</v>
      </c>
      <c r="R669" s="18">
        <f t="shared" si="118"/>
        <v>1592</v>
      </c>
      <c r="S669" s="84">
        <f t="shared" si="170"/>
        <v>0</v>
      </c>
      <c r="T669" s="18">
        <f t="shared" si="119"/>
        <v>1592</v>
      </c>
      <c r="U669" s="84">
        <f t="shared" si="170"/>
        <v>-86.4</v>
      </c>
      <c r="V669" s="18">
        <f t="shared" si="120"/>
        <v>1505.6</v>
      </c>
      <c r="W669" s="84">
        <f t="shared" si="170"/>
        <v>0</v>
      </c>
      <c r="X669" s="18">
        <f t="shared" si="121"/>
        <v>1505.6</v>
      </c>
    </row>
    <row r="670" spans="1:27" x14ac:dyDescent="0.25">
      <c r="A670" s="7" t="s">
        <v>54</v>
      </c>
      <c r="B670" s="130" t="s">
        <v>897</v>
      </c>
      <c r="C670" s="86" t="s">
        <v>34</v>
      </c>
      <c r="D670" s="19"/>
      <c r="E670" s="19"/>
      <c r="F670" s="18"/>
      <c r="G670" s="64"/>
      <c r="H670" s="18"/>
      <c r="I670" s="85"/>
      <c r="J670" s="18"/>
      <c r="K670" s="100"/>
      <c r="L670" s="18"/>
      <c r="M670" s="120"/>
      <c r="N670" s="18"/>
      <c r="O670" s="100">
        <v>3980</v>
      </c>
      <c r="P670" s="18">
        <f t="shared" si="154"/>
        <v>3980</v>
      </c>
      <c r="Q670" s="85">
        <v>-2388</v>
      </c>
      <c r="R670" s="18">
        <f t="shared" si="118"/>
        <v>1592</v>
      </c>
      <c r="S670" s="121"/>
      <c r="T670" s="18">
        <f t="shared" si="119"/>
        <v>1592</v>
      </c>
      <c r="U670" s="85">
        <v>-86.4</v>
      </c>
      <c r="V670" s="18">
        <f t="shared" si="120"/>
        <v>1505.6</v>
      </c>
      <c r="W670" s="121"/>
      <c r="X670" s="18">
        <f t="shared" si="121"/>
        <v>1505.6</v>
      </c>
      <c r="Z670" s="43">
        <f>X670+Y670</f>
        <v>1505.6</v>
      </c>
      <c r="AA670" s="43"/>
    </row>
    <row r="671" spans="1:27" ht="24" x14ac:dyDescent="0.25">
      <c r="A671" s="125" t="s">
        <v>868</v>
      </c>
      <c r="B671" s="128" t="s">
        <v>898</v>
      </c>
      <c r="C671" s="27"/>
      <c r="D671" s="19"/>
      <c r="E671" s="19"/>
      <c r="F671" s="18"/>
      <c r="G671" s="64"/>
      <c r="H671" s="18"/>
      <c r="I671" s="85"/>
      <c r="J671" s="18"/>
      <c r="K671" s="100"/>
      <c r="L671" s="18"/>
      <c r="M671" s="120"/>
      <c r="N671" s="18"/>
      <c r="O671" s="84">
        <f t="shared" ref="O671:W671" si="171">O672</f>
        <v>160</v>
      </c>
      <c r="P671" s="18">
        <f t="shared" si="154"/>
        <v>160</v>
      </c>
      <c r="Q671" s="84">
        <f t="shared" si="171"/>
        <v>-96</v>
      </c>
      <c r="R671" s="18">
        <f t="shared" si="118"/>
        <v>64</v>
      </c>
      <c r="S671" s="84">
        <f t="shared" si="171"/>
        <v>0</v>
      </c>
      <c r="T671" s="18">
        <f t="shared" si="119"/>
        <v>64</v>
      </c>
      <c r="U671" s="84">
        <f t="shared" si="171"/>
        <v>0</v>
      </c>
      <c r="V671" s="18">
        <f t="shared" si="120"/>
        <v>64</v>
      </c>
      <c r="W671" s="84">
        <f t="shared" si="171"/>
        <v>0</v>
      </c>
      <c r="X671" s="18">
        <f t="shared" si="121"/>
        <v>64</v>
      </c>
    </row>
    <row r="672" spans="1:27" x14ac:dyDescent="0.25">
      <c r="A672" s="7" t="s">
        <v>54</v>
      </c>
      <c r="B672" s="130" t="s">
        <v>898</v>
      </c>
      <c r="C672" s="86" t="s">
        <v>34</v>
      </c>
      <c r="D672" s="19"/>
      <c r="E672" s="19"/>
      <c r="F672" s="18"/>
      <c r="G672" s="64"/>
      <c r="H672" s="18"/>
      <c r="I672" s="85"/>
      <c r="J672" s="18"/>
      <c r="K672" s="100"/>
      <c r="L672" s="18"/>
      <c r="M672" s="120"/>
      <c r="N672" s="18"/>
      <c r="O672" s="100">
        <v>160</v>
      </c>
      <c r="P672" s="18">
        <f t="shared" si="154"/>
        <v>160</v>
      </c>
      <c r="Q672" s="85">
        <v>-96</v>
      </c>
      <c r="R672" s="18">
        <f t="shared" si="118"/>
        <v>64</v>
      </c>
      <c r="S672" s="121"/>
      <c r="T672" s="18">
        <f t="shared" si="119"/>
        <v>64</v>
      </c>
      <c r="U672" s="121"/>
      <c r="V672" s="18">
        <f t="shared" si="120"/>
        <v>64</v>
      </c>
      <c r="W672" s="121"/>
      <c r="X672" s="18">
        <f t="shared" si="121"/>
        <v>64</v>
      </c>
      <c r="Z672" s="43">
        <f>X672+Y672</f>
        <v>64</v>
      </c>
      <c r="AA672" s="43"/>
    </row>
    <row r="673" spans="1:27" ht="24" x14ac:dyDescent="0.25">
      <c r="A673" s="125" t="s">
        <v>869</v>
      </c>
      <c r="B673" s="128" t="s">
        <v>899</v>
      </c>
      <c r="C673" s="27"/>
      <c r="D673" s="19"/>
      <c r="E673" s="19"/>
      <c r="F673" s="18"/>
      <c r="G673" s="64"/>
      <c r="H673" s="18"/>
      <c r="I673" s="85"/>
      <c r="J673" s="18"/>
      <c r="K673" s="100"/>
      <c r="L673" s="18"/>
      <c r="M673" s="120"/>
      <c r="N673" s="18"/>
      <c r="O673" s="84">
        <f t="shared" ref="O673:W673" si="172">O674</f>
        <v>5294</v>
      </c>
      <c r="P673" s="18">
        <f t="shared" si="154"/>
        <v>5294</v>
      </c>
      <c r="Q673" s="84">
        <f t="shared" si="172"/>
        <v>-3176.4</v>
      </c>
      <c r="R673" s="18">
        <f t="shared" si="118"/>
        <v>2117.6</v>
      </c>
      <c r="S673" s="84">
        <f t="shared" si="172"/>
        <v>0</v>
      </c>
      <c r="T673" s="18">
        <f t="shared" si="119"/>
        <v>2117.6</v>
      </c>
      <c r="U673" s="84">
        <f t="shared" si="172"/>
        <v>0</v>
      </c>
      <c r="V673" s="18">
        <f t="shared" si="120"/>
        <v>2117.6</v>
      </c>
      <c r="W673" s="84">
        <f t="shared" si="172"/>
        <v>0</v>
      </c>
      <c r="X673" s="18">
        <f t="shared" si="121"/>
        <v>2117.6</v>
      </c>
    </row>
    <row r="674" spans="1:27" x14ac:dyDescent="0.25">
      <c r="A674" s="7" t="s">
        <v>54</v>
      </c>
      <c r="B674" s="130" t="s">
        <v>899</v>
      </c>
      <c r="C674" s="86" t="s">
        <v>34</v>
      </c>
      <c r="D674" s="19"/>
      <c r="E674" s="19"/>
      <c r="F674" s="18"/>
      <c r="G674" s="64"/>
      <c r="H674" s="18"/>
      <c r="I674" s="85"/>
      <c r="J674" s="18"/>
      <c r="K674" s="100"/>
      <c r="L674" s="18"/>
      <c r="M674" s="120"/>
      <c r="N674" s="18"/>
      <c r="O674" s="100">
        <v>5294</v>
      </c>
      <c r="P674" s="18">
        <f t="shared" si="154"/>
        <v>5294</v>
      </c>
      <c r="Q674" s="85">
        <v>-3176.4</v>
      </c>
      <c r="R674" s="18">
        <f t="shared" si="118"/>
        <v>2117.6</v>
      </c>
      <c r="S674" s="121"/>
      <c r="T674" s="18">
        <f t="shared" si="119"/>
        <v>2117.6</v>
      </c>
      <c r="U674" s="121"/>
      <c r="V674" s="18">
        <f t="shared" si="120"/>
        <v>2117.6</v>
      </c>
      <c r="W674" s="121"/>
      <c r="X674" s="18">
        <f t="shared" si="121"/>
        <v>2117.6</v>
      </c>
      <c r="Z674" s="43">
        <f>X674+Y674</f>
        <v>2117.6</v>
      </c>
      <c r="AA674" s="43"/>
    </row>
    <row r="675" spans="1:27" x14ac:dyDescent="0.25">
      <c r="A675" s="125" t="s">
        <v>870</v>
      </c>
      <c r="B675" s="128" t="s">
        <v>900</v>
      </c>
      <c r="C675" s="27"/>
      <c r="D675" s="19"/>
      <c r="E675" s="19"/>
      <c r="F675" s="18"/>
      <c r="G675" s="64"/>
      <c r="H675" s="18"/>
      <c r="I675" s="85"/>
      <c r="J675" s="18"/>
      <c r="K675" s="100"/>
      <c r="L675" s="18"/>
      <c r="M675" s="120"/>
      <c r="N675" s="18"/>
      <c r="O675" s="84">
        <f t="shared" ref="O675:W675" si="173">O676</f>
        <v>201.3</v>
      </c>
      <c r="P675" s="18">
        <f t="shared" si="154"/>
        <v>201.3</v>
      </c>
      <c r="Q675" s="84">
        <f t="shared" si="173"/>
        <v>-120.8</v>
      </c>
      <c r="R675" s="18">
        <f t="shared" si="118"/>
        <v>80.500000000000014</v>
      </c>
      <c r="S675" s="84">
        <f t="shared" si="173"/>
        <v>0</v>
      </c>
      <c r="T675" s="18">
        <f t="shared" si="119"/>
        <v>80.500000000000014</v>
      </c>
      <c r="U675" s="84">
        <f t="shared" si="173"/>
        <v>0</v>
      </c>
      <c r="V675" s="18">
        <f t="shared" si="120"/>
        <v>80.500000000000014</v>
      </c>
      <c r="W675" s="84">
        <f t="shared" si="173"/>
        <v>0</v>
      </c>
      <c r="X675" s="18">
        <f t="shared" si="121"/>
        <v>80.500000000000014</v>
      </c>
    </row>
    <row r="676" spans="1:27" x14ac:dyDescent="0.25">
      <c r="A676" s="7" t="s">
        <v>54</v>
      </c>
      <c r="B676" s="130" t="s">
        <v>900</v>
      </c>
      <c r="C676" s="86" t="s">
        <v>34</v>
      </c>
      <c r="D676" s="19"/>
      <c r="E676" s="19"/>
      <c r="F676" s="18"/>
      <c r="G676" s="64"/>
      <c r="H676" s="18"/>
      <c r="I676" s="85"/>
      <c r="J676" s="18"/>
      <c r="K676" s="100"/>
      <c r="L676" s="18"/>
      <c r="M676" s="120"/>
      <c r="N676" s="18"/>
      <c r="O676" s="100">
        <v>201.3</v>
      </c>
      <c r="P676" s="18">
        <f t="shared" si="154"/>
        <v>201.3</v>
      </c>
      <c r="Q676" s="85">
        <v>-120.8</v>
      </c>
      <c r="R676" s="18">
        <f t="shared" si="118"/>
        <v>80.500000000000014</v>
      </c>
      <c r="S676" s="121"/>
      <c r="T676" s="18">
        <f t="shared" si="119"/>
        <v>80.500000000000014</v>
      </c>
      <c r="U676" s="121"/>
      <c r="V676" s="18">
        <f t="shared" si="120"/>
        <v>80.500000000000014</v>
      </c>
      <c r="W676" s="121"/>
      <c r="X676" s="18">
        <f t="shared" si="121"/>
        <v>80.500000000000014</v>
      </c>
      <c r="Z676" s="43">
        <f>X676+Y676</f>
        <v>80.500000000000014</v>
      </c>
      <c r="AA676" s="43"/>
    </row>
    <row r="677" spans="1:27" ht="24" x14ac:dyDescent="0.25">
      <c r="A677" s="125" t="s">
        <v>871</v>
      </c>
      <c r="B677" s="128" t="s">
        <v>901</v>
      </c>
      <c r="C677" s="27"/>
      <c r="D677" s="19"/>
      <c r="E677" s="19"/>
      <c r="F677" s="18"/>
      <c r="G677" s="64"/>
      <c r="H677" s="18"/>
      <c r="I677" s="85"/>
      <c r="J677" s="18"/>
      <c r="K677" s="100"/>
      <c r="L677" s="18"/>
      <c r="M677" s="120"/>
      <c r="N677" s="18"/>
      <c r="O677" s="84">
        <f t="shared" ref="O677:W677" si="174">O678</f>
        <v>342.5</v>
      </c>
      <c r="P677" s="18">
        <f t="shared" si="154"/>
        <v>342.5</v>
      </c>
      <c r="Q677" s="84">
        <f t="shared" si="174"/>
        <v>-205.5</v>
      </c>
      <c r="R677" s="18">
        <f t="shared" si="118"/>
        <v>137</v>
      </c>
      <c r="S677" s="84">
        <f t="shared" si="174"/>
        <v>0</v>
      </c>
      <c r="T677" s="18">
        <f t="shared" si="119"/>
        <v>137</v>
      </c>
      <c r="U677" s="84">
        <f t="shared" si="174"/>
        <v>0</v>
      </c>
      <c r="V677" s="18">
        <f t="shared" si="120"/>
        <v>137</v>
      </c>
      <c r="W677" s="84">
        <f t="shared" si="174"/>
        <v>0</v>
      </c>
      <c r="X677" s="18">
        <f t="shared" si="121"/>
        <v>137</v>
      </c>
    </row>
    <row r="678" spans="1:27" x14ac:dyDescent="0.25">
      <c r="A678" s="7" t="s">
        <v>54</v>
      </c>
      <c r="B678" s="130" t="s">
        <v>901</v>
      </c>
      <c r="C678" s="86" t="s">
        <v>34</v>
      </c>
      <c r="D678" s="19"/>
      <c r="E678" s="19"/>
      <c r="F678" s="18"/>
      <c r="G678" s="64"/>
      <c r="H678" s="18"/>
      <c r="I678" s="85"/>
      <c r="J678" s="18"/>
      <c r="K678" s="100"/>
      <c r="L678" s="18"/>
      <c r="M678" s="120"/>
      <c r="N678" s="18"/>
      <c r="O678" s="100">
        <v>342.5</v>
      </c>
      <c r="P678" s="18">
        <f t="shared" si="154"/>
        <v>342.5</v>
      </c>
      <c r="Q678" s="85">
        <v>-205.5</v>
      </c>
      <c r="R678" s="18">
        <f t="shared" si="118"/>
        <v>137</v>
      </c>
      <c r="S678" s="121"/>
      <c r="T678" s="18">
        <f t="shared" si="119"/>
        <v>137</v>
      </c>
      <c r="U678" s="121"/>
      <c r="V678" s="18">
        <f t="shared" si="120"/>
        <v>137</v>
      </c>
      <c r="W678" s="121"/>
      <c r="X678" s="18">
        <f t="shared" si="121"/>
        <v>137</v>
      </c>
      <c r="Z678" s="43">
        <f>X678+Y678</f>
        <v>137</v>
      </c>
      <c r="AA678" s="43"/>
    </row>
    <row r="679" spans="1:27" ht="24" x14ac:dyDescent="0.25">
      <c r="A679" s="125" t="s">
        <v>872</v>
      </c>
      <c r="B679" s="128" t="s">
        <v>902</v>
      </c>
      <c r="C679" s="27"/>
      <c r="D679" s="19"/>
      <c r="E679" s="19"/>
      <c r="F679" s="18"/>
      <c r="G679" s="64"/>
      <c r="H679" s="18"/>
      <c r="I679" s="85"/>
      <c r="J679" s="18"/>
      <c r="K679" s="100"/>
      <c r="L679" s="18"/>
      <c r="M679" s="120"/>
      <c r="N679" s="18"/>
      <c r="O679" s="84">
        <f t="shared" ref="O679:W679" si="175">O680</f>
        <v>937.5</v>
      </c>
      <c r="P679" s="18">
        <f t="shared" si="154"/>
        <v>937.5</v>
      </c>
      <c r="Q679" s="84">
        <f t="shared" si="175"/>
        <v>-562.5</v>
      </c>
      <c r="R679" s="18">
        <f t="shared" si="118"/>
        <v>375</v>
      </c>
      <c r="S679" s="84">
        <f t="shared" si="175"/>
        <v>0</v>
      </c>
      <c r="T679" s="18">
        <f t="shared" si="119"/>
        <v>375</v>
      </c>
      <c r="U679" s="84">
        <f t="shared" si="175"/>
        <v>0</v>
      </c>
      <c r="V679" s="18">
        <f t="shared" si="120"/>
        <v>375</v>
      </c>
      <c r="W679" s="84">
        <f t="shared" si="175"/>
        <v>0</v>
      </c>
      <c r="X679" s="18">
        <f t="shared" si="121"/>
        <v>375</v>
      </c>
    </row>
    <row r="680" spans="1:27" x14ac:dyDescent="0.25">
      <c r="A680" s="7" t="s">
        <v>54</v>
      </c>
      <c r="B680" s="130" t="s">
        <v>902</v>
      </c>
      <c r="C680" s="86" t="s">
        <v>34</v>
      </c>
      <c r="D680" s="19"/>
      <c r="E680" s="19"/>
      <c r="F680" s="18"/>
      <c r="G680" s="64"/>
      <c r="H680" s="18"/>
      <c r="I680" s="85"/>
      <c r="J680" s="18"/>
      <c r="K680" s="100"/>
      <c r="L680" s="18"/>
      <c r="M680" s="120"/>
      <c r="N680" s="18"/>
      <c r="O680" s="100">
        <v>937.5</v>
      </c>
      <c r="P680" s="18">
        <f t="shared" si="154"/>
        <v>937.5</v>
      </c>
      <c r="Q680" s="85">
        <v>-562.5</v>
      </c>
      <c r="R680" s="18">
        <f t="shared" si="118"/>
        <v>375</v>
      </c>
      <c r="S680" s="121"/>
      <c r="T680" s="18">
        <f t="shared" si="119"/>
        <v>375</v>
      </c>
      <c r="U680" s="121"/>
      <c r="V680" s="18">
        <f t="shared" si="120"/>
        <v>375</v>
      </c>
      <c r="W680" s="121"/>
      <c r="X680" s="18">
        <f t="shared" si="121"/>
        <v>375</v>
      </c>
      <c r="Z680" s="43">
        <f>X680+Y680</f>
        <v>375</v>
      </c>
      <c r="AA680" s="43"/>
    </row>
    <row r="681" spans="1:27" ht="24" x14ac:dyDescent="0.25">
      <c r="A681" s="125" t="s">
        <v>873</v>
      </c>
      <c r="B681" s="128" t="s">
        <v>903</v>
      </c>
      <c r="C681" s="27"/>
      <c r="D681" s="19"/>
      <c r="E681" s="19"/>
      <c r="F681" s="18"/>
      <c r="G681" s="64"/>
      <c r="H681" s="18"/>
      <c r="I681" s="85"/>
      <c r="J681" s="18"/>
      <c r="K681" s="100"/>
      <c r="L681" s="18"/>
      <c r="M681" s="120"/>
      <c r="N681" s="18"/>
      <c r="O681" s="84">
        <f t="shared" ref="O681:W681" si="176">O682</f>
        <v>1575</v>
      </c>
      <c r="P681" s="18">
        <f t="shared" si="154"/>
        <v>1575</v>
      </c>
      <c r="Q681" s="84">
        <f t="shared" si="176"/>
        <v>-945</v>
      </c>
      <c r="R681" s="18">
        <f t="shared" si="118"/>
        <v>630</v>
      </c>
      <c r="S681" s="84">
        <f t="shared" si="176"/>
        <v>0</v>
      </c>
      <c r="T681" s="18">
        <f t="shared" si="119"/>
        <v>630</v>
      </c>
      <c r="U681" s="84">
        <f t="shared" si="176"/>
        <v>0</v>
      </c>
      <c r="V681" s="18">
        <f t="shared" si="120"/>
        <v>630</v>
      </c>
      <c r="W681" s="84">
        <f t="shared" si="176"/>
        <v>0</v>
      </c>
      <c r="X681" s="18">
        <f t="shared" si="121"/>
        <v>630</v>
      </c>
    </row>
    <row r="682" spans="1:27" x14ac:dyDescent="0.25">
      <c r="A682" s="7" t="s">
        <v>54</v>
      </c>
      <c r="B682" s="130" t="s">
        <v>903</v>
      </c>
      <c r="C682" s="86" t="s">
        <v>34</v>
      </c>
      <c r="D682" s="19"/>
      <c r="E682" s="19"/>
      <c r="F682" s="18"/>
      <c r="G682" s="64"/>
      <c r="H682" s="18"/>
      <c r="I682" s="85"/>
      <c r="J682" s="18"/>
      <c r="K682" s="100"/>
      <c r="L682" s="18"/>
      <c r="M682" s="120"/>
      <c r="N682" s="18"/>
      <c r="O682" s="100">
        <v>1575</v>
      </c>
      <c r="P682" s="18">
        <f t="shared" si="154"/>
        <v>1575</v>
      </c>
      <c r="Q682" s="85">
        <v>-945</v>
      </c>
      <c r="R682" s="18">
        <f t="shared" si="118"/>
        <v>630</v>
      </c>
      <c r="S682" s="121"/>
      <c r="T682" s="18">
        <f t="shared" si="119"/>
        <v>630</v>
      </c>
      <c r="U682" s="121"/>
      <c r="V682" s="18">
        <f t="shared" si="120"/>
        <v>630</v>
      </c>
      <c r="W682" s="121"/>
      <c r="X682" s="18">
        <f t="shared" si="121"/>
        <v>630</v>
      </c>
      <c r="Z682" s="43">
        <f>X682+Y682</f>
        <v>630</v>
      </c>
      <c r="AA682" s="43"/>
    </row>
    <row r="683" spans="1:27" x14ac:dyDescent="0.25">
      <c r="A683" s="125" t="s">
        <v>874</v>
      </c>
      <c r="B683" s="128" t="s">
        <v>904</v>
      </c>
      <c r="C683" s="27"/>
      <c r="D683" s="19"/>
      <c r="E683" s="19"/>
      <c r="F683" s="18"/>
      <c r="G683" s="64"/>
      <c r="H683" s="18"/>
      <c r="I683" s="85"/>
      <c r="J683" s="18"/>
      <c r="K683" s="100"/>
      <c r="L683" s="18"/>
      <c r="M683" s="120"/>
      <c r="N683" s="18"/>
      <c r="O683" s="84">
        <f t="shared" ref="O683:W683" si="177">O684</f>
        <v>875</v>
      </c>
      <c r="P683" s="18">
        <f t="shared" si="154"/>
        <v>875</v>
      </c>
      <c r="Q683" s="84">
        <f t="shared" si="177"/>
        <v>-525</v>
      </c>
      <c r="R683" s="18">
        <f t="shared" si="118"/>
        <v>350</v>
      </c>
      <c r="S683" s="84">
        <f t="shared" si="177"/>
        <v>0</v>
      </c>
      <c r="T683" s="18">
        <f t="shared" si="119"/>
        <v>350</v>
      </c>
      <c r="U683" s="84">
        <f t="shared" si="177"/>
        <v>0</v>
      </c>
      <c r="V683" s="18">
        <f t="shared" si="120"/>
        <v>350</v>
      </c>
      <c r="W683" s="84">
        <f t="shared" si="177"/>
        <v>0</v>
      </c>
      <c r="X683" s="18">
        <f t="shared" si="121"/>
        <v>350</v>
      </c>
    </row>
    <row r="684" spans="1:27" x14ac:dyDescent="0.25">
      <c r="A684" s="7" t="s">
        <v>54</v>
      </c>
      <c r="B684" s="130" t="s">
        <v>904</v>
      </c>
      <c r="C684" s="86" t="s">
        <v>34</v>
      </c>
      <c r="D684" s="19"/>
      <c r="E684" s="19"/>
      <c r="F684" s="18"/>
      <c r="G684" s="64"/>
      <c r="H684" s="18"/>
      <c r="I684" s="85"/>
      <c r="J684" s="18"/>
      <c r="K684" s="100"/>
      <c r="L684" s="18"/>
      <c r="M684" s="120"/>
      <c r="N684" s="18"/>
      <c r="O684" s="100">
        <v>875</v>
      </c>
      <c r="P684" s="18">
        <f t="shared" si="154"/>
        <v>875</v>
      </c>
      <c r="Q684" s="85">
        <v>-525</v>
      </c>
      <c r="R684" s="18">
        <f t="shared" si="118"/>
        <v>350</v>
      </c>
      <c r="S684" s="121"/>
      <c r="T684" s="18">
        <f t="shared" si="119"/>
        <v>350</v>
      </c>
      <c r="U684" s="121"/>
      <c r="V684" s="18">
        <f t="shared" si="120"/>
        <v>350</v>
      </c>
      <c r="W684" s="121"/>
      <c r="X684" s="18">
        <f t="shared" si="121"/>
        <v>350</v>
      </c>
      <c r="Z684" s="43">
        <f>X684+Y684</f>
        <v>350</v>
      </c>
      <c r="AA684" s="43"/>
    </row>
    <row r="685" spans="1:27" x14ac:dyDescent="0.25">
      <c r="A685" s="125" t="s">
        <v>875</v>
      </c>
      <c r="B685" s="128" t="s">
        <v>905</v>
      </c>
      <c r="C685" s="27"/>
      <c r="D685" s="19"/>
      <c r="E685" s="19"/>
      <c r="F685" s="18"/>
      <c r="G685" s="64"/>
      <c r="H685" s="18"/>
      <c r="I685" s="85"/>
      <c r="J685" s="18"/>
      <c r="K685" s="100"/>
      <c r="L685" s="18"/>
      <c r="M685" s="120"/>
      <c r="N685" s="18"/>
      <c r="O685" s="84">
        <f t="shared" ref="O685:W685" si="178">O686</f>
        <v>500</v>
      </c>
      <c r="P685" s="18">
        <f t="shared" si="154"/>
        <v>500</v>
      </c>
      <c r="Q685" s="84">
        <f t="shared" si="178"/>
        <v>-300</v>
      </c>
      <c r="R685" s="18">
        <f t="shared" si="118"/>
        <v>200</v>
      </c>
      <c r="S685" s="84">
        <f t="shared" si="178"/>
        <v>0</v>
      </c>
      <c r="T685" s="18">
        <f t="shared" si="119"/>
        <v>200</v>
      </c>
      <c r="U685" s="84">
        <f t="shared" si="178"/>
        <v>0</v>
      </c>
      <c r="V685" s="18">
        <f t="shared" si="120"/>
        <v>200</v>
      </c>
      <c r="W685" s="84">
        <f t="shared" si="178"/>
        <v>0</v>
      </c>
      <c r="X685" s="18">
        <f t="shared" si="121"/>
        <v>200</v>
      </c>
    </row>
    <row r="686" spans="1:27" x14ac:dyDescent="0.25">
      <c r="A686" s="7" t="s">
        <v>54</v>
      </c>
      <c r="B686" s="130" t="s">
        <v>905</v>
      </c>
      <c r="C686" s="86" t="s">
        <v>34</v>
      </c>
      <c r="D686" s="19"/>
      <c r="E686" s="19"/>
      <c r="F686" s="18"/>
      <c r="G686" s="64"/>
      <c r="H686" s="18"/>
      <c r="I686" s="85"/>
      <c r="J686" s="18"/>
      <c r="K686" s="100"/>
      <c r="L686" s="18"/>
      <c r="M686" s="120"/>
      <c r="N686" s="18"/>
      <c r="O686" s="100">
        <v>500</v>
      </c>
      <c r="P686" s="18">
        <f t="shared" si="154"/>
        <v>500</v>
      </c>
      <c r="Q686" s="85">
        <v>-300</v>
      </c>
      <c r="R686" s="18">
        <f t="shared" si="118"/>
        <v>200</v>
      </c>
      <c r="S686" s="121"/>
      <c r="T686" s="18">
        <f t="shared" si="119"/>
        <v>200</v>
      </c>
      <c r="U686" s="121"/>
      <c r="V686" s="18">
        <f t="shared" si="120"/>
        <v>200</v>
      </c>
      <c r="W686" s="121"/>
      <c r="X686" s="18">
        <f t="shared" si="121"/>
        <v>200</v>
      </c>
      <c r="Z686" s="43">
        <f>X686+Y686</f>
        <v>200</v>
      </c>
      <c r="AA686" s="43"/>
    </row>
    <row r="687" spans="1:27" ht="24" x14ac:dyDescent="0.25">
      <c r="A687" s="125" t="s">
        <v>876</v>
      </c>
      <c r="B687" s="133" t="s">
        <v>906</v>
      </c>
      <c r="C687" s="27"/>
      <c r="D687" s="19"/>
      <c r="E687" s="19"/>
      <c r="F687" s="18"/>
      <c r="G687" s="64"/>
      <c r="H687" s="18"/>
      <c r="I687" s="85"/>
      <c r="J687" s="18"/>
      <c r="K687" s="100"/>
      <c r="L687" s="18"/>
      <c r="M687" s="120"/>
      <c r="N687" s="18"/>
      <c r="O687" s="84">
        <f t="shared" ref="O687:W687" si="179">O688</f>
        <v>335.2</v>
      </c>
      <c r="P687" s="18">
        <f t="shared" si="154"/>
        <v>335.2</v>
      </c>
      <c r="Q687" s="84">
        <f t="shared" si="179"/>
        <v>-201.1</v>
      </c>
      <c r="R687" s="18">
        <f t="shared" si="118"/>
        <v>134.1</v>
      </c>
      <c r="S687" s="84">
        <f t="shared" si="179"/>
        <v>0</v>
      </c>
      <c r="T687" s="18">
        <f t="shared" si="119"/>
        <v>134.1</v>
      </c>
      <c r="U687" s="84">
        <f t="shared" si="179"/>
        <v>0</v>
      </c>
      <c r="V687" s="18">
        <f t="shared" si="120"/>
        <v>134.1</v>
      </c>
      <c r="W687" s="84">
        <f t="shared" si="179"/>
        <v>0</v>
      </c>
      <c r="X687" s="18">
        <f t="shared" ref="X687:X941" si="180">V687+W687</f>
        <v>134.1</v>
      </c>
    </row>
    <row r="688" spans="1:27" x14ac:dyDescent="0.25">
      <c r="A688" s="7" t="s">
        <v>54</v>
      </c>
      <c r="B688" s="132" t="s">
        <v>906</v>
      </c>
      <c r="C688" s="86" t="s">
        <v>34</v>
      </c>
      <c r="D688" s="19"/>
      <c r="E688" s="19"/>
      <c r="F688" s="18"/>
      <c r="G688" s="64"/>
      <c r="H688" s="18"/>
      <c r="I688" s="85"/>
      <c r="J688" s="18"/>
      <c r="K688" s="100"/>
      <c r="L688" s="18"/>
      <c r="M688" s="120"/>
      <c r="N688" s="18"/>
      <c r="O688" s="100">
        <v>335.2</v>
      </c>
      <c r="P688" s="18">
        <f t="shared" si="154"/>
        <v>335.2</v>
      </c>
      <c r="Q688" s="85">
        <v>-201.1</v>
      </c>
      <c r="R688" s="18">
        <f t="shared" si="118"/>
        <v>134.1</v>
      </c>
      <c r="S688" s="121"/>
      <c r="T688" s="18">
        <f t="shared" si="119"/>
        <v>134.1</v>
      </c>
      <c r="U688" s="121"/>
      <c r="V688" s="18">
        <f t="shared" si="120"/>
        <v>134.1</v>
      </c>
      <c r="W688" s="121"/>
      <c r="X688" s="18">
        <f t="shared" si="180"/>
        <v>134.1</v>
      </c>
      <c r="Z688" s="43">
        <f>X688+Y688</f>
        <v>134.1</v>
      </c>
      <c r="AA688" s="43"/>
    </row>
    <row r="689" spans="1:27" ht="24" x14ac:dyDescent="0.25">
      <c r="A689" s="125" t="s">
        <v>877</v>
      </c>
      <c r="B689" s="128" t="s">
        <v>907</v>
      </c>
      <c r="C689" s="27"/>
      <c r="D689" s="19"/>
      <c r="E689" s="19"/>
      <c r="F689" s="18"/>
      <c r="G689" s="64"/>
      <c r="H689" s="18"/>
      <c r="I689" s="85"/>
      <c r="J689" s="18"/>
      <c r="K689" s="100"/>
      <c r="L689" s="18"/>
      <c r="M689" s="120"/>
      <c r="N689" s="18"/>
      <c r="O689" s="84">
        <f t="shared" ref="O689:W689" si="181">O690</f>
        <v>306</v>
      </c>
      <c r="P689" s="18">
        <f t="shared" si="154"/>
        <v>306</v>
      </c>
      <c r="Q689" s="84">
        <f t="shared" si="181"/>
        <v>-183.6</v>
      </c>
      <c r="R689" s="18">
        <f t="shared" si="118"/>
        <v>122.4</v>
      </c>
      <c r="S689" s="84">
        <f t="shared" si="181"/>
        <v>0</v>
      </c>
      <c r="T689" s="18">
        <f t="shared" si="119"/>
        <v>122.4</v>
      </c>
      <c r="U689" s="84">
        <f t="shared" si="181"/>
        <v>0</v>
      </c>
      <c r="V689" s="18">
        <f t="shared" si="120"/>
        <v>122.4</v>
      </c>
      <c r="W689" s="84">
        <f t="shared" si="181"/>
        <v>0</v>
      </c>
      <c r="X689" s="18">
        <f t="shared" si="180"/>
        <v>122.4</v>
      </c>
    </row>
    <row r="690" spans="1:27" x14ac:dyDescent="0.25">
      <c r="A690" s="7" t="s">
        <v>54</v>
      </c>
      <c r="B690" s="130" t="s">
        <v>907</v>
      </c>
      <c r="C690" s="86" t="s">
        <v>34</v>
      </c>
      <c r="D690" s="19"/>
      <c r="E690" s="19"/>
      <c r="F690" s="18"/>
      <c r="G690" s="64"/>
      <c r="H690" s="18"/>
      <c r="I690" s="85"/>
      <c r="J690" s="18"/>
      <c r="K690" s="100"/>
      <c r="L690" s="18"/>
      <c r="M690" s="120"/>
      <c r="N690" s="18"/>
      <c r="O690" s="100">
        <v>306</v>
      </c>
      <c r="P690" s="18">
        <f t="shared" si="154"/>
        <v>306</v>
      </c>
      <c r="Q690" s="85">
        <v>-183.6</v>
      </c>
      <c r="R690" s="18">
        <f t="shared" si="118"/>
        <v>122.4</v>
      </c>
      <c r="S690" s="121"/>
      <c r="T690" s="18">
        <f t="shared" si="119"/>
        <v>122.4</v>
      </c>
      <c r="U690" s="121"/>
      <c r="V690" s="18">
        <f t="shared" si="120"/>
        <v>122.4</v>
      </c>
      <c r="W690" s="121"/>
      <c r="X690" s="18">
        <f t="shared" si="180"/>
        <v>122.4</v>
      </c>
      <c r="Z690" s="43">
        <f>X690+Y690</f>
        <v>122.4</v>
      </c>
      <c r="AA690" s="43"/>
    </row>
    <row r="691" spans="1:27" ht="36" x14ac:dyDescent="0.25">
      <c r="A691" s="125" t="s">
        <v>878</v>
      </c>
      <c r="B691" s="128" t="s">
        <v>908</v>
      </c>
      <c r="C691" s="27"/>
      <c r="D691" s="19"/>
      <c r="E691" s="19"/>
      <c r="F691" s="18"/>
      <c r="G691" s="64"/>
      <c r="H691" s="18"/>
      <c r="I691" s="85"/>
      <c r="J691" s="18"/>
      <c r="K691" s="100"/>
      <c r="L691" s="18"/>
      <c r="M691" s="120"/>
      <c r="N691" s="18"/>
      <c r="O691" s="84">
        <f t="shared" ref="O691:W691" si="182">O692</f>
        <v>133</v>
      </c>
      <c r="P691" s="18">
        <f t="shared" si="154"/>
        <v>133</v>
      </c>
      <c r="Q691" s="84">
        <f t="shared" si="182"/>
        <v>-79.8</v>
      </c>
      <c r="R691" s="18">
        <f t="shared" si="118"/>
        <v>53.2</v>
      </c>
      <c r="S691" s="84">
        <f t="shared" si="182"/>
        <v>0</v>
      </c>
      <c r="T691" s="18">
        <f t="shared" si="119"/>
        <v>53.2</v>
      </c>
      <c r="U691" s="84">
        <f t="shared" si="182"/>
        <v>0</v>
      </c>
      <c r="V691" s="18">
        <f t="shared" si="120"/>
        <v>53.2</v>
      </c>
      <c r="W691" s="84">
        <f t="shared" si="182"/>
        <v>0</v>
      </c>
      <c r="X691" s="18">
        <f t="shared" si="180"/>
        <v>53.2</v>
      </c>
    </row>
    <row r="692" spans="1:27" x14ac:dyDescent="0.25">
      <c r="A692" s="7" t="s">
        <v>54</v>
      </c>
      <c r="B692" s="130" t="s">
        <v>908</v>
      </c>
      <c r="C692" s="86" t="s">
        <v>34</v>
      </c>
      <c r="D692" s="19"/>
      <c r="E692" s="19"/>
      <c r="F692" s="18"/>
      <c r="G692" s="64"/>
      <c r="H692" s="18"/>
      <c r="I692" s="85"/>
      <c r="J692" s="18"/>
      <c r="K692" s="100"/>
      <c r="L692" s="18"/>
      <c r="M692" s="120"/>
      <c r="N692" s="18"/>
      <c r="O692" s="100">
        <v>133</v>
      </c>
      <c r="P692" s="18">
        <f t="shared" si="154"/>
        <v>133</v>
      </c>
      <c r="Q692" s="85">
        <v>-79.8</v>
      </c>
      <c r="R692" s="18">
        <f t="shared" si="118"/>
        <v>53.2</v>
      </c>
      <c r="S692" s="121"/>
      <c r="T692" s="18">
        <f t="shared" si="119"/>
        <v>53.2</v>
      </c>
      <c r="U692" s="121"/>
      <c r="V692" s="18">
        <f t="shared" si="120"/>
        <v>53.2</v>
      </c>
      <c r="W692" s="121"/>
      <c r="X692" s="18">
        <f t="shared" si="180"/>
        <v>53.2</v>
      </c>
      <c r="Z692" s="43">
        <f>X692+Y692</f>
        <v>53.2</v>
      </c>
      <c r="AA692" s="43"/>
    </row>
    <row r="693" spans="1:27" x14ac:dyDescent="0.25">
      <c r="A693" s="125" t="s">
        <v>879</v>
      </c>
      <c r="B693" s="133" t="s">
        <v>909</v>
      </c>
      <c r="C693" s="27"/>
      <c r="D693" s="19"/>
      <c r="E693" s="19"/>
      <c r="F693" s="18"/>
      <c r="G693" s="64"/>
      <c r="H693" s="18"/>
      <c r="I693" s="85"/>
      <c r="J693" s="18"/>
      <c r="K693" s="100"/>
      <c r="L693" s="18"/>
      <c r="M693" s="120"/>
      <c r="N693" s="18"/>
      <c r="O693" s="84">
        <f t="shared" ref="O693:W693" si="183">O694</f>
        <v>845</v>
      </c>
      <c r="P693" s="18">
        <f t="shared" si="154"/>
        <v>845</v>
      </c>
      <c r="Q693" s="84">
        <f t="shared" si="183"/>
        <v>-507</v>
      </c>
      <c r="R693" s="18">
        <f t="shared" si="118"/>
        <v>338</v>
      </c>
      <c r="S693" s="84">
        <f t="shared" si="183"/>
        <v>0</v>
      </c>
      <c r="T693" s="18">
        <f t="shared" si="119"/>
        <v>338</v>
      </c>
      <c r="U693" s="84">
        <f t="shared" si="183"/>
        <v>0</v>
      </c>
      <c r="V693" s="18">
        <f t="shared" si="120"/>
        <v>338</v>
      </c>
      <c r="W693" s="84">
        <f t="shared" si="183"/>
        <v>0</v>
      </c>
      <c r="X693" s="18">
        <f t="shared" si="180"/>
        <v>338</v>
      </c>
    </row>
    <row r="694" spans="1:27" x14ac:dyDescent="0.25">
      <c r="A694" s="7" t="s">
        <v>54</v>
      </c>
      <c r="B694" s="132" t="s">
        <v>909</v>
      </c>
      <c r="C694" s="86" t="s">
        <v>34</v>
      </c>
      <c r="D694" s="19"/>
      <c r="E694" s="19"/>
      <c r="F694" s="18"/>
      <c r="G694" s="64"/>
      <c r="H694" s="18"/>
      <c r="I694" s="85"/>
      <c r="J694" s="18"/>
      <c r="K694" s="100"/>
      <c r="L694" s="18"/>
      <c r="M694" s="120"/>
      <c r="N694" s="18"/>
      <c r="O694" s="100">
        <v>845</v>
      </c>
      <c r="P694" s="18">
        <f t="shared" si="154"/>
        <v>845</v>
      </c>
      <c r="Q694" s="85">
        <v>-507</v>
      </c>
      <c r="R694" s="18">
        <f t="shared" si="118"/>
        <v>338</v>
      </c>
      <c r="S694" s="121"/>
      <c r="T694" s="18">
        <f t="shared" si="119"/>
        <v>338</v>
      </c>
      <c r="U694" s="121"/>
      <c r="V694" s="18">
        <f t="shared" ref="V694:V948" si="184">T694+U694</f>
        <v>338</v>
      </c>
      <c r="W694" s="121"/>
      <c r="X694" s="18">
        <f t="shared" si="180"/>
        <v>338</v>
      </c>
      <c r="Z694" s="43">
        <f>X694+Y694</f>
        <v>338</v>
      </c>
      <c r="AA694" s="43"/>
    </row>
    <row r="695" spans="1:27" x14ac:dyDescent="0.25">
      <c r="A695" s="125" t="s">
        <v>880</v>
      </c>
      <c r="B695" s="128" t="s">
        <v>910</v>
      </c>
      <c r="C695" s="27"/>
      <c r="D695" s="19"/>
      <c r="E695" s="19"/>
      <c r="F695" s="18"/>
      <c r="G695" s="64"/>
      <c r="H695" s="18"/>
      <c r="I695" s="85"/>
      <c r="J695" s="18"/>
      <c r="K695" s="100"/>
      <c r="L695" s="18"/>
      <c r="M695" s="120"/>
      <c r="N695" s="18"/>
      <c r="O695" s="84">
        <f t="shared" ref="O695:W695" si="185">O696</f>
        <v>500</v>
      </c>
      <c r="P695" s="18">
        <f t="shared" si="154"/>
        <v>500</v>
      </c>
      <c r="Q695" s="84">
        <f t="shared" si="185"/>
        <v>-300</v>
      </c>
      <c r="R695" s="18">
        <f t="shared" si="118"/>
        <v>200</v>
      </c>
      <c r="S695" s="84">
        <f t="shared" si="185"/>
        <v>0</v>
      </c>
      <c r="T695" s="18">
        <f t="shared" ref="T695:T1092" si="186">R695+S695</f>
        <v>200</v>
      </c>
      <c r="U695" s="84">
        <f t="shared" si="185"/>
        <v>0</v>
      </c>
      <c r="V695" s="18">
        <f t="shared" si="184"/>
        <v>200</v>
      </c>
      <c r="W695" s="84">
        <f t="shared" si="185"/>
        <v>0</v>
      </c>
      <c r="X695" s="18">
        <f t="shared" si="180"/>
        <v>200</v>
      </c>
    </row>
    <row r="696" spans="1:27" x14ac:dyDescent="0.25">
      <c r="A696" s="7" t="s">
        <v>54</v>
      </c>
      <c r="B696" s="130" t="s">
        <v>910</v>
      </c>
      <c r="C696" s="86" t="s">
        <v>34</v>
      </c>
      <c r="D696" s="19"/>
      <c r="E696" s="19"/>
      <c r="F696" s="18"/>
      <c r="G696" s="64"/>
      <c r="H696" s="18"/>
      <c r="I696" s="85"/>
      <c r="J696" s="18"/>
      <c r="K696" s="100"/>
      <c r="L696" s="18"/>
      <c r="M696" s="120"/>
      <c r="N696" s="18"/>
      <c r="O696" s="100">
        <v>500</v>
      </c>
      <c r="P696" s="18">
        <f t="shared" si="154"/>
        <v>500</v>
      </c>
      <c r="Q696" s="85">
        <v>-300</v>
      </c>
      <c r="R696" s="18">
        <f t="shared" si="118"/>
        <v>200</v>
      </c>
      <c r="S696" s="121"/>
      <c r="T696" s="18">
        <f t="shared" si="186"/>
        <v>200</v>
      </c>
      <c r="U696" s="121"/>
      <c r="V696" s="18">
        <f t="shared" si="184"/>
        <v>200</v>
      </c>
      <c r="W696" s="121"/>
      <c r="X696" s="18">
        <f t="shared" si="180"/>
        <v>200</v>
      </c>
      <c r="Z696" s="43">
        <f>X696+Y696</f>
        <v>200</v>
      </c>
      <c r="AA696" s="43"/>
    </row>
    <row r="697" spans="1:27" x14ac:dyDescent="0.25">
      <c r="A697" s="125" t="s">
        <v>881</v>
      </c>
      <c r="B697" s="128" t="s">
        <v>911</v>
      </c>
      <c r="C697" s="27"/>
      <c r="D697" s="19"/>
      <c r="E697" s="19"/>
      <c r="F697" s="18"/>
      <c r="G697" s="64"/>
      <c r="H697" s="18"/>
      <c r="I697" s="85"/>
      <c r="J697" s="18"/>
      <c r="K697" s="100"/>
      <c r="L697" s="18"/>
      <c r="M697" s="120"/>
      <c r="N697" s="18"/>
      <c r="O697" s="84">
        <f t="shared" ref="O697:W697" si="187">O698</f>
        <v>525</v>
      </c>
      <c r="P697" s="18">
        <f t="shared" si="154"/>
        <v>525</v>
      </c>
      <c r="Q697" s="84">
        <f t="shared" si="187"/>
        <v>-315</v>
      </c>
      <c r="R697" s="18">
        <f t="shared" si="118"/>
        <v>210</v>
      </c>
      <c r="S697" s="84">
        <f t="shared" si="187"/>
        <v>0</v>
      </c>
      <c r="T697" s="18">
        <f t="shared" si="186"/>
        <v>210</v>
      </c>
      <c r="U697" s="84">
        <f t="shared" si="187"/>
        <v>0</v>
      </c>
      <c r="V697" s="18">
        <f t="shared" si="184"/>
        <v>210</v>
      </c>
      <c r="W697" s="84">
        <f t="shared" si="187"/>
        <v>0</v>
      </c>
      <c r="X697" s="18">
        <f t="shared" si="180"/>
        <v>210</v>
      </c>
    </row>
    <row r="698" spans="1:27" x14ac:dyDescent="0.25">
      <c r="A698" s="7" t="s">
        <v>54</v>
      </c>
      <c r="B698" s="130" t="s">
        <v>911</v>
      </c>
      <c r="C698" s="86" t="s">
        <v>34</v>
      </c>
      <c r="D698" s="19"/>
      <c r="E698" s="19"/>
      <c r="F698" s="18"/>
      <c r="G698" s="64"/>
      <c r="H698" s="18"/>
      <c r="I698" s="85"/>
      <c r="J698" s="18"/>
      <c r="K698" s="100"/>
      <c r="L698" s="18"/>
      <c r="M698" s="120"/>
      <c r="N698" s="18"/>
      <c r="O698" s="100">
        <v>525</v>
      </c>
      <c r="P698" s="18">
        <f t="shared" si="154"/>
        <v>525</v>
      </c>
      <c r="Q698" s="85">
        <v>-315</v>
      </c>
      <c r="R698" s="18">
        <f t="shared" ref="R698:R761" si="188">P698+Q698</f>
        <v>210</v>
      </c>
      <c r="S698" s="121"/>
      <c r="T698" s="18">
        <f t="shared" si="186"/>
        <v>210</v>
      </c>
      <c r="U698" s="121"/>
      <c r="V698" s="18">
        <f t="shared" si="184"/>
        <v>210</v>
      </c>
      <c r="W698" s="121"/>
      <c r="X698" s="18">
        <f t="shared" si="180"/>
        <v>210</v>
      </c>
      <c r="Z698" s="43">
        <f>X698+Y698</f>
        <v>210</v>
      </c>
      <c r="AA698" s="43"/>
    </row>
    <row r="699" spans="1:27" x14ac:dyDescent="0.25">
      <c r="A699" s="125" t="s">
        <v>882</v>
      </c>
      <c r="B699" s="128" t="s">
        <v>912</v>
      </c>
      <c r="C699" s="27"/>
      <c r="D699" s="19"/>
      <c r="E699" s="19"/>
      <c r="F699" s="18"/>
      <c r="G699" s="64"/>
      <c r="H699" s="18"/>
      <c r="I699" s="85"/>
      <c r="J699" s="18"/>
      <c r="K699" s="100"/>
      <c r="L699" s="18"/>
      <c r="M699" s="120"/>
      <c r="N699" s="18"/>
      <c r="O699" s="84">
        <f t="shared" ref="O699:W699" si="189">O700</f>
        <v>1200</v>
      </c>
      <c r="P699" s="18">
        <f t="shared" si="154"/>
        <v>1200</v>
      </c>
      <c r="Q699" s="84">
        <f t="shared" si="189"/>
        <v>-720</v>
      </c>
      <c r="R699" s="18">
        <f t="shared" si="188"/>
        <v>480</v>
      </c>
      <c r="S699" s="84">
        <f t="shared" si="189"/>
        <v>0</v>
      </c>
      <c r="T699" s="18">
        <f t="shared" si="186"/>
        <v>480</v>
      </c>
      <c r="U699" s="84">
        <f t="shared" si="189"/>
        <v>0</v>
      </c>
      <c r="V699" s="18">
        <f t="shared" si="184"/>
        <v>480</v>
      </c>
      <c r="W699" s="84">
        <f t="shared" si="189"/>
        <v>0</v>
      </c>
      <c r="X699" s="18">
        <f t="shared" si="180"/>
        <v>480</v>
      </c>
    </row>
    <row r="700" spans="1:27" x14ac:dyDescent="0.25">
      <c r="A700" s="7" t="s">
        <v>54</v>
      </c>
      <c r="B700" s="130" t="s">
        <v>912</v>
      </c>
      <c r="C700" s="86" t="s">
        <v>34</v>
      </c>
      <c r="D700" s="19"/>
      <c r="E700" s="19"/>
      <c r="F700" s="18"/>
      <c r="G700" s="64"/>
      <c r="H700" s="18"/>
      <c r="I700" s="85"/>
      <c r="J700" s="18"/>
      <c r="K700" s="100"/>
      <c r="L700" s="18"/>
      <c r="M700" s="120"/>
      <c r="N700" s="18"/>
      <c r="O700" s="100">
        <v>1200</v>
      </c>
      <c r="P700" s="18">
        <f t="shared" si="154"/>
        <v>1200</v>
      </c>
      <c r="Q700" s="85">
        <v>-720</v>
      </c>
      <c r="R700" s="18">
        <f t="shared" si="188"/>
        <v>480</v>
      </c>
      <c r="S700" s="121"/>
      <c r="T700" s="18">
        <f t="shared" si="186"/>
        <v>480</v>
      </c>
      <c r="U700" s="121"/>
      <c r="V700" s="18">
        <f t="shared" si="184"/>
        <v>480</v>
      </c>
      <c r="W700" s="121"/>
      <c r="X700" s="18">
        <f t="shared" si="180"/>
        <v>480</v>
      </c>
      <c r="Z700" s="43">
        <f>X700+Y700</f>
        <v>480</v>
      </c>
      <c r="AA700" s="43"/>
    </row>
    <row r="701" spans="1:27" x14ac:dyDescent="0.25">
      <c r="A701" s="125" t="s">
        <v>883</v>
      </c>
      <c r="B701" s="128" t="s">
        <v>913</v>
      </c>
      <c r="C701" s="27"/>
      <c r="D701" s="19"/>
      <c r="E701" s="19"/>
      <c r="F701" s="18"/>
      <c r="G701" s="64"/>
      <c r="H701" s="18"/>
      <c r="I701" s="85"/>
      <c r="J701" s="18"/>
      <c r="K701" s="100"/>
      <c r="L701" s="18"/>
      <c r="M701" s="120"/>
      <c r="N701" s="18"/>
      <c r="O701" s="84">
        <f t="shared" ref="O701:W701" si="190">O702</f>
        <v>3160</v>
      </c>
      <c r="P701" s="18">
        <f t="shared" ref="P701:P766" si="191">N701+O701</f>
        <v>3160</v>
      </c>
      <c r="Q701" s="84">
        <f t="shared" si="190"/>
        <v>-1896</v>
      </c>
      <c r="R701" s="18">
        <f t="shared" si="188"/>
        <v>1264</v>
      </c>
      <c r="S701" s="84">
        <f t="shared" si="190"/>
        <v>0</v>
      </c>
      <c r="T701" s="18">
        <f t="shared" si="186"/>
        <v>1264</v>
      </c>
      <c r="U701" s="84">
        <f t="shared" si="190"/>
        <v>0</v>
      </c>
      <c r="V701" s="18">
        <f t="shared" si="184"/>
        <v>1264</v>
      </c>
      <c r="W701" s="84">
        <f t="shared" si="190"/>
        <v>0</v>
      </c>
      <c r="X701" s="18">
        <f t="shared" si="180"/>
        <v>1264</v>
      </c>
    </row>
    <row r="702" spans="1:27" x14ac:dyDescent="0.25">
      <c r="A702" s="7" t="s">
        <v>54</v>
      </c>
      <c r="B702" s="130" t="s">
        <v>913</v>
      </c>
      <c r="C702" s="86" t="s">
        <v>34</v>
      </c>
      <c r="D702" s="19"/>
      <c r="E702" s="19"/>
      <c r="F702" s="18"/>
      <c r="G702" s="64"/>
      <c r="H702" s="18"/>
      <c r="I702" s="85"/>
      <c r="J702" s="18"/>
      <c r="K702" s="100"/>
      <c r="L702" s="18"/>
      <c r="M702" s="120"/>
      <c r="N702" s="18"/>
      <c r="O702" s="100">
        <v>3160</v>
      </c>
      <c r="P702" s="18">
        <f t="shared" si="191"/>
        <v>3160</v>
      </c>
      <c r="Q702" s="85">
        <v>-1896</v>
      </c>
      <c r="R702" s="18">
        <f t="shared" si="188"/>
        <v>1264</v>
      </c>
      <c r="S702" s="121"/>
      <c r="T702" s="18">
        <f t="shared" si="186"/>
        <v>1264</v>
      </c>
      <c r="U702" s="121"/>
      <c r="V702" s="18">
        <f t="shared" si="184"/>
        <v>1264</v>
      </c>
      <c r="W702" s="121"/>
      <c r="X702" s="18">
        <f t="shared" si="180"/>
        <v>1264</v>
      </c>
      <c r="Z702" s="43">
        <f>X702+Y702</f>
        <v>1264</v>
      </c>
      <c r="AA702" s="43"/>
    </row>
    <row r="703" spans="1:27" x14ac:dyDescent="0.25">
      <c r="A703" s="125" t="s">
        <v>884</v>
      </c>
      <c r="B703" s="128" t="s">
        <v>914</v>
      </c>
      <c r="C703" s="27"/>
      <c r="D703" s="19"/>
      <c r="E703" s="19"/>
      <c r="F703" s="18"/>
      <c r="G703" s="64"/>
      <c r="H703" s="18"/>
      <c r="I703" s="85"/>
      <c r="J703" s="18"/>
      <c r="K703" s="100"/>
      <c r="L703" s="18"/>
      <c r="M703" s="120"/>
      <c r="N703" s="18"/>
      <c r="O703" s="84">
        <f t="shared" ref="O703:W703" si="192">O704</f>
        <v>500</v>
      </c>
      <c r="P703" s="18">
        <f t="shared" si="191"/>
        <v>500</v>
      </c>
      <c r="Q703" s="84">
        <f t="shared" si="192"/>
        <v>-300</v>
      </c>
      <c r="R703" s="18">
        <f t="shared" si="188"/>
        <v>200</v>
      </c>
      <c r="S703" s="84">
        <f t="shared" si="192"/>
        <v>0</v>
      </c>
      <c r="T703" s="18">
        <f t="shared" si="186"/>
        <v>200</v>
      </c>
      <c r="U703" s="84">
        <f t="shared" si="192"/>
        <v>0</v>
      </c>
      <c r="V703" s="18">
        <f t="shared" si="184"/>
        <v>200</v>
      </c>
      <c r="W703" s="84">
        <f t="shared" si="192"/>
        <v>0</v>
      </c>
      <c r="X703" s="18">
        <f t="shared" si="180"/>
        <v>200</v>
      </c>
    </row>
    <row r="704" spans="1:27" x14ac:dyDescent="0.25">
      <c r="A704" s="7" t="s">
        <v>54</v>
      </c>
      <c r="B704" s="130" t="s">
        <v>914</v>
      </c>
      <c r="C704" s="86" t="s">
        <v>34</v>
      </c>
      <c r="D704" s="19"/>
      <c r="E704" s="19"/>
      <c r="F704" s="18"/>
      <c r="G704" s="64"/>
      <c r="H704" s="18"/>
      <c r="I704" s="85"/>
      <c r="J704" s="18"/>
      <c r="K704" s="100"/>
      <c r="L704" s="18"/>
      <c r="M704" s="120"/>
      <c r="N704" s="18"/>
      <c r="O704" s="100">
        <v>500</v>
      </c>
      <c r="P704" s="18">
        <f t="shared" si="191"/>
        <v>500</v>
      </c>
      <c r="Q704" s="85">
        <v>-300</v>
      </c>
      <c r="R704" s="18">
        <f t="shared" si="188"/>
        <v>200</v>
      </c>
      <c r="S704" s="121"/>
      <c r="T704" s="18">
        <f t="shared" si="186"/>
        <v>200</v>
      </c>
      <c r="U704" s="121"/>
      <c r="V704" s="18">
        <f t="shared" si="184"/>
        <v>200</v>
      </c>
      <c r="W704" s="121"/>
      <c r="X704" s="18">
        <f t="shared" si="180"/>
        <v>200</v>
      </c>
      <c r="Z704" s="43">
        <f>X704+Y704</f>
        <v>200</v>
      </c>
      <c r="AA704" s="43"/>
    </row>
    <row r="705" spans="1:27" x14ac:dyDescent="0.25">
      <c r="A705" s="125" t="s">
        <v>885</v>
      </c>
      <c r="B705" s="128" t="s">
        <v>915</v>
      </c>
      <c r="C705" s="27"/>
      <c r="D705" s="19"/>
      <c r="E705" s="19"/>
      <c r="F705" s="18"/>
      <c r="G705" s="64"/>
      <c r="H705" s="18"/>
      <c r="I705" s="85"/>
      <c r="J705" s="18"/>
      <c r="K705" s="100"/>
      <c r="L705" s="18"/>
      <c r="M705" s="120"/>
      <c r="N705" s="18"/>
      <c r="O705" s="84">
        <f t="shared" ref="O705:W705" si="193">O706</f>
        <v>830</v>
      </c>
      <c r="P705" s="18">
        <f t="shared" si="191"/>
        <v>830</v>
      </c>
      <c r="Q705" s="84">
        <f t="shared" si="193"/>
        <v>-498</v>
      </c>
      <c r="R705" s="18">
        <f t="shared" si="188"/>
        <v>332</v>
      </c>
      <c r="S705" s="84">
        <f t="shared" si="193"/>
        <v>0</v>
      </c>
      <c r="T705" s="18">
        <f t="shared" si="186"/>
        <v>332</v>
      </c>
      <c r="U705" s="84">
        <f t="shared" si="193"/>
        <v>0</v>
      </c>
      <c r="V705" s="18">
        <f t="shared" si="184"/>
        <v>332</v>
      </c>
      <c r="W705" s="84">
        <f t="shared" si="193"/>
        <v>0</v>
      </c>
      <c r="X705" s="18">
        <f t="shared" si="180"/>
        <v>332</v>
      </c>
    </row>
    <row r="706" spans="1:27" x14ac:dyDescent="0.25">
      <c r="A706" s="7" t="s">
        <v>54</v>
      </c>
      <c r="B706" s="130" t="s">
        <v>915</v>
      </c>
      <c r="C706" s="86" t="s">
        <v>34</v>
      </c>
      <c r="D706" s="19"/>
      <c r="E706" s="19"/>
      <c r="F706" s="18"/>
      <c r="G706" s="64"/>
      <c r="H706" s="18"/>
      <c r="I706" s="85"/>
      <c r="J706" s="18"/>
      <c r="K706" s="100"/>
      <c r="L706" s="18"/>
      <c r="M706" s="120"/>
      <c r="N706" s="18"/>
      <c r="O706" s="100">
        <v>830</v>
      </c>
      <c r="P706" s="18">
        <f t="shared" si="191"/>
        <v>830</v>
      </c>
      <c r="Q706" s="85">
        <v>-498</v>
      </c>
      <c r="R706" s="18">
        <f t="shared" si="188"/>
        <v>332</v>
      </c>
      <c r="S706" s="121"/>
      <c r="T706" s="18">
        <f t="shared" si="186"/>
        <v>332</v>
      </c>
      <c r="U706" s="121"/>
      <c r="V706" s="18">
        <f t="shared" si="184"/>
        <v>332</v>
      </c>
      <c r="W706" s="121"/>
      <c r="X706" s="18">
        <f t="shared" si="180"/>
        <v>332</v>
      </c>
      <c r="Z706" s="43">
        <f>X706+Y706</f>
        <v>332</v>
      </c>
      <c r="AA706" s="43"/>
    </row>
    <row r="707" spans="1:27" x14ac:dyDescent="0.25">
      <c r="A707" s="125" t="s">
        <v>886</v>
      </c>
      <c r="B707" s="128" t="s">
        <v>916</v>
      </c>
      <c r="C707" s="27"/>
      <c r="D707" s="19"/>
      <c r="E707" s="19"/>
      <c r="F707" s="18"/>
      <c r="G707" s="64"/>
      <c r="H707" s="18"/>
      <c r="I707" s="85"/>
      <c r="J707" s="18"/>
      <c r="K707" s="100"/>
      <c r="L707" s="18"/>
      <c r="M707" s="120"/>
      <c r="N707" s="18"/>
      <c r="O707" s="84">
        <f t="shared" ref="O707:W707" si="194">O708</f>
        <v>900</v>
      </c>
      <c r="P707" s="18">
        <f t="shared" si="191"/>
        <v>900</v>
      </c>
      <c r="Q707" s="84">
        <f t="shared" si="194"/>
        <v>-540</v>
      </c>
      <c r="R707" s="18">
        <f t="shared" si="188"/>
        <v>360</v>
      </c>
      <c r="S707" s="84">
        <f t="shared" si="194"/>
        <v>0</v>
      </c>
      <c r="T707" s="18">
        <f t="shared" si="186"/>
        <v>360</v>
      </c>
      <c r="U707" s="84">
        <f t="shared" si="194"/>
        <v>0</v>
      </c>
      <c r="V707" s="18">
        <f t="shared" si="184"/>
        <v>360</v>
      </c>
      <c r="W707" s="84">
        <f t="shared" si="194"/>
        <v>0</v>
      </c>
      <c r="X707" s="18">
        <f t="shared" si="180"/>
        <v>360</v>
      </c>
    </row>
    <row r="708" spans="1:27" x14ac:dyDescent="0.25">
      <c r="A708" s="7" t="s">
        <v>54</v>
      </c>
      <c r="B708" s="130" t="s">
        <v>916</v>
      </c>
      <c r="C708" s="86" t="s">
        <v>34</v>
      </c>
      <c r="D708" s="19"/>
      <c r="E708" s="19"/>
      <c r="F708" s="18"/>
      <c r="G708" s="64"/>
      <c r="H708" s="18"/>
      <c r="I708" s="85"/>
      <c r="J708" s="18"/>
      <c r="K708" s="100"/>
      <c r="L708" s="18"/>
      <c r="M708" s="120"/>
      <c r="N708" s="18"/>
      <c r="O708" s="100">
        <v>900</v>
      </c>
      <c r="P708" s="18">
        <f t="shared" si="191"/>
        <v>900</v>
      </c>
      <c r="Q708" s="85">
        <v>-540</v>
      </c>
      <c r="R708" s="18">
        <f t="shared" si="188"/>
        <v>360</v>
      </c>
      <c r="S708" s="121"/>
      <c r="T708" s="18">
        <f t="shared" si="186"/>
        <v>360</v>
      </c>
      <c r="U708" s="121"/>
      <c r="V708" s="18">
        <f t="shared" si="184"/>
        <v>360</v>
      </c>
      <c r="W708" s="121"/>
      <c r="X708" s="18">
        <f t="shared" si="180"/>
        <v>360</v>
      </c>
      <c r="Z708" s="43">
        <f>X708+Y708</f>
        <v>360</v>
      </c>
      <c r="AA708" s="43"/>
    </row>
    <row r="709" spans="1:27" x14ac:dyDescent="0.25">
      <c r="A709" s="125" t="s">
        <v>887</v>
      </c>
      <c r="B709" s="128" t="s">
        <v>917</v>
      </c>
      <c r="C709" s="27"/>
      <c r="D709" s="19"/>
      <c r="E709" s="19"/>
      <c r="F709" s="18"/>
      <c r="G709" s="64"/>
      <c r="H709" s="18"/>
      <c r="I709" s="85"/>
      <c r="J709" s="18"/>
      <c r="K709" s="100"/>
      <c r="L709" s="18"/>
      <c r="M709" s="120"/>
      <c r="N709" s="18"/>
      <c r="O709" s="84">
        <f t="shared" ref="O709:W709" si="195">O710</f>
        <v>525</v>
      </c>
      <c r="P709" s="18">
        <f t="shared" si="191"/>
        <v>525</v>
      </c>
      <c r="Q709" s="84">
        <f t="shared" si="195"/>
        <v>-315</v>
      </c>
      <c r="R709" s="18">
        <f t="shared" si="188"/>
        <v>210</v>
      </c>
      <c r="S709" s="84">
        <f t="shared" si="195"/>
        <v>0</v>
      </c>
      <c r="T709" s="18">
        <f t="shared" si="186"/>
        <v>210</v>
      </c>
      <c r="U709" s="84">
        <f t="shared" si="195"/>
        <v>0</v>
      </c>
      <c r="V709" s="18">
        <f t="shared" si="184"/>
        <v>210</v>
      </c>
      <c r="W709" s="84">
        <f t="shared" si="195"/>
        <v>0</v>
      </c>
      <c r="X709" s="18">
        <f t="shared" si="180"/>
        <v>210</v>
      </c>
    </row>
    <row r="710" spans="1:27" x14ac:dyDescent="0.25">
      <c r="A710" s="7" t="s">
        <v>54</v>
      </c>
      <c r="B710" s="130" t="s">
        <v>917</v>
      </c>
      <c r="C710" s="86" t="s">
        <v>34</v>
      </c>
      <c r="D710" s="19"/>
      <c r="E710" s="19"/>
      <c r="F710" s="18"/>
      <c r="G710" s="64"/>
      <c r="H710" s="18"/>
      <c r="I710" s="85"/>
      <c r="J710" s="18"/>
      <c r="K710" s="100"/>
      <c r="L710" s="18"/>
      <c r="M710" s="120"/>
      <c r="N710" s="18"/>
      <c r="O710" s="100">
        <v>525</v>
      </c>
      <c r="P710" s="18">
        <f t="shared" si="191"/>
        <v>525</v>
      </c>
      <c r="Q710" s="85">
        <v>-315</v>
      </c>
      <c r="R710" s="18">
        <f t="shared" si="188"/>
        <v>210</v>
      </c>
      <c r="S710" s="121"/>
      <c r="T710" s="18">
        <f t="shared" si="186"/>
        <v>210</v>
      </c>
      <c r="U710" s="121"/>
      <c r="V710" s="18">
        <f t="shared" si="184"/>
        <v>210</v>
      </c>
      <c r="W710" s="121"/>
      <c r="X710" s="18">
        <f t="shared" si="180"/>
        <v>210</v>
      </c>
      <c r="Z710" s="43">
        <f>X710+Y710</f>
        <v>210</v>
      </c>
      <c r="AA710" s="43"/>
    </row>
    <row r="711" spans="1:27" x14ac:dyDescent="0.25">
      <c r="A711" s="127" t="s">
        <v>888</v>
      </c>
      <c r="B711" s="128" t="s">
        <v>918</v>
      </c>
      <c r="C711" s="27"/>
      <c r="D711" s="19"/>
      <c r="E711" s="19"/>
      <c r="F711" s="18"/>
      <c r="G711" s="64"/>
      <c r="H711" s="18"/>
      <c r="I711" s="85"/>
      <c r="J711" s="18"/>
      <c r="K711" s="100"/>
      <c r="L711" s="18"/>
      <c r="M711" s="120"/>
      <c r="N711" s="18"/>
      <c r="O711" s="84">
        <f t="shared" ref="O711:W711" si="196">O712</f>
        <v>6661</v>
      </c>
      <c r="P711" s="18">
        <f t="shared" si="191"/>
        <v>6661</v>
      </c>
      <c r="Q711" s="84">
        <f t="shared" si="196"/>
        <v>-3996.6</v>
      </c>
      <c r="R711" s="18">
        <f t="shared" si="188"/>
        <v>2664.4</v>
      </c>
      <c r="S711" s="84">
        <f t="shared" si="196"/>
        <v>0</v>
      </c>
      <c r="T711" s="18">
        <f t="shared" si="186"/>
        <v>2664.4</v>
      </c>
      <c r="U711" s="84">
        <f t="shared" si="196"/>
        <v>0</v>
      </c>
      <c r="V711" s="18">
        <f t="shared" si="184"/>
        <v>2664.4</v>
      </c>
      <c r="W711" s="84">
        <f t="shared" si="196"/>
        <v>0</v>
      </c>
      <c r="X711" s="18">
        <f t="shared" si="180"/>
        <v>2664.4</v>
      </c>
    </row>
    <row r="712" spans="1:27" x14ac:dyDescent="0.25">
      <c r="A712" s="7" t="s">
        <v>54</v>
      </c>
      <c r="B712" s="130" t="s">
        <v>918</v>
      </c>
      <c r="C712" s="86" t="s">
        <v>34</v>
      </c>
      <c r="D712" s="19"/>
      <c r="E712" s="19"/>
      <c r="F712" s="18"/>
      <c r="G712" s="64"/>
      <c r="H712" s="18"/>
      <c r="I712" s="85"/>
      <c r="J712" s="18"/>
      <c r="K712" s="100"/>
      <c r="L712" s="18"/>
      <c r="M712" s="120"/>
      <c r="N712" s="18"/>
      <c r="O712" s="100">
        <v>6661</v>
      </c>
      <c r="P712" s="18">
        <f t="shared" si="191"/>
        <v>6661</v>
      </c>
      <c r="Q712" s="85">
        <v>-3996.6</v>
      </c>
      <c r="R712" s="18">
        <f t="shared" si="188"/>
        <v>2664.4</v>
      </c>
      <c r="S712" s="121"/>
      <c r="T712" s="18">
        <f t="shared" si="186"/>
        <v>2664.4</v>
      </c>
      <c r="U712" s="121"/>
      <c r="V712" s="18">
        <f t="shared" si="184"/>
        <v>2664.4</v>
      </c>
      <c r="W712" s="121"/>
      <c r="X712" s="18">
        <f t="shared" si="180"/>
        <v>2664.4</v>
      </c>
      <c r="Z712" s="43">
        <f>X712+Y712</f>
        <v>2664.4</v>
      </c>
      <c r="AA712" s="43"/>
    </row>
    <row r="713" spans="1:27" x14ac:dyDescent="0.25">
      <c r="A713" s="125" t="s">
        <v>889</v>
      </c>
      <c r="B713" s="128" t="s">
        <v>919</v>
      </c>
      <c r="C713" s="27"/>
      <c r="D713" s="19"/>
      <c r="E713" s="19"/>
      <c r="F713" s="18"/>
      <c r="G713" s="64"/>
      <c r="H713" s="18"/>
      <c r="I713" s="85"/>
      <c r="J713" s="18"/>
      <c r="K713" s="100"/>
      <c r="L713" s="18"/>
      <c r="M713" s="120"/>
      <c r="N713" s="18"/>
      <c r="O713" s="84">
        <f t="shared" ref="O713:W713" si="197">O714</f>
        <v>7045</v>
      </c>
      <c r="P713" s="18">
        <f t="shared" si="191"/>
        <v>7045</v>
      </c>
      <c r="Q713" s="84">
        <f t="shared" si="197"/>
        <v>-4227</v>
      </c>
      <c r="R713" s="18">
        <f t="shared" si="188"/>
        <v>2818</v>
      </c>
      <c r="S713" s="84">
        <f t="shared" si="197"/>
        <v>0</v>
      </c>
      <c r="T713" s="18">
        <f t="shared" si="186"/>
        <v>2818</v>
      </c>
      <c r="U713" s="84">
        <f t="shared" si="197"/>
        <v>0</v>
      </c>
      <c r="V713" s="18">
        <f t="shared" si="184"/>
        <v>2818</v>
      </c>
      <c r="W713" s="84">
        <f t="shared" si="197"/>
        <v>0</v>
      </c>
      <c r="X713" s="18">
        <f t="shared" si="180"/>
        <v>2818</v>
      </c>
    </row>
    <row r="714" spans="1:27" x14ac:dyDescent="0.25">
      <c r="A714" s="7" t="s">
        <v>54</v>
      </c>
      <c r="B714" s="130" t="s">
        <v>919</v>
      </c>
      <c r="C714" s="86" t="s">
        <v>34</v>
      </c>
      <c r="D714" s="19"/>
      <c r="E714" s="19"/>
      <c r="F714" s="18"/>
      <c r="G714" s="64"/>
      <c r="H714" s="18"/>
      <c r="I714" s="85"/>
      <c r="J714" s="18"/>
      <c r="K714" s="100"/>
      <c r="L714" s="18"/>
      <c r="M714" s="120"/>
      <c r="N714" s="18"/>
      <c r="O714" s="100">
        <v>7045</v>
      </c>
      <c r="P714" s="18">
        <f t="shared" si="191"/>
        <v>7045</v>
      </c>
      <c r="Q714" s="85">
        <v>-4227</v>
      </c>
      <c r="R714" s="18">
        <f t="shared" si="188"/>
        <v>2818</v>
      </c>
      <c r="S714" s="121"/>
      <c r="T714" s="18">
        <f t="shared" si="186"/>
        <v>2818</v>
      </c>
      <c r="U714" s="121"/>
      <c r="V714" s="18">
        <f t="shared" si="184"/>
        <v>2818</v>
      </c>
      <c r="W714" s="121"/>
      <c r="X714" s="18">
        <f t="shared" si="180"/>
        <v>2818</v>
      </c>
      <c r="Z714" s="43">
        <f>X714+Y714</f>
        <v>2818</v>
      </c>
      <c r="AA714" s="43"/>
    </row>
    <row r="715" spans="1:27" ht="24" x14ac:dyDescent="0.25">
      <c r="A715" s="125" t="s">
        <v>890</v>
      </c>
      <c r="B715" s="128" t="s">
        <v>920</v>
      </c>
      <c r="C715" s="27"/>
      <c r="D715" s="19"/>
      <c r="E715" s="19"/>
      <c r="F715" s="18"/>
      <c r="G715" s="64"/>
      <c r="H715" s="18"/>
      <c r="I715" s="85"/>
      <c r="J715" s="18"/>
      <c r="K715" s="100"/>
      <c r="L715" s="18"/>
      <c r="M715" s="120"/>
      <c r="N715" s="18"/>
      <c r="O715" s="84">
        <f t="shared" ref="O715:W715" si="198">O716</f>
        <v>2500</v>
      </c>
      <c r="P715" s="18">
        <f t="shared" si="191"/>
        <v>2500</v>
      </c>
      <c r="Q715" s="84">
        <f t="shared" si="198"/>
        <v>-1500</v>
      </c>
      <c r="R715" s="18">
        <f t="shared" si="188"/>
        <v>1000</v>
      </c>
      <c r="S715" s="84">
        <f t="shared" si="198"/>
        <v>0</v>
      </c>
      <c r="T715" s="18">
        <f t="shared" si="186"/>
        <v>1000</v>
      </c>
      <c r="U715" s="84">
        <f t="shared" si="198"/>
        <v>0</v>
      </c>
      <c r="V715" s="18">
        <f t="shared" si="184"/>
        <v>1000</v>
      </c>
      <c r="W715" s="84">
        <f t="shared" si="198"/>
        <v>0</v>
      </c>
      <c r="X715" s="18">
        <f t="shared" si="180"/>
        <v>1000</v>
      </c>
    </row>
    <row r="716" spans="1:27" x14ac:dyDescent="0.25">
      <c r="A716" s="7" t="s">
        <v>54</v>
      </c>
      <c r="B716" s="130" t="s">
        <v>920</v>
      </c>
      <c r="C716" s="86" t="s">
        <v>34</v>
      </c>
      <c r="D716" s="19"/>
      <c r="E716" s="19"/>
      <c r="F716" s="18"/>
      <c r="G716" s="64"/>
      <c r="H716" s="18"/>
      <c r="I716" s="85"/>
      <c r="J716" s="18"/>
      <c r="K716" s="100"/>
      <c r="L716" s="18"/>
      <c r="M716" s="120"/>
      <c r="N716" s="18"/>
      <c r="O716" s="100">
        <v>2500</v>
      </c>
      <c r="P716" s="18">
        <f t="shared" si="191"/>
        <v>2500</v>
      </c>
      <c r="Q716" s="85">
        <v>-1500</v>
      </c>
      <c r="R716" s="18">
        <f t="shared" si="188"/>
        <v>1000</v>
      </c>
      <c r="S716" s="121"/>
      <c r="T716" s="18">
        <f t="shared" si="186"/>
        <v>1000</v>
      </c>
      <c r="U716" s="121"/>
      <c r="V716" s="18">
        <f t="shared" si="184"/>
        <v>1000</v>
      </c>
      <c r="W716" s="121"/>
      <c r="X716" s="18">
        <f t="shared" si="180"/>
        <v>1000</v>
      </c>
      <c r="Z716" s="43">
        <f>X716+Y716</f>
        <v>1000</v>
      </c>
      <c r="AA716" s="43"/>
    </row>
    <row r="717" spans="1:27" ht="24" x14ac:dyDescent="0.25">
      <c r="A717" s="125" t="s">
        <v>921</v>
      </c>
      <c r="B717" s="133" t="s">
        <v>964</v>
      </c>
      <c r="C717" s="27"/>
      <c r="D717" s="19"/>
      <c r="E717" s="19"/>
      <c r="F717" s="18"/>
      <c r="G717" s="64"/>
      <c r="H717" s="18"/>
      <c r="I717" s="85"/>
      <c r="J717" s="18"/>
      <c r="K717" s="100"/>
      <c r="L717" s="18"/>
      <c r="M717" s="120"/>
      <c r="N717" s="18"/>
      <c r="O717" s="84">
        <f t="shared" ref="O717:W717" si="199">O718</f>
        <v>6850</v>
      </c>
      <c r="P717" s="18">
        <f t="shared" si="191"/>
        <v>6850</v>
      </c>
      <c r="Q717" s="84">
        <f t="shared" si="199"/>
        <v>-4110</v>
      </c>
      <c r="R717" s="18">
        <f t="shared" si="188"/>
        <v>2740</v>
      </c>
      <c r="S717" s="84">
        <f t="shared" si="199"/>
        <v>0</v>
      </c>
      <c r="T717" s="18">
        <f t="shared" si="186"/>
        <v>2740</v>
      </c>
      <c r="U717" s="84">
        <f t="shared" si="199"/>
        <v>0</v>
      </c>
      <c r="V717" s="18">
        <f t="shared" si="184"/>
        <v>2740</v>
      </c>
      <c r="W717" s="84">
        <f t="shared" si="199"/>
        <v>0</v>
      </c>
      <c r="X717" s="18">
        <f t="shared" si="180"/>
        <v>2740</v>
      </c>
    </row>
    <row r="718" spans="1:27" x14ac:dyDescent="0.25">
      <c r="A718" s="7" t="s">
        <v>54</v>
      </c>
      <c r="B718" s="132" t="s">
        <v>964</v>
      </c>
      <c r="C718" s="86" t="s">
        <v>34</v>
      </c>
      <c r="D718" s="19"/>
      <c r="E718" s="19"/>
      <c r="F718" s="18"/>
      <c r="G718" s="64"/>
      <c r="H718" s="18"/>
      <c r="I718" s="85"/>
      <c r="J718" s="18"/>
      <c r="K718" s="100"/>
      <c r="L718" s="18"/>
      <c r="M718" s="120"/>
      <c r="N718" s="18"/>
      <c r="O718" s="100">
        <v>6850</v>
      </c>
      <c r="P718" s="18">
        <f t="shared" si="191"/>
        <v>6850</v>
      </c>
      <c r="Q718" s="85">
        <v>-4110</v>
      </c>
      <c r="R718" s="18">
        <f t="shared" si="188"/>
        <v>2740</v>
      </c>
      <c r="S718" s="121"/>
      <c r="T718" s="18">
        <f t="shared" si="186"/>
        <v>2740</v>
      </c>
      <c r="U718" s="121"/>
      <c r="V718" s="18">
        <f t="shared" si="184"/>
        <v>2740</v>
      </c>
      <c r="W718" s="121"/>
      <c r="X718" s="18">
        <f t="shared" si="180"/>
        <v>2740</v>
      </c>
      <c r="Z718" s="43">
        <f>X718+Y718</f>
        <v>2740</v>
      </c>
      <c r="AA718" s="43"/>
    </row>
    <row r="719" spans="1:27" s="118" customFormat="1" ht="60.75" x14ac:dyDescent="0.25">
      <c r="A719" s="119" t="s">
        <v>922</v>
      </c>
      <c r="B719" s="128" t="s">
        <v>965</v>
      </c>
      <c r="C719" s="86"/>
      <c r="D719" s="64"/>
      <c r="E719" s="64"/>
      <c r="F719" s="47"/>
      <c r="G719" s="64"/>
      <c r="H719" s="47"/>
      <c r="I719" s="121"/>
      <c r="J719" s="47"/>
      <c r="K719" s="121"/>
      <c r="L719" s="47"/>
      <c r="M719" s="121"/>
      <c r="N719" s="47"/>
      <c r="O719" s="84">
        <f>O720</f>
        <v>0</v>
      </c>
      <c r="P719" s="18">
        <f t="shared" si="191"/>
        <v>0</v>
      </c>
      <c r="Q719" s="84">
        <f>Q720</f>
        <v>668</v>
      </c>
      <c r="R719" s="18">
        <f t="shared" si="188"/>
        <v>668</v>
      </c>
      <c r="S719" s="84">
        <f>S720</f>
        <v>0</v>
      </c>
      <c r="T719" s="18">
        <f t="shared" si="186"/>
        <v>668</v>
      </c>
      <c r="U719" s="84">
        <f>U720</f>
        <v>0</v>
      </c>
      <c r="V719" s="18">
        <f t="shared" si="184"/>
        <v>668</v>
      </c>
      <c r="W719" s="84">
        <f>W720</f>
        <v>0</v>
      </c>
      <c r="X719" s="18">
        <f t="shared" si="180"/>
        <v>668</v>
      </c>
      <c r="Y719" s="163"/>
    </row>
    <row r="720" spans="1:27" s="118" customFormat="1" x14ac:dyDescent="0.25">
      <c r="A720" s="7" t="s">
        <v>54</v>
      </c>
      <c r="B720" s="130" t="s">
        <v>965</v>
      </c>
      <c r="C720" s="86" t="s">
        <v>34</v>
      </c>
      <c r="D720" s="64"/>
      <c r="E720" s="64"/>
      <c r="F720" s="47"/>
      <c r="G720" s="64"/>
      <c r="H720" s="47"/>
      <c r="I720" s="121"/>
      <c r="J720" s="47"/>
      <c r="K720" s="121"/>
      <c r="L720" s="47"/>
      <c r="M720" s="121"/>
      <c r="N720" s="47"/>
      <c r="O720" s="84"/>
      <c r="P720" s="18">
        <f t="shared" si="191"/>
        <v>0</v>
      </c>
      <c r="Q720" s="85">
        <v>668</v>
      </c>
      <c r="R720" s="18">
        <f t="shared" si="188"/>
        <v>668</v>
      </c>
      <c r="S720" s="121"/>
      <c r="T720" s="18">
        <f t="shared" si="186"/>
        <v>668</v>
      </c>
      <c r="U720" s="121"/>
      <c r="V720" s="18">
        <f t="shared" si="184"/>
        <v>668</v>
      </c>
      <c r="W720" s="121"/>
      <c r="X720" s="18">
        <f t="shared" si="180"/>
        <v>668</v>
      </c>
      <c r="Y720" s="163"/>
      <c r="Z720" s="43">
        <f>X720+Y720</f>
        <v>668</v>
      </c>
      <c r="AA720" s="163"/>
    </row>
    <row r="721" spans="1:27" x14ac:dyDescent="0.25">
      <c r="A721" s="125" t="s">
        <v>923</v>
      </c>
      <c r="B721" s="128" t="s">
        <v>966</v>
      </c>
      <c r="C721" s="27"/>
      <c r="D721" s="19"/>
      <c r="E721" s="19"/>
      <c r="F721" s="18"/>
      <c r="G721" s="64"/>
      <c r="H721" s="18"/>
      <c r="I721" s="85"/>
      <c r="J721" s="18"/>
      <c r="K721" s="100"/>
      <c r="L721" s="18"/>
      <c r="M721" s="120"/>
      <c r="N721" s="18"/>
      <c r="O721" s="84">
        <f t="shared" ref="O721:W721" si="200">O722</f>
        <v>1000</v>
      </c>
      <c r="P721" s="18">
        <f t="shared" si="191"/>
        <v>1000</v>
      </c>
      <c r="Q721" s="84">
        <f t="shared" si="200"/>
        <v>-600</v>
      </c>
      <c r="R721" s="18">
        <f t="shared" si="188"/>
        <v>400</v>
      </c>
      <c r="S721" s="84">
        <f t="shared" si="200"/>
        <v>0</v>
      </c>
      <c r="T721" s="18">
        <f t="shared" si="186"/>
        <v>400</v>
      </c>
      <c r="U721" s="84">
        <f t="shared" si="200"/>
        <v>0</v>
      </c>
      <c r="V721" s="18">
        <f t="shared" si="184"/>
        <v>400</v>
      </c>
      <c r="W721" s="84">
        <f t="shared" si="200"/>
        <v>0</v>
      </c>
      <c r="X721" s="18">
        <f t="shared" si="180"/>
        <v>400</v>
      </c>
    </row>
    <row r="722" spans="1:27" x14ac:dyDescent="0.25">
      <c r="A722" s="7" t="s">
        <v>54</v>
      </c>
      <c r="B722" s="130" t="s">
        <v>966</v>
      </c>
      <c r="C722" s="86" t="s">
        <v>34</v>
      </c>
      <c r="D722" s="19"/>
      <c r="E722" s="19"/>
      <c r="F722" s="18"/>
      <c r="G722" s="64"/>
      <c r="H722" s="18"/>
      <c r="I722" s="85"/>
      <c r="J722" s="18"/>
      <c r="K722" s="100"/>
      <c r="L722" s="18"/>
      <c r="M722" s="120"/>
      <c r="N722" s="18"/>
      <c r="O722" s="100">
        <v>1000</v>
      </c>
      <c r="P722" s="18">
        <f t="shared" si="191"/>
        <v>1000</v>
      </c>
      <c r="Q722" s="85">
        <v>-600</v>
      </c>
      <c r="R722" s="18">
        <f t="shared" si="188"/>
        <v>400</v>
      </c>
      <c r="S722" s="121"/>
      <c r="T722" s="18">
        <f t="shared" si="186"/>
        <v>400</v>
      </c>
      <c r="U722" s="121"/>
      <c r="V722" s="18">
        <f t="shared" si="184"/>
        <v>400</v>
      </c>
      <c r="W722" s="121"/>
      <c r="X722" s="18">
        <f t="shared" si="180"/>
        <v>400</v>
      </c>
      <c r="Z722" s="43">
        <f>X722+Y722</f>
        <v>400</v>
      </c>
      <c r="AA722" s="43"/>
    </row>
    <row r="723" spans="1:27" x14ac:dyDescent="0.25">
      <c r="A723" s="125" t="s">
        <v>924</v>
      </c>
      <c r="B723" s="128" t="s">
        <v>967</v>
      </c>
      <c r="C723" s="27"/>
      <c r="D723" s="19"/>
      <c r="E723" s="19"/>
      <c r="F723" s="18"/>
      <c r="G723" s="64"/>
      <c r="H723" s="18"/>
      <c r="I723" s="85"/>
      <c r="J723" s="18"/>
      <c r="K723" s="100"/>
      <c r="L723" s="18"/>
      <c r="M723" s="120"/>
      <c r="N723" s="18"/>
      <c r="O723" s="84">
        <f t="shared" ref="O723:W723" si="201">O724</f>
        <v>1000</v>
      </c>
      <c r="P723" s="18">
        <f t="shared" si="191"/>
        <v>1000</v>
      </c>
      <c r="Q723" s="84">
        <f t="shared" si="201"/>
        <v>-600</v>
      </c>
      <c r="R723" s="18">
        <f t="shared" si="188"/>
        <v>400</v>
      </c>
      <c r="S723" s="84">
        <f t="shared" si="201"/>
        <v>0</v>
      </c>
      <c r="T723" s="18">
        <f t="shared" si="186"/>
        <v>400</v>
      </c>
      <c r="U723" s="84">
        <f t="shared" si="201"/>
        <v>0</v>
      </c>
      <c r="V723" s="18">
        <f t="shared" si="184"/>
        <v>400</v>
      </c>
      <c r="W723" s="84">
        <f t="shared" si="201"/>
        <v>0</v>
      </c>
      <c r="X723" s="18">
        <f t="shared" si="180"/>
        <v>400</v>
      </c>
    </row>
    <row r="724" spans="1:27" x14ac:dyDescent="0.25">
      <c r="A724" s="7" t="s">
        <v>54</v>
      </c>
      <c r="B724" s="130" t="s">
        <v>967</v>
      </c>
      <c r="C724" s="86" t="s">
        <v>34</v>
      </c>
      <c r="D724" s="19"/>
      <c r="E724" s="19"/>
      <c r="F724" s="18"/>
      <c r="G724" s="64"/>
      <c r="H724" s="18"/>
      <c r="I724" s="85"/>
      <c r="J724" s="18"/>
      <c r="K724" s="100"/>
      <c r="L724" s="18"/>
      <c r="M724" s="120"/>
      <c r="N724" s="18"/>
      <c r="O724" s="100">
        <v>1000</v>
      </c>
      <c r="P724" s="18">
        <f t="shared" si="191"/>
        <v>1000</v>
      </c>
      <c r="Q724" s="85">
        <v>-600</v>
      </c>
      <c r="R724" s="18">
        <f t="shared" si="188"/>
        <v>400</v>
      </c>
      <c r="S724" s="121"/>
      <c r="T724" s="18">
        <f t="shared" si="186"/>
        <v>400</v>
      </c>
      <c r="U724" s="121"/>
      <c r="V724" s="18">
        <f t="shared" si="184"/>
        <v>400</v>
      </c>
      <c r="W724" s="121"/>
      <c r="X724" s="18">
        <f t="shared" si="180"/>
        <v>400</v>
      </c>
      <c r="Z724" s="43">
        <f>X724+Y724</f>
        <v>400</v>
      </c>
      <c r="AA724" s="43"/>
    </row>
    <row r="725" spans="1:27" x14ac:dyDescent="0.25">
      <c r="A725" s="125" t="s">
        <v>925</v>
      </c>
      <c r="B725" s="128" t="s">
        <v>968</v>
      </c>
      <c r="C725" s="27"/>
      <c r="D725" s="19"/>
      <c r="E725" s="19"/>
      <c r="F725" s="18"/>
      <c r="G725" s="64"/>
      <c r="H725" s="18"/>
      <c r="I725" s="85"/>
      <c r="J725" s="18"/>
      <c r="K725" s="100"/>
      <c r="L725" s="18"/>
      <c r="M725" s="120"/>
      <c r="N725" s="18"/>
      <c r="O725" s="84">
        <f t="shared" ref="O725:W725" si="202">O726</f>
        <v>750</v>
      </c>
      <c r="P725" s="18">
        <f t="shared" si="191"/>
        <v>750</v>
      </c>
      <c r="Q725" s="84">
        <f t="shared" si="202"/>
        <v>-450</v>
      </c>
      <c r="R725" s="18">
        <f t="shared" si="188"/>
        <v>300</v>
      </c>
      <c r="S725" s="84">
        <f t="shared" si="202"/>
        <v>0</v>
      </c>
      <c r="T725" s="18">
        <f t="shared" si="186"/>
        <v>300</v>
      </c>
      <c r="U725" s="84">
        <f t="shared" si="202"/>
        <v>0</v>
      </c>
      <c r="V725" s="18">
        <f t="shared" si="184"/>
        <v>300</v>
      </c>
      <c r="W725" s="84">
        <f t="shared" si="202"/>
        <v>0</v>
      </c>
      <c r="X725" s="18">
        <f t="shared" si="180"/>
        <v>300</v>
      </c>
    </row>
    <row r="726" spans="1:27" x14ac:dyDescent="0.25">
      <c r="A726" s="7" t="s">
        <v>54</v>
      </c>
      <c r="B726" s="130" t="s">
        <v>968</v>
      </c>
      <c r="C726" s="86" t="s">
        <v>34</v>
      </c>
      <c r="D726" s="19"/>
      <c r="E726" s="19"/>
      <c r="F726" s="18"/>
      <c r="G726" s="64"/>
      <c r="H726" s="18"/>
      <c r="I726" s="85"/>
      <c r="J726" s="18"/>
      <c r="K726" s="100"/>
      <c r="L726" s="18"/>
      <c r="M726" s="120"/>
      <c r="N726" s="18"/>
      <c r="O726" s="100">
        <v>750</v>
      </c>
      <c r="P726" s="18">
        <f t="shared" si="191"/>
        <v>750</v>
      </c>
      <c r="Q726" s="85">
        <v>-450</v>
      </c>
      <c r="R726" s="18">
        <f t="shared" si="188"/>
        <v>300</v>
      </c>
      <c r="S726" s="121"/>
      <c r="T726" s="18">
        <f t="shared" si="186"/>
        <v>300</v>
      </c>
      <c r="U726" s="121"/>
      <c r="V726" s="18">
        <f t="shared" si="184"/>
        <v>300</v>
      </c>
      <c r="W726" s="121"/>
      <c r="X726" s="18">
        <f t="shared" si="180"/>
        <v>300</v>
      </c>
      <c r="Z726" s="43">
        <f>X726+Y726</f>
        <v>300</v>
      </c>
      <c r="AA726" s="43"/>
    </row>
    <row r="727" spans="1:27" ht="24" x14ac:dyDescent="0.25">
      <c r="A727" s="125" t="s">
        <v>926</v>
      </c>
      <c r="B727" s="128" t="s">
        <v>969</v>
      </c>
      <c r="C727" s="27"/>
      <c r="D727" s="19"/>
      <c r="E727" s="19"/>
      <c r="F727" s="18"/>
      <c r="G727" s="64"/>
      <c r="H727" s="18"/>
      <c r="I727" s="85"/>
      <c r="J727" s="18"/>
      <c r="K727" s="100"/>
      <c r="L727" s="18"/>
      <c r="M727" s="120"/>
      <c r="N727" s="18"/>
      <c r="O727" s="84">
        <f t="shared" ref="O727:W727" si="203">O728</f>
        <v>2500</v>
      </c>
      <c r="P727" s="18">
        <f t="shared" si="191"/>
        <v>2500</v>
      </c>
      <c r="Q727" s="84">
        <f t="shared" si="203"/>
        <v>-1500</v>
      </c>
      <c r="R727" s="18">
        <f t="shared" si="188"/>
        <v>1000</v>
      </c>
      <c r="S727" s="84">
        <f t="shared" si="203"/>
        <v>0</v>
      </c>
      <c r="T727" s="18">
        <f t="shared" si="186"/>
        <v>1000</v>
      </c>
      <c r="U727" s="84">
        <f t="shared" si="203"/>
        <v>0</v>
      </c>
      <c r="V727" s="18">
        <f t="shared" si="184"/>
        <v>1000</v>
      </c>
      <c r="W727" s="84">
        <f t="shared" si="203"/>
        <v>0</v>
      </c>
      <c r="X727" s="18">
        <f t="shared" si="180"/>
        <v>1000</v>
      </c>
    </row>
    <row r="728" spans="1:27" x14ac:dyDescent="0.25">
      <c r="A728" s="7" t="s">
        <v>54</v>
      </c>
      <c r="B728" s="130" t="s">
        <v>969</v>
      </c>
      <c r="C728" s="86" t="s">
        <v>34</v>
      </c>
      <c r="D728" s="19"/>
      <c r="E728" s="19"/>
      <c r="F728" s="18"/>
      <c r="G728" s="64"/>
      <c r="H728" s="18"/>
      <c r="I728" s="85"/>
      <c r="J728" s="18"/>
      <c r="K728" s="100"/>
      <c r="L728" s="18"/>
      <c r="M728" s="120"/>
      <c r="N728" s="18"/>
      <c r="O728" s="100">
        <v>2500</v>
      </c>
      <c r="P728" s="18">
        <f t="shared" si="191"/>
        <v>2500</v>
      </c>
      <c r="Q728" s="85">
        <v>-1500</v>
      </c>
      <c r="R728" s="18">
        <f t="shared" si="188"/>
        <v>1000</v>
      </c>
      <c r="S728" s="121"/>
      <c r="T728" s="18">
        <f t="shared" si="186"/>
        <v>1000</v>
      </c>
      <c r="U728" s="121"/>
      <c r="V728" s="18">
        <f t="shared" si="184"/>
        <v>1000</v>
      </c>
      <c r="W728" s="121"/>
      <c r="X728" s="18">
        <f t="shared" si="180"/>
        <v>1000</v>
      </c>
      <c r="Z728" s="43">
        <f>X728+Y728</f>
        <v>1000</v>
      </c>
      <c r="AA728" s="43"/>
    </row>
    <row r="729" spans="1:27" x14ac:dyDescent="0.25">
      <c r="A729" s="125" t="s">
        <v>927</v>
      </c>
      <c r="B729" s="128" t="s">
        <v>970</v>
      </c>
      <c r="C729" s="27"/>
      <c r="D729" s="19"/>
      <c r="E729" s="19"/>
      <c r="F729" s="18"/>
      <c r="G729" s="64"/>
      <c r="H729" s="18"/>
      <c r="I729" s="85"/>
      <c r="J729" s="18"/>
      <c r="K729" s="100"/>
      <c r="L729" s="18"/>
      <c r="M729" s="120"/>
      <c r="N729" s="18"/>
      <c r="O729" s="84">
        <f t="shared" ref="O729:W729" si="204">O730</f>
        <v>1592.5</v>
      </c>
      <c r="P729" s="18">
        <f t="shared" si="191"/>
        <v>1592.5</v>
      </c>
      <c r="Q729" s="84">
        <f t="shared" si="204"/>
        <v>-955.5</v>
      </c>
      <c r="R729" s="18">
        <f t="shared" si="188"/>
        <v>637</v>
      </c>
      <c r="S729" s="84">
        <f t="shared" si="204"/>
        <v>0</v>
      </c>
      <c r="T729" s="18">
        <f t="shared" si="186"/>
        <v>637</v>
      </c>
      <c r="U729" s="84">
        <f t="shared" si="204"/>
        <v>0</v>
      </c>
      <c r="V729" s="18">
        <f t="shared" si="184"/>
        <v>637</v>
      </c>
      <c r="W729" s="84">
        <f t="shared" si="204"/>
        <v>0</v>
      </c>
      <c r="X729" s="18">
        <f t="shared" si="180"/>
        <v>637</v>
      </c>
    </row>
    <row r="730" spans="1:27" x14ac:dyDescent="0.25">
      <c r="A730" s="7" t="s">
        <v>54</v>
      </c>
      <c r="B730" s="130" t="s">
        <v>970</v>
      </c>
      <c r="C730" s="86" t="s">
        <v>34</v>
      </c>
      <c r="D730" s="19"/>
      <c r="E730" s="19"/>
      <c r="F730" s="18"/>
      <c r="G730" s="64"/>
      <c r="H730" s="18"/>
      <c r="I730" s="85"/>
      <c r="J730" s="18"/>
      <c r="K730" s="100"/>
      <c r="L730" s="18"/>
      <c r="M730" s="120"/>
      <c r="N730" s="18"/>
      <c r="O730" s="100">
        <v>1592.5</v>
      </c>
      <c r="P730" s="18">
        <f t="shared" si="191"/>
        <v>1592.5</v>
      </c>
      <c r="Q730" s="85">
        <v>-955.5</v>
      </c>
      <c r="R730" s="18">
        <f t="shared" si="188"/>
        <v>637</v>
      </c>
      <c r="S730" s="121"/>
      <c r="T730" s="18">
        <f t="shared" si="186"/>
        <v>637</v>
      </c>
      <c r="U730" s="121"/>
      <c r="V730" s="18">
        <f t="shared" si="184"/>
        <v>637</v>
      </c>
      <c r="W730" s="121"/>
      <c r="X730" s="18">
        <f t="shared" si="180"/>
        <v>637</v>
      </c>
      <c r="Z730" s="43">
        <f>X730+Y730</f>
        <v>637</v>
      </c>
      <c r="AA730" s="43"/>
    </row>
    <row r="731" spans="1:27" x14ac:dyDescent="0.25">
      <c r="A731" s="125" t="s">
        <v>928</v>
      </c>
      <c r="B731" s="128" t="s">
        <v>971</v>
      </c>
      <c r="C731" s="27"/>
      <c r="D731" s="19"/>
      <c r="E731" s="19"/>
      <c r="F731" s="18"/>
      <c r="G731" s="64"/>
      <c r="H731" s="18"/>
      <c r="I731" s="85"/>
      <c r="J731" s="18"/>
      <c r="K731" s="100"/>
      <c r="L731" s="18"/>
      <c r="M731" s="120"/>
      <c r="N731" s="18"/>
      <c r="O731" s="84">
        <f t="shared" ref="O731:W731" si="205">O732</f>
        <v>682.5</v>
      </c>
      <c r="P731" s="18">
        <f t="shared" si="191"/>
        <v>682.5</v>
      </c>
      <c r="Q731" s="84">
        <f t="shared" si="205"/>
        <v>-409.5</v>
      </c>
      <c r="R731" s="18">
        <f t="shared" si="188"/>
        <v>273</v>
      </c>
      <c r="S731" s="84">
        <f t="shared" si="205"/>
        <v>0</v>
      </c>
      <c r="T731" s="18">
        <f t="shared" si="186"/>
        <v>273</v>
      </c>
      <c r="U731" s="84">
        <f t="shared" si="205"/>
        <v>0</v>
      </c>
      <c r="V731" s="18">
        <f t="shared" si="184"/>
        <v>273</v>
      </c>
      <c r="W731" s="84">
        <f t="shared" si="205"/>
        <v>0</v>
      </c>
      <c r="X731" s="18">
        <f t="shared" si="180"/>
        <v>273</v>
      </c>
    </row>
    <row r="732" spans="1:27" x14ac:dyDescent="0.25">
      <c r="A732" s="7" t="s">
        <v>54</v>
      </c>
      <c r="B732" s="130" t="s">
        <v>971</v>
      </c>
      <c r="C732" s="86" t="s">
        <v>34</v>
      </c>
      <c r="D732" s="19"/>
      <c r="E732" s="19"/>
      <c r="F732" s="18"/>
      <c r="G732" s="64"/>
      <c r="H732" s="18"/>
      <c r="I732" s="85"/>
      <c r="J732" s="18"/>
      <c r="K732" s="100"/>
      <c r="L732" s="18"/>
      <c r="M732" s="120"/>
      <c r="N732" s="18"/>
      <c r="O732" s="100">
        <v>682.5</v>
      </c>
      <c r="P732" s="18">
        <f t="shared" si="191"/>
        <v>682.5</v>
      </c>
      <c r="Q732" s="85">
        <v>-409.5</v>
      </c>
      <c r="R732" s="18">
        <f t="shared" si="188"/>
        <v>273</v>
      </c>
      <c r="S732" s="121"/>
      <c r="T732" s="18">
        <f t="shared" si="186"/>
        <v>273</v>
      </c>
      <c r="U732" s="121"/>
      <c r="V732" s="18">
        <f t="shared" si="184"/>
        <v>273</v>
      </c>
      <c r="W732" s="121"/>
      <c r="X732" s="18">
        <f t="shared" si="180"/>
        <v>273</v>
      </c>
      <c r="Z732" s="43">
        <f>X732+Y732</f>
        <v>273</v>
      </c>
      <c r="AA732" s="43"/>
    </row>
    <row r="733" spans="1:27" x14ac:dyDescent="0.25">
      <c r="A733" s="125" t="s">
        <v>929</v>
      </c>
      <c r="B733" s="128" t="s">
        <v>972</v>
      </c>
      <c r="C733" s="27"/>
      <c r="D733" s="19"/>
      <c r="E733" s="19"/>
      <c r="F733" s="18"/>
      <c r="G733" s="64"/>
      <c r="H733" s="18"/>
      <c r="I733" s="85"/>
      <c r="J733" s="18"/>
      <c r="K733" s="100"/>
      <c r="L733" s="18"/>
      <c r="M733" s="120"/>
      <c r="N733" s="18"/>
      <c r="O733" s="84">
        <f t="shared" ref="O733:W733" si="206">O734</f>
        <v>774</v>
      </c>
      <c r="P733" s="18">
        <f t="shared" si="191"/>
        <v>774</v>
      </c>
      <c r="Q733" s="84">
        <f t="shared" si="206"/>
        <v>-464.4</v>
      </c>
      <c r="R733" s="18">
        <f t="shared" si="188"/>
        <v>309.60000000000002</v>
      </c>
      <c r="S733" s="84">
        <f t="shared" si="206"/>
        <v>0</v>
      </c>
      <c r="T733" s="18">
        <f t="shared" si="186"/>
        <v>309.60000000000002</v>
      </c>
      <c r="U733" s="84">
        <f t="shared" si="206"/>
        <v>0</v>
      </c>
      <c r="V733" s="18">
        <f t="shared" si="184"/>
        <v>309.60000000000002</v>
      </c>
      <c r="W733" s="84">
        <f t="shared" si="206"/>
        <v>0</v>
      </c>
      <c r="X733" s="18">
        <f t="shared" si="180"/>
        <v>309.60000000000002</v>
      </c>
    </row>
    <row r="734" spans="1:27" x14ac:dyDescent="0.25">
      <c r="A734" s="7" t="s">
        <v>54</v>
      </c>
      <c r="B734" s="130" t="s">
        <v>972</v>
      </c>
      <c r="C734" s="86" t="s">
        <v>34</v>
      </c>
      <c r="D734" s="19"/>
      <c r="E734" s="19"/>
      <c r="F734" s="18"/>
      <c r="G734" s="64"/>
      <c r="H734" s="18"/>
      <c r="I734" s="85"/>
      <c r="J734" s="18"/>
      <c r="K734" s="100"/>
      <c r="L734" s="18"/>
      <c r="M734" s="120"/>
      <c r="N734" s="18"/>
      <c r="O734" s="100">
        <v>774</v>
      </c>
      <c r="P734" s="18">
        <f t="shared" si="191"/>
        <v>774</v>
      </c>
      <c r="Q734" s="85">
        <v>-464.4</v>
      </c>
      <c r="R734" s="18">
        <f t="shared" si="188"/>
        <v>309.60000000000002</v>
      </c>
      <c r="S734" s="121"/>
      <c r="T734" s="18">
        <f t="shared" si="186"/>
        <v>309.60000000000002</v>
      </c>
      <c r="U734" s="121"/>
      <c r="V734" s="18">
        <f t="shared" si="184"/>
        <v>309.60000000000002</v>
      </c>
      <c r="W734" s="121"/>
      <c r="X734" s="18">
        <f t="shared" si="180"/>
        <v>309.60000000000002</v>
      </c>
      <c r="Z734" s="43">
        <f>X734+Y734</f>
        <v>309.60000000000002</v>
      </c>
      <c r="AA734" s="43"/>
    </row>
    <row r="735" spans="1:27" x14ac:dyDescent="0.25">
      <c r="A735" s="125" t="s">
        <v>930</v>
      </c>
      <c r="B735" s="128" t="s">
        <v>973</v>
      </c>
      <c r="C735" s="27"/>
      <c r="D735" s="19"/>
      <c r="E735" s="19"/>
      <c r="F735" s="18"/>
      <c r="G735" s="64"/>
      <c r="H735" s="18"/>
      <c r="I735" s="85"/>
      <c r="J735" s="18"/>
      <c r="K735" s="100"/>
      <c r="L735" s="18"/>
      <c r="M735" s="120"/>
      <c r="N735" s="18"/>
      <c r="O735" s="84">
        <f t="shared" ref="O735:W735" si="207">O736</f>
        <v>570</v>
      </c>
      <c r="P735" s="18">
        <f t="shared" si="191"/>
        <v>570</v>
      </c>
      <c r="Q735" s="84">
        <f t="shared" si="207"/>
        <v>-342</v>
      </c>
      <c r="R735" s="18">
        <f t="shared" si="188"/>
        <v>228</v>
      </c>
      <c r="S735" s="84">
        <f t="shared" si="207"/>
        <v>0</v>
      </c>
      <c r="T735" s="18">
        <f t="shared" si="186"/>
        <v>228</v>
      </c>
      <c r="U735" s="84">
        <f t="shared" si="207"/>
        <v>0</v>
      </c>
      <c r="V735" s="18">
        <f t="shared" si="184"/>
        <v>228</v>
      </c>
      <c r="W735" s="84">
        <f t="shared" si="207"/>
        <v>0</v>
      </c>
      <c r="X735" s="18">
        <f t="shared" si="180"/>
        <v>228</v>
      </c>
    </row>
    <row r="736" spans="1:27" x14ac:dyDescent="0.25">
      <c r="A736" s="7" t="s">
        <v>54</v>
      </c>
      <c r="B736" s="130" t="s">
        <v>973</v>
      </c>
      <c r="C736" s="86" t="s">
        <v>34</v>
      </c>
      <c r="D736" s="19"/>
      <c r="E736" s="19"/>
      <c r="F736" s="18"/>
      <c r="G736" s="64"/>
      <c r="H736" s="18"/>
      <c r="I736" s="85"/>
      <c r="J736" s="18"/>
      <c r="K736" s="100"/>
      <c r="L736" s="18"/>
      <c r="M736" s="120"/>
      <c r="N736" s="18"/>
      <c r="O736" s="100">
        <v>570</v>
      </c>
      <c r="P736" s="18">
        <f t="shared" si="191"/>
        <v>570</v>
      </c>
      <c r="Q736" s="85">
        <v>-342</v>
      </c>
      <c r="R736" s="18">
        <f t="shared" si="188"/>
        <v>228</v>
      </c>
      <c r="S736" s="121"/>
      <c r="T736" s="18">
        <f t="shared" si="186"/>
        <v>228</v>
      </c>
      <c r="U736" s="121"/>
      <c r="V736" s="18">
        <f t="shared" si="184"/>
        <v>228</v>
      </c>
      <c r="W736" s="121"/>
      <c r="X736" s="18">
        <f t="shared" si="180"/>
        <v>228</v>
      </c>
      <c r="Z736" s="43">
        <f>X736+Y736</f>
        <v>228</v>
      </c>
      <c r="AA736" s="43"/>
    </row>
    <row r="737" spans="1:27" x14ac:dyDescent="0.25">
      <c r="A737" s="125" t="s">
        <v>931</v>
      </c>
      <c r="B737" s="128" t="s">
        <v>974</v>
      </c>
      <c r="C737" s="27"/>
      <c r="D737" s="19"/>
      <c r="E737" s="19"/>
      <c r="F737" s="18"/>
      <c r="G737" s="64"/>
      <c r="H737" s="18"/>
      <c r="I737" s="85"/>
      <c r="J737" s="18"/>
      <c r="K737" s="100"/>
      <c r="L737" s="18"/>
      <c r="M737" s="120"/>
      <c r="N737" s="18"/>
      <c r="O737" s="84">
        <f t="shared" ref="O737:W737" si="208">O738</f>
        <v>240</v>
      </c>
      <c r="P737" s="18">
        <f t="shared" si="191"/>
        <v>240</v>
      </c>
      <c r="Q737" s="84">
        <f t="shared" si="208"/>
        <v>-144</v>
      </c>
      <c r="R737" s="18">
        <f t="shared" si="188"/>
        <v>96</v>
      </c>
      <c r="S737" s="84">
        <f t="shared" si="208"/>
        <v>0</v>
      </c>
      <c r="T737" s="18">
        <f t="shared" si="186"/>
        <v>96</v>
      </c>
      <c r="U737" s="84">
        <f t="shared" si="208"/>
        <v>0</v>
      </c>
      <c r="V737" s="18">
        <f t="shared" si="184"/>
        <v>96</v>
      </c>
      <c r="W737" s="84">
        <f t="shared" si="208"/>
        <v>0</v>
      </c>
      <c r="X737" s="18">
        <f t="shared" si="180"/>
        <v>96</v>
      </c>
    </row>
    <row r="738" spans="1:27" x14ac:dyDescent="0.25">
      <c r="A738" s="7" t="s">
        <v>54</v>
      </c>
      <c r="B738" s="130" t="s">
        <v>974</v>
      </c>
      <c r="C738" s="86" t="s">
        <v>34</v>
      </c>
      <c r="D738" s="19"/>
      <c r="E738" s="19"/>
      <c r="F738" s="18"/>
      <c r="G738" s="64"/>
      <c r="H738" s="18"/>
      <c r="I738" s="85"/>
      <c r="J738" s="18"/>
      <c r="K738" s="100"/>
      <c r="L738" s="18"/>
      <c r="M738" s="120"/>
      <c r="N738" s="18"/>
      <c r="O738" s="100">
        <v>240</v>
      </c>
      <c r="P738" s="18">
        <f t="shared" si="191"/>
        <v>240</v>
      </c>
      <c r="Q738" s="85">
        <v>-144</v>
      </c>
      <c r="R738" s="18">
        <f t="shared" si="188"/>
        <v>96</v>
      </c>
      <c r="S738" s="121"/>
      <c r="T738" s="18">
        <f t="shared" si="186"/>
        <v>96</v>
      </c>
      <c r="U738" s="121"/>
      <c r="V738" s="18">
        <f t="shared" si="184"/>
        <v>96</v>
      </c>
      <c r="W738" s="121"/>
      <c r="X738" s="18">
        <f t="shared" si="180"/>
        <v>96</v>
      </c>
      <c r="Z738" s="43">
        <f>X738+Y738</f>
        <v>96</v>
      </c>
      <c r="AA738" s="43"/>
    </row>
    <row r="739" spans="1:27" ht="16.5" customHeight="1" x14ac:dyDescent="0.25">
      <c r="A739" s="125" t="s">
        <v>932</v>
      </c>
      <c r="B739" s="128" t="s">
        <v>975</v>
      </c>
      <c r="C739" s="27"/>
      <c r="D739" s="19"/>
      <c r="E739" s="19"/>
      <c r="F739" s="18"/>
      <c r="G739" s="64"/>
      <c r="H739" s="18"/>
      <c r="I739" s="85"/>
      <c r="J739" s="18"/>
      <c r="K739" s="100"/>
      <c r="L739" s="18"/>
      <c r="M739" s="120"/>
      <c r="N739" s="18"/>
      <c r="O739" s="84">
        <f t="shared" ref="O739:W739" si="209">O740</f>
        <v>400</v>
      </c>
      <c r="P739" s="18">
        <f t="shared" si="191"/>
        <v>400</v>
      </c>
      <c r="Q739" s="84">
        <f t="shared" si="209"/>
        <v>-240</v>
      </c>
      <c r="R739" s="18">
        <f t="shared" si="188"/>
        <v>160</v>
      </c>
      <c r="S739" s="84">
        <f t="shared" si="209"/>
        <v>0</v>
      </c>
      <c r="T739" s="18">
        <f t="shared" si="186"/>
        <v>160</v>
      </c>
      <c r="U739" s="84">
        <f t="shared" si="209"/>
        <v>0</v>
      </c>
      <c r="V739" s="18">
        <f t="shared" si="184"/>
        <v>160</v>
      </c>
      <c r="W739" s="84">
        <f t="shared" si="209"/>
        <v>0</v>
      </c>
      <c r="X739" s="18">
        <f t="shared" si="180"/>
        <v>160</v>
      </c>
    </row>
    <row r="740" spans="1:27" x14ac:dyDescent="0.25">
      <c r="A740" s="7" t="s">
        <v>54</v>
      </c>
      <c r="B740" s="130" t="s">
        <v>975</v>
      </c>
      <c r="C740" s="86" t="s">
        <v>34</v>
      </c>
      <c r="D740" s="19"/>
      <c r="E740" s="19"/>
      <c r="F740" s="18"/>
      <c r="G740" s="64"/>
      <c r="H740" s="18"/>
      <c r="I740" s="85"/>
      <c r="J740" s="18"/>
      <c r="K740" s="100"/>
      <c r="L740" s="18"/>
      <c r="M740" s="120"/>
      <c r="N740" s="18"/>
      <c r="O740" s="100">
        <v>400</v>
      </c>
      <c r="P740" s="18">
        <f t="shared" si="191"/>
        <v>400</v>
      </c>
      <c r="Q740" s="85">
        <v>-240</v>
      </c>
      <c r="R740" s="18">
        <f t="shared" si="188"/>
        <v>160</v>
      </c>
      <c r="S740" s="121"/>
      <c r="T740" s="18">
        <f t="shared" si="186"/>
        <v>160</v>
      </c>
      <c r="U740" s="121"/>
      <c r="V740" s="18">
        <f t="shared" si="184"/>
        <v>160</v>
      </c>
      <c r="W740" s="121"/>
      <c r="X740" s="18">
        <f t="shared" si="180"/>
        <v>160</v>
      </c>
      <c r="Z740" s="43">
        <f>X740+Y740</f>
        <v>160</v>
      </c>
      <c r="AA740" s="43"/>
    </row>
    <row r="741" spans="1:27" x14ac:dyDescent="0.25">
      <c r="A741" s="125" t="s">
        <v>933</v>
      </c>
      <c r="B741" s="128" t="s">
        <v>976</v>
      </c>
      <c r="C741" s="27"/>
      <c r="D741" s="19"/>
      <c r="E741" s="19"/>
      <c r="F741" s="18"/>
      <c r="G741" s="64"/>
      <c r="H741" s="18"/>
      <c r="I741" s="85"/>
      <c r="J741" s="18"/>
      <c r="K741" s="100"/>
      <c r="L741" s="18"/>
      <c r="M741" s="120"/>
      <c r="N741" s="18"/>
      <c r="O741" s="84">
        <f t="shared" ref="O741:W741" si="210">O742</f>
        <v>347.5</v>
      </c>
      <c r="P741" s="18">
        <f t="shared" si="191"/>
        <v>347.5</v>
      </c>
      <c r="Q741" s="84">
        <f t="shared" si="210"/>
        <v>-208.5</v>
      </c>
      <c r="R741" s="18">
        <f t="shared" si="188"/>
        <v>139</v>
      </c>
      <c r="S741" s="84">
        <f t="shared" si="210"/>
        <v>0</v>
      </c>
      <c r="T741" s="18">
        <f t="shared" si="186"/>
        <v>139</v>
      </c>
      <c r="U741" s="84">
        <f t="shared" si="210"/>
        <v>0</v>
      </c>
      <c r="V741" s="18">
        <f t="shared" si="184"/>
        <v>139</v>
      </c>
      <c r="W741" s="84">
        <f t="shared" si="210"/>
        <v>0</v>
      </c>
      <c r="X741" s="18">
        <f t="shared" si="180"/>
        <v>139</v>
      </c>
    </row>
    <row r="742" spans="1:27" x14ac:dyDescent="0.25">
      <c r="A742" s="7" t="s">
        <v>54</v>
      </c>
      <c r="B742" s="130" t="s">
        <v>976</v>
      </c>
      <c r="C742" s="86" t="s">
        <v>34</v>
      </c>
      <c r="D742" s="19"/>
      <c r="E742" s="19"/>
      <c r="F742" s="18"/>
      <c r="G742" s="64"/>
      <c r="H742" s="18"/>
      <c r="I742" s="85"/>
      <c r="J742" s="18"/>
      <c r="K742" s="100"/>
      <c r="L742" s="18"/>
      <c r="M742" s="120"/>
      <c r="N742" s="18"/>
      <c r="O742" s="100">
        <v>347.5</v>
      </c>
      <c r="P742" s="18">
        <f t="shared" si="191"/>
        <v>347.5</v>
      </c>
      <c r="Q742" s="85">
        <v>-208.5</v>
      </c>
      <c r="R742" s="18">
        <f t="shared" si="188"/>
        <v>139</v>
      </c>
      <c r="S742" s="121"/>
      <c r="T742" s="18">
        <f t="shared" si="186"/>
        <v>139</v>
      </c>
      <c r="U742" s="121"/>
      <c r="V742" s="18">
        <f t="shared" si="184"/>
        <v>139</v>
      </c>
      <c r="W742" s="121"/>
      <c r="X742" s="18">
        <f t="shared" si="180"/>
        <v>139</v>
      </c>
      <c r="Z742" s="43">
        <f>X742+Y742</f>
        <v>139</v>
      </c>
      <c r="AA742" s="43"/>
    </row>
    <row r="743" spans="1:27" x14ac:dyDescent="0.25">
      <c r="A743" s="125" t="s">
        <v>934</v>
      </c>
      <c r="B743" s="128" t="s">
        <v>977</v>
      </c>
      <c r="C743" s="27"/>
      <c r="D743" s="19"/>
      <c r="E743" s="19"/>
      <c r="F743" s="18"/>
      <c r="G743" s="64"/>
      <c r="H743" s="18"/>
      <c r="I743" s="85"/>
      <c r="J743" s="18"/>
      <c r="K743" s="100"/>
      <c r="L743" s="18"/>
      <c r="M743" s="120"/>
      <c r="N743" s="18"/>
      <c r="O743" s="84">
        <f t="shared" ref="O743:W743" si="211">O744</f>
        <v>1175</v>
      </c>
      <c r="P743" s="18">
        <f t="shared" si="191"/>
        <v>1175</v>
      </c>
      <c r="Q743" s="84">
        <f t="shared" si="211"/>
        <v>-705</v>
      </c>
      <c r="R743" s="18">
        <f t="shared" si="188"/>
        <v>470</v>
      </c>
      <c r="S743" s="84">
        <f t="shared" si="211"/>
        <v>0</v>
      </c>
      <c r="T743" s="18">
        <f t="shared" si="186"/>
        <v>470</v>
      </c>
      <c r="U743" s="84">
        <f t="shared" si="211"/>
        <v>0</v>
      </c>
      <c r="V743" s="18">
        <f t="shared" si="184"/>
        <v>470</v>
      </c>
      <c r="W743" s="84">
        <f t="shared" si="211"/>
        <v>0</v>
      </c>
      <c r="X743" s="18">
        <f t="shared" si="180"/>
        <v>470</v>
      </c>
    </row>
    <row r="744" spans="1:27" x14ac:dyDescent="0.25">
      <c r="A744" s="7" t="s">
        <v>54</v>
      </c>
      <c r="B744" s="130" t="s">
        <v>977</v>
      </c>
      <c r="C744" s="86" t="s">
        <v>34</v>
      </c>
      <c r="D744" s="19"/>
      <c r="E744" s="19"/>
      <c r="F744" s="18"/>
      <c r="G744" s="64"/>
      <c r="H744" s="18"/>
      <c r="I744" s="85"/>
      <c r="J744" s="18"/>
      <c r="K744" s="100"/>
      <c r="L744" s="18"/>
      <c r="M744" s="120"/>
      <c r="N744" s="18"/>
      <c r="O744" s="100">
        <v>1175</v>
      </c>
      <c r="P744" s="18">
        <f t="shared" si="191"/>
        <v>1175</v>
      </c>
      <c r="Q744" s="85">
        <v>-705</v>
      </c>
      <c r="R744" s="18">
        <f t="shared" si="188"/>
        <v>470</v>
      </c>
      <c r="S744" s="121"/>
      <c r="T744" s="18">
        <f t="shared" si="186"/>
        <v>470</v>
      </c>
      <c r="U744" s="121"/>
      <c r="V744" s="18">
        <f t="shared" si="184"/>
        <v>470</v>
      </c>
      <c r="W744" s="121"/>
      <c r="X744" s="18">
        <f t="shared" si="180"/>
        <v>470</v>
      </c>
      <c r="Z744" s="43">
        <f>X744+Y744</f>
        <v>470</v>
      </c>
      <c r="AA744" s="43"/>
    </row>
    <row r="745" spans="1:27" x14ac:dyDescent="0.25">
      <c r="A745" s="125" t="s">
        <v>935</v>
      </c>
      <c r="B745" s="128" t="s">
        <v>978</v>
      </c>
      <c r="C745" s="27"/>
      <c r="D745" s="19"/>
      <c r="E745" s="19"/>
      <c r="F745" s="18"/>
      <c r="G745" s="64"/>
      <c r="H745" s="18"/>
      <c r="I745" s="85"/>
      <c r="J745" s="18"/>
      <c r="K745" s="100"/>
      <c r="L745" s="18"/>
      <c r="M745" s="120"/>
      <c r="N745" s="18"/>
      <c r="O745" s="84">
        <f t="shared" ref="O745:W745" si="212">O746</f>
        <v>700</v>
      </c>
      <c r="P745" s="18">
        <f t="shared" si="191"/>
        <v>700</v>
      </c>
      <c r="Q745" s="84">
        <f t="shared" si="212"/>
        <v>-420</v>
      </c>
      <c r="R745" s="18">
        <f t="shared" si="188"/>
        <v>280</v>
      </c>
      <c r="S745" s="84">
        <f t="shared" si="212"/>
        <v>0</v>
      </c>
      <c r="T745" s="18">
        <f t="shared" si="186"/>
        <v>280</v>
      </c>
      <c r="U745" s="84">
        <f t="shared" si="212"/>
        <v>0</v>
      </c>
      <c r="V745" s="18">
        <f t="shared" si="184"/>
        <v>280</v>
      </c>
      <c r="W745" s="84">
        <f t="shared" si="212"/>
        <v>0</v>
      </c>
      <c r="X745" s="18">
        <f t="shared" si="180"/>
        <v>280</v>
      </c>
    </row>
    <row r="746" spans="1:27" x14ac:dyDescent="0.25">
      <c r="A746" s="7" t="s">
        <v>54</v>
      </c>
      <c r="B746" s="130" t="s">
        <v>978</v>
      </c>
      <c r="C746" s="86" t="s">
        <v>34</v>
      </c>
      <c r="D746" s="19"/>
      <c r="E746" s="19"/>
      <c r="F746" s="18"/>
      <c r="G746" s="64"/>
      <c r="H746" s="18"/>
      <c r="I746" s="85"/>
      <c r="J746" s="18"/>
      <c r="K746" s="100"/>
      <c r="L746" s="18"/>
      <c r="M746" s="120"/>
      <c r="N746" s="18"/>
      <c r="O746" s="100">
        <v>700</v>
      </c>
      <c r="P746" s="18">
        <f t="shared" si="191"/>
        <v>700</v>
      </c>
      <c r="Q746" s="85">
        <v>-420</v>
      </c>
      <c r="R746" s="18">
        <f t="shared" si="188"/>
        <v>280</v>
      </c>
      <c r="S746" s="121"/>
      <c r="T746" s="18">
        <f t="shared" si="186"/>
        <v>280</v>
      </c>
      <c r="U746" s="121"/>
      <c r="V746" s="18">
        <f t="shared" si="184"/>
        <v>280</v>
      </c>
      <c r="W746" s="121"/>
      <c r="X746" s="18">
        <f t="shared" si="180"/>
        <v>280</v>
      </c>
      <c r="Z746" s="43">
        <f>X746+Y746</f>
        <v>280</v>
      </c>
      <c r="AA746" s="43"/>
    </row>
    <row r="747" spans="1:27" x14ac:dyDescent="0.25">
      <c r="A747" s="125" t="s">
        <v>936</v>
      </c>
      <c r="B747" s="128" t="s">
        <v>979</v>
      </c>
      <c r="C747" s="27"/>
      <c r="D747" s="19"/>
      <c r="E747" s="19"/>
      <c r="F747" s="18"/>
      <c r="G747" s="64"/>
      <c r="H747" s="18"/>
      <c r="I747" s="85"/>
      <c r="J747" s="18"/>
      <c r="K747" s="100"/>
      <c r="L747" s="18"/>
      <c r="M747" s="120"/>
      <c r="N747" s="18"/>
      <c r="O747" s="84">
        <f t="shared" ref="O747:W747" si="213">O748</f>
        <v>600</v>
      </c>
      <c r="P747" s="18">
        <f t="shared" si="191"/>
        <v>600</v>
      </c>
      <c r="Q747" s="84">
        <f t="shared" si="213"/>
        <v>-360</v>
      </c>
      <c r="R747" s="18">
        <f t="shared" si="188"/>
        <v>240</v>
      </c>
      <c r="S747" s="84">
        <f t="shared" si="213"/>
        <v>0</v>
      </c>
      <c r="T747" s="18">
        <f t="shared" si="186"/>
        <v>240</v>
      </c>
      <c r="U747" s="84">
        <f t="shared" si="213"/>
        <v>0</v>
      </c>
      <c r="V747" s="18">
        <f t="shared" si="184"/>
        <v>240</v>
      </c>
      <c r="W747" s="84">
        <f t="shared" si="213"/>
        <v>0</v>
      </c>
      <c r="X747" s="18">
        <f t="shared" si="180"/>
        <v>240</v>
      </c>
    </row>
    <row r="748" spans="1:27" x14ac:dyDescent="0.25">
      <c r="A748" s="7" t="s">
        <v>54</v>
      </c>
      <c r="B748" s="130" t="s">
        <v>979</v>
      </c>
      <c r="C748" s="86" t="s">
        <v>34</v>
      </c>
      <c r="D748" s="19"/>
      <c r="E748" s="19"/>
      <c r="F748" s="18"/>
      <c r="G748" s="64"/>
      <c r="H748" s="18"/>
      <c r="I748" s="85"/>
      <c r="J748" s="18"/>
      <c r="K748" s="100"/>
      <c r="L748" s="18"/>
      <c r="M748" s="120"/>
      <c r="N748" s="18"/>
      <c r="O748" s="100">
        <v>600</v>
      </c>
      <c r="P748" s="18">
        <f t="shared" si="191"/>
        <v>600</v>
      </c>
      <c r="Q748" s="85">
        <v>-360</v>
      </c>
      <c r="R748" s="18">
        <f t="shared" si="188"/>
        <v>240</v>
      </c>
      <c r="S748" s="121"/>
      <c r="T748" s="18">
        <f t="shared" si="186"/>
        <v>240</v>
      </c>
      <c r="U748" s="121"/>
      <c r="V748" s="18">
        <f t="shared" si="184"/>
        <v>240</v>
      </c>
      <c r="W748" s="121"/>
      <c r="X748" s="18">
        <f t="shared" si="180"/>
        <v>240</v>
      </c>
      <c r="Z748" s="43">
        <f>X748+Y748</f>
        <v>240</v>
      </c>
      <c r="AA748" s="43"/>
    </row>
    <row r="749" spans="1:27" x14ac:dyDescent="0.25">
      <c r="A749" s="125" t="s">
        <v>937</v>
      </c>
      <c r="B749" s="128" t="s">
        <v>980</v>
      </c>
      <c r="C749" s="27"/>
      <c r="D749" s="19"/>
      <c r="E749" s="19"/>
      <c r="F749" s="18"/>
      <c r="G749" s="64"/>
      <c r="H749" s="18"/>
      <c r="I749" s="85"/>
      <c r="J749" s="18"/>
      <c r="K749" s="100"/>
      <c r="L749" s="18"/>
      <c r="M749" s="120"/>
      <c r="N749" s="18"/>
      <c r="O749" s="84">
        <f t="shared" ref="O749:W749" si="214">O750</f>
        <v>500</v>
      </c>
      <c r="P749" s="18">
        <f t="shared" si="191"/>
        <v>500</v>
      </c>
      <c r="Q749" s="84">
        <f t="shared" si="214"/>
        <v>-300</v>
      </c>
      <c r="R749" s="18">
        <f t="shared" si="188"/>
        <v>200</v>
      </c>
      <c r="S749" s="84">
        <f t="shared" si="214"/>
        <v>0</v>
      </c>
      <c r="T749" s="18">
        <f t="shared" si="186"/>
        <v>200</v>
      </c>
      <c r="U749" s="84">
        <f t="shared" si="214"/>
        <v>0</v>
      </c>
      <c r="V749" s="18">
        <f t="shared" si="184"/>
        <v>200</v>
      </c>
      <c r="W749" s="84">
        <f t="shared" si="214"/>
        <v>0</v>
      </c>
      <c r="X749" s="18">
        <f t="shared" si="180"/>
        <v>200</v>
      </c>
    </row>
    <row r="750" spans="1:27" x14ac:dyDescent="0.25">
      <c r="A750" s="7" t="s">
        <v>54</v>
      </c>
      <c r="B750" s="130" t="s">
        <v>980</v>
      </c>
      <c r="C750" s="86" t="s">
        <v>34</v>
      </c>
      <c r="D750" s="19"/>
      <c r="E750" s="19"/>
      <c r="F750" s="18"/>
      <c r="G750" s="64"/>
      <c r="H750" s="18"/>
      <c r="I750" s="85"/>
      <c r="J750" s="18"/>
      <c r="K750" s="100"/>
      <c r="L750" s="18"/>
      <c r="M750" s="120"/>
      <c r="N750" s="18"/>
      <c r="O750" s="100">
        <v>500</v>
      </c>
      <c r="P750" s="18">
        <f t="shared" si="191"/>
        <v>500</v>
      </c>
      <c r="Q750" s="85">
        <v>-300</v>
      </c>
      <c r="R750" s="18">
        <f t="shared" si="188"/>
        <v>200</v>
      </c>
      <c r="S750" s="121"/>
      <c r="T750" s="18">
        <f t="shared" si="186"/>
        <v>200</v>
      </c>
      <c r="U750" s="121"/>
      <c r="V750" s="18">
        <f t="shared" si="184"/>
        <v>200</v>
      </c>
      <c r="W750" s="121"/>
      <c r="X750" s="18">
        <f t="shared" si="180"/>
        <v>200</v>
      </c>
      <c r="Z750" s="43">
        <f>X750+Y750</f>
        <v>200</v>
      </c>
      <c r="AA750" s="43"/>
    </row>
    <row r="751" spans="1:27" x14ac:dyDescent="0.25">
      <c r="A751" s="125" t="s">
        <v>938</v>
      </c>
      <c r="B751" s="128" t="s">
        <v>981</v>
      </c>
      <c r="C751" s="27"/>
      <c r="D751" s="19"/>
      <c r="E751" s="19"/>
      <c r="F751" s="18"/>
      <c r="G751" s="64"/>
      <c r="H751" s="18"/>
      <c r="I751" s="85"/>
      <c r="J751" s="18"/>
      <c r="K751" s="100"/>
      <c r="L751" s="18"/>
      <c r="M751" s="120"/>
      <c r="N751" s="18"/>
      <c r="O751" s="84">
        <f t="shared" ref="O751:W751" si="215">O752</f>
        <v>150</v>
      </c>
      <c r="P751" s="18">
        <f t="shared" si="191"/>
        <v>150</v>
      </c>
      <c r="Q751" s="84">
        <f t="shared" si="215"/>
        <v>-90</v>
      </c>
      <c r="R751" s="18">
        <f t="shared" si="188"/>
        <v>60</v>
      </c>
      <c r="S751" s="84">
        <f t="shared" si="215"/>
        <v>0</v>
      </c>
      <c r="T751" s="18">
        <f t="shared" si="186"/>
        <v>60</v>
      </c>
      <c r="U751" s="84">
        <f t="shared" si="215"/>
        <v>0</v>
      </c>
      <c r="V751" s="18">
        <f t="shared" si="184"/>
        <v>60</v>
      </c>
      <c r="W751" s="84">
        <f t="shared" si="215"/>
        <v>0</v>
      </c>
      <c r="X751" s="18">
        <f t="shared" si="180"/>
        <v>60</v>
      </c>
    </row>
    <row r="752" spans="1:27" x14ac:dyDescent="0.25">
      <c r="A752" s="7" t="s">
        <v>54</v>
      </c>
      <c r="B752" s="130" t="s">
        <v>981</v>
      </c>
      <c r="C752" s="86" t="s">
        <v>34</v>
      </c>
      <c r="D752" s="19"/>
      <c r="E752" s="19"/>
      <c r="F752" s="18"/>
      <c r="G752" s="64"/>
      <c r="H752" s="18"/>
      <c r="I752" s="85"/>
      <c r="J752" s="18"/>
      <c r="K752" s="100"/>
      <c r="L752" s="18"/>
      <c r="M752" s="120"/>
      <c r="N752" s="18"/>
      <c r="O752" s="100">
        <v>150</v>
      </c>
      <c r="P752" s="18">
        <f t="shared" si="191"/>
        <v>150</v>
      </c>
      <c r="Q752" s="85">
        <v>-90</v>
      </c>
      <c r="R752" s="18">
        <f t="shared" si="188"/>
        <v>60</v>
      </c>
      <c r="S752" s="121"/>
      <c r="T752" s="18">
        <f t="shared" si="186"/>
        <v>60</v>
      </c>
      <c r="U752" s="121"/>
      <c r="V752" s="18">
        <f t="shared" si="184"/>
        <v>60</v>
      </c>
      <c r="W752" s="121"/>
      <c r="X752" s="18">
        <f t="shared" si="180"/>
        <v>60</v>
      </c>
      <c r="Z752" s="43">
        <f>X752+Y752</f>
        <v>60</v>
      </c>
      <c r="AA752" s="43"/>
    </row>
    <row r="753" spans="1:27" ht="24" x14ac:dyDescent="0.25">
      <c r="A753" s="125" t="s">
        <v>939</v>
      </c>
      <c r="B753" s="128" t="s">
        <v>982</v>
      </c>
      <c r="C753" s="27"/>
      <c r="D753" s="19"/>
      <c r="E753" s="19"/>
      <c r="F753" s="18"/>
      <c r="G753" s="64"/>
      <c r="H753" s="18"/>
      <c r="I753" s="85"/>
      <c r="J753" s="18"/>
      <c r="K753" s="100"/>
      <c r="L753" s="18"/>
      <c r="M753" s="120"/>
      <c r="N753" s="18"/>
      <c r="O753" s="84">
        <f t="shared" ref="O753:W753" si="216">O754</f>
        <v>5882.5</v>
      </c>
      <c r="P753" s="18">
        <f t="shared" si="191"/>
        <v>5882.5</v>
      </c>
      <c r="Q753" s="84">
        <f t="shared" si="216"/>
        <v>-3529.5</v>
      </c>
      <c r="R753" s="18">
        <f t="shared" si="188"/>
        <v>2353</v>
      </c>
      <c r="S753" s="84">
        <f t="shared" si="216"/>
        <v>0</v>
      </c>
      <c r="T753" s="18">
        <f t="shared" si="186"/>
        <v>2353</v>
      </c>
      <c r="U753" s="84">
        <f t="shared" si="216"/>
        <v>0</v>
      </c>
      <c r="V753" s="18">
        <f t="shared" si="184"/>
        <v>2353</v>
      </c>
      <c r="W753" s="84">
        <f t="shared" si="216"/>
        <v>0</v>
      </c>
      <c r="X753" s="18">
        <f t="shared" si="180"/>
        <v>2353</v>
      </c>
    </row>
    <row r="754" spans="1:27" x14ac:dyDescent="0.25">
      <c r="A754" s="7" t="s">
        <v>54</v>
      </c>
      <c r="B754" s="130" t="s">
        <v>982</v>
      </c>
      <c r="C754" s="86" t="s">
        <v>34</v>
      </c>
      <c r="D754" s="19"/>
      <c r="E754" s="19"/>
      <c r="F754" s="18"/>
      <c r="G754" s="64"/>
      <c r="H754" s="18"/>
      <c r="I754" s="85"/>
      <c r="J754" s="18"/>
      <c r="K754" s="100"/>
      <c r="L754" s="18"/>
      <c r="M754" s="120"/>
      <c r="N754" s="18"/>
      <c r="O754" s="100">
        <v>5882.5</v>
      </c>
      <c r="P754" s="18">
        <f t="shared" si="191"/>
        <v>5882.5</v>
      </c>
      <c r="Q754" s="85">
        <v>-3529.5</v>
      </c>
      <c r="R754" s="18">
        <f t="shared" si="188"/>
        <v>2353</v>
      </c>
      <c r="S754" s="121"/>
      <c r="T754" s="18">
        <f t="shared" si="186"/>
        <v>2353</v>
      </c>
      <c r="U754" s="121"/>
      <c r="V754" s="18">
        <f t="shared" si="184"/>
        <v>2353</v>
      </c>
      <c r="W754" s="121"/>
      <c r="X754" s="18">
        <f t="shared" si="180"/>
        <v>2353</v>
      </c>
      <c r="Z754" s="43">
        <f>X754+Y754</f>
        <v>2353</v>
      </c>
      <c r="AA754" s="43"/>
    </row>
    <row r="755" spans="1:27" x14ac:dyDescent="0.25">
      <c r="A755" s="125" t="s">
        <v>940</v>
      </c>
      <c r="B755" s="128" t="s">
        <v>983</v>
      </c>
      <c r="C755" s="27"/>
      <c r="D755" s="19"/>
      <c r="E755" s="19"/>
      <c r="F755" s="18"/>
      <c r="G755" s="64"/>
      <c r="H755" s="18"/>
      <c r="I755" s="85"/>
      <c r="J755" s="18"/>
      <c r="K755" s="100"/>
      <c r="L755" s="18"/>
      <c r="M755" s="120"/>
      <c r="N755" s="18"/>
      <c r="O755" s="84">
        <f t="shared" ref="O755:W755" si="217">O756</f>
        <v>545.70000000000005</v>
      </c>
      <c r="P755" s="18">
        <f t="shared" si="191"/>
        <v>545.70000000000005</v>
      </c>
      <c r="Q755" s="84">
        <f t="shared" si="217"/>
        <v>-327.39999999999998</v>
      </c>
      <c r="R755" s="18">
        <f t="shared" si="188"/>
        <v>218.30000000000007</v>
      </c>
      <c r="S755" s="84">
        <f t="shared" si="217"/>
        <v>0</v>
      </c>
      <c r="T755" s="18">
        <f t="shared" si="186"/>
        <v>218.30000000000007</v>
      </c>
      <c r="U755" s="84">
        <f t="shared" si="217"/>
        <v>0</v>
      </c>
      <c r="V755" s="18">
        <f t="shared" si="184"/>
        <v>218.30000000000007</v>
      </c>
      <c r="W755" s="84">
        <f t="shared" si="217"/>
        <v>0</v>
      </c>
      <c r="X755" s="18">
        <f t="shared" si="180"/>
        <v>218.30000000000007</v>
      </c>
    </row>
    <row r="756" spans="1:27" x14ac:dyDescent="0.25">
      <c r="A756" s="7" t="s">
        <v>54</v>
      </c>
      <c r="B756" s="130" t="s">
        <v>983</v>
      </c>
      <c r="C756" s="86" t="s">
        <v>34</v>
      </c>
      <c r="D756" s="19"/>
      <c r="E756" s="19"/>
      <c r="F756" s="18"/>
      <c r="G756" s="64"/>
      <c r="H756" s="18"/>
      <c r="I756" s="85"/>
      <c r="J756" s="18"/>
      <c r="K756" s="100"/>
      <c r="L756" s="18"/>
      <c r="M756" s="120"/>
      <c r="N756" s="18"/>
      <c r="O756" s="100">
        <v>545.70000000000005</v>
      </c>
      <c r="P756" s="18">
        <f t="shared" si="191"/>
        <v>545.70000000000005</v>
      </c>
      <c r="Q756" s="85">
        <v>-327.39999999999998</v>
      </c>
      <c r="R756" s="18">
        <f t="shared" si="188"/>
        <v>218.30000000000007</v>
      </c>
      <c r="S756" s="121"/>
      <c r="T756" s="18">
        <f t="shared" si="186"/>
        <v>218.30000000000007</v>
      </c>
      <c r="U756" s="121"/>
      <c r="V756" s="18">
        <f t="shared" si="184"/>
        <v>218.30000000000007</v>
      </c>
      <c r="W756" s="121"/>
      <c r="X756" s="18">
        <f t="shared" si="180"/>
        <v>218.30000000000007</v>
      </c>
      <c r="Z756" s="43">
        <f>X756+Y756</f>
        <v>218.30000000000007</v>
      </c>
      <c r="AA756" s="43"/>
    </row>
    <row r="757" spans="1:27" x14ac:dyDescent="0.25">
      <c r="A757" s="125" t="s">
        <v>941</v>
      </c>
      <c r="B757" s="128" t="s">
        <v>984</v>
      </c>
      <c r="C757" s="27"/>
      <c r="D757" s="19"/>
      <c r="E757" s="19"/>
      <c r="F757" s="18"/>
      <c r="G757" s="64"/>
      <c r="H757" s="18"/>
      <c r="I757" s="85"/>
      <c r="J757" s="18"/>
      <c r="K757" s="100"/>
      <c r="L757" s="18"/>
      <c r="M757" s="120"/>
      <c r="N757" s="18"/>
      <c r="O757" s="84">
        <f t="shared" ref="O757:W757" si="218">O758</f>
        <v>1025</v>
      </c>
      <c r="P757" s="18">
        <f t="shared" si="191"/>
        <v>1025</v>
      </c>
      <c r="Q757" s="84">
        <f t="shared" si="218"/>
        <v>-615</v>
      </c>
      <c r="R757" s="18">
        <f t="shared" si="188"/>
        <v>410</v>
      </c>
      <c r="S757" s="84">
        <f t="shared" si="218"/>
        <v>0</v>
      </c>
      <c r="T757" s="18">
        <f t="shared" si="186"/>
        <v>410</v>
      </c>
      <c r="U757" s="84">
        <f t="shared" si="218"/>
        <v>0</v>
      </c>
      <c r="V757" s="18">
        <f t="shared" si="184"/>
        <v>410</v>
      </c>
      <c r="W757" s="84">
        <f t="shared" si="218"/>
        <v>0</v>
      </c>
      <c r="X757" s="18">
        <f t="shared" si="180"/>
        <v>410</v>
      </c>
    </row>
    <row r="758" spans="1:27" x14ac:dyDescent="0.25">
      <c r="A758" s="7" t="s">
        <v>54</v>
      </c>
      <c r="B758" s="130" t="s">
        <v>984</v>
      </c>
      <c r="C758" s="86" t="s">
        <v>34</v>
      </c>
      <c r="D758" s="19"/>
      <c r="E758" s="19"/>
      <c r="F758" s="18"/>
      <c r="G758" s="64"/>
      <c r="H758" s="18"/>
      <c r="I758" s="85"/>
      <c r="J758" s="18"/>
      <c r="K758" s="100"/>
      <c r="L758" s="18"/>
      <c r="M758" s="120"/>
      <c r="N758" s="18"/>
      <c r="O758" s="100">
        <v>1025</v>
      </c>
      <c r="P758" s="18">
        <f t="shared" si="191"/>
        <v>1025</v>
      </c>
      <c r="Q758" s="85">
        <v>-615</v>
      </c>
      <c r="R758" s="18">
        <f t="shared" si="188"/>
        <v>410</v>
      </c>
      <c r="S758" s="121"/>
      <c r="T758" s="18">
        <f t="shared" si="186"/>
        <v>410</v>
      </c>
      <c r="U758" s="121"/>
      <c r="V758" s="18">
        <f t="shared" si="184"/>
        <v>410</v>
      </c>
      <c r="W758" s="121"/>
      <c r="X758" s="18">
        <f t="shared" si="180"/>
        <v>410</v>
      </c>
      <c r="Z758" s="43">
        <f>X758+Y758</f>
        <v>410</v>
      </c>
      <c r="AA758" s="43"/>
    </row>
    <row r="759" spans="1:27" ht="24" x14ac:dyDescent="0.25">
      <c r="A759" s="125" t="s">
        <v>942</v>
      </c>
      <c r="B759" s="128" t="s">
        <v>985</v>
      </c>
      <c r="C759" s="27"/>
      <c r="D759" s="19"/>
      <c r="E759" s="19"/>
      <c r="F759" s="18"/>
      <c r="G759" s="64"/>
      <c r="H759" s="18"/>
      <c r="I759" s="85"/>
      <c r="J759" s="18"/>
      <c r="K759" s="100"/>
      <c r="L759" s="18"/>
      <c r="M759" s="120"/>
      <c r="N759" s="18"/>
      <c r="O759" s="84">
        <f t="shared" ref="O759:W759" si="219">O760</f>
        <v>1265</v>
      </c>
      <c r="P759" s="18">
        <f t="shared" si="191"/>
        <v>1265</v>
      </c>
      <c r="Q759" s="84">
        <f t="shared" si="219"/>
        <v>-759</v>
      </c>
      <c r="R759" s="18">
        <f t="shared" si="188"/>
        <v>506</v>
      </c>
      <c r="S759" s="84">
        <f t="shared" si="219"/>
        <v>0</v>
      </c>
      <c r="T759" s="18">
        <f t="shared" si="186"/>
        <v>506</v>
      </c>
      <c r="U759" s="84">
        <f t="shared" si="219"/>
        <v>0</v>
      </c>
      <c r="V759" s="18">
        <f t="shared" si="184"/>
        <v>506</v>
      </c>
      <c r="W759" s="84">
        <f t="shared" si="219"/>
        <v>0</v>
      </c>
      <c r="X759" s="18">
        <f t="shared" si="180"/>
        <v>506</v>
      </c>
    </row>
    <row r="760" spans="1:27" x14ac:dyDescent="0.25">
      <c r="A760" s="7" t="s">
        <v>54</v>
      </c>
      <c r="B760" s="130" t="s">
        <v>985</v>
      </c>
      <c r="C760" s="86" t="s">
        <v>34</v>
      </c>
      <c r="D760" s="19"/>
      <c r="E760" s="19"/>
      <c r="F760" s="18"/>
      <c r="G760" s="64"/>
      <c r="H760" s="18"/>
      <c r="I760" s="85"/>
      <c r="J760" s="18"/>
      <c r="K760" s="100"/>
      <c r="L760" s="18"/>
      <c r="M760" s="120"/>
      <c r="N760" s="18"/>
      <c r="O760" s="100">
        <v>1265</v>
      </c>
      <c r="P760" s="18">
        <f t="shared" si="191"/>
        <v>1265</v>
      </c>
      <c r="Q760" s="85">
        <v>-759</v>
      </c>
      <c r="R760" s="18">
        <f t="shared" si="188"/>
        <v>506</v>
      </c>
      <c r="S760" s="121"/>
      <c r="T760" s="18">
        <f t="shared" si="186"/>
        <v>506</v>
      </c>
      <c r="U760" s="121"/>
      <c r="V760" s="18">
        <f t="shared" si="184"/>
        <v>506</v>
      </c>
      <c r="W760" s="121"/>
      <c r="X760" s="18">
        <f t="shared" si="180"/>
        <v>506</v>
      </c>
      <c r="Z760" s="43">
        <f>X760+Y760</f>
        <v>506</v>
      </c>
      <c r="AA760" s="43"/>
    </row>
    <row r="761" spans="1:27" x14ac:dyDescent="0.25">
      <c r="A761" s="125" t="s">
        <v>943</v>
      </c>
      <c r="B761" s="128" t="s">
        <v>986</v>
      </c>
      <c r="C761" s="27"/>
      <c r="D761" s="19"/>
      <c r="E761" s="19"/>
      <c r="F761" s="18"/>
      <c r="G761" s="64"/>
      <c r="H761" s="18"/>
      <c r="I761" s="85"/>
      <c r="J761" s="18"/>
      <c r="K761" s="100"/>
      <c r="L761" s="18"/>
      <c r="M761" s="120"/>
      <c r="N761" s="18"/>
      <c r="O761" s="84">
        <f t="shared" ref="O761:W761" si="220">O762</f>
        <v>152.9</v>
      </c>
      <c r="P761" s="18">
        <f t="shared" si="191"/>
        <v>152.9</v>
      </c>
      <c r="Q761" s="84">
        <f t="shared" si="220"/>
        <v>-91.7</v>
      </c>
      <c r="R761" s="18">
        <f t="shared" si="188"/>
        <v>61.2</v>
      </c>
      <c r="S761" s="84">
        <f t="shared" si="220"/>
        <v>0</v>
      </c>
      <c r="T761" s="18">
        <f t="shared" si="186"/>
        <v>61.2</v>
      </c>
      <c r="U761" s="84">
        <f t="shared" si="220"/>
        <v>0</v>
      </c>
      <c r="V761" s="18">
        <f t="shared" si="184"/>
        <v>61.2</v>
      </c>
      <c r="W761" s="84">
        <f t="shared" si="220"/>
        <v>0</v>
      </c>
      <c r="X761" s="18">
        <f t="shared" si="180"/>
        <v>61.2</v>
      </c>
    </row>
    <row r="762" spans="1:27" x14ac:dyDescent="0.25">
      <c r="A762" s="7" t="s">
        <v>54</v>
      </c>
      <c r="B762" s="130" t="s">
        <v>986</v>
      </c>
      <c r="C762" s="86" t="s">
        <v>34</v>
      </c>
      <c r="D762" s="19"/>
      <c r="E762" s="19"/>
      <c r="F762" s="18"/>
      <c r="G762" s="64"/>
      <c r="H762" s="18"/>
      <c r="I762" s="85"/>
      <c r="J762" s="18"/>
      <c r="K762" s="100"/>
      <c r="L762" s="18"/>
      <c r="M762" s="120"/>
      <c r="N762" s="18"/>
      <c r="O762" s="100">
        <v>152.9</v>
      </c>
      <c r="P762" s="18">
        <f t="shared" si="191"/>
        <v>152.9</v>
      </c>
      <c r="Q762" s="85">
        <v>-91.7</v>
      </c>
      <c r="R762" s="18">
        <f t="shared" ref="R762:R827" si="221">P762+Q762</f>
        <v>61.2</v>
      </c>
      <c r="S762" s="121"/>
      <c r="T762" s="18">
        <f t="shared" si="186"/>
        <v>61.2</v>
      </c>
      <c r="U762" s="121"/>
      <c r="V762" s="18">
        <f t="shared" si="184"/>
        <v>61.2</v>
      </c>
      <c r="W762" s="121"/>
      <c r="X762" s="18">
        <f t="shared" si="180"/>
        <v>61.2</v>
      </c>
      <c r="Z762" s="43">
        <f>X762+Y762</f>
        <v>61.2</v>
      </c>
      <c r="AA762" s="43"/>
    </row>
    <row r="763" spans="1:27" ht="24" x14ac:dyDescent="0.25">
      <c r="A763" s="125" t="s">
        <v>944</v>
      </c>
      <c r="B763" s="128" t="s">
        <v>987</v>
      </c>
      <c r="C763" s="27"/>
      <c r="D763" s="19"/>
      <c r="E763" s="19"/>
      <c r="F763" s="18"/>
      <c r="G763" s="64"/>
      <c r="H763" s="18"/>
      <c r="I763" s="85"/>
      <c r="J763" s="18"/>
      <c r="K763" s="100"/>
      <c r="L763" s="18"/>
      <c r="M763" s="120"/>
      <c r="N763" s="18"/>
      <c r="O763" s="84">
        <f t="shared" ref="O763:W763" si="222">O764</f>
        <v>286.5</v>
      </c>
      <c r="P763" s="18">
        <f t="shared" si="191"/>
        <v>286.5</v>
      </c>
      <c r="Q763" s="84">
        <f t="shared" si="222"/>
        <v>-171.9</v>
      </c>
      <c r="R763" s="18">
        <f t="shared" si="221"/>
        <v>114.6</v>
      </c>
      <c r="S763" s="84">
        <f t="shared" si="222"/>
        <v>0</v>
      </c>
      <c r="T763" s="18">
        <f t="shared" si="186"/>
        <v>114.6</v>
      </c>
      <c r="U763" s="84">
        <f t="shared" si="222"/>
        <v>0</v>
      </c>
      <c r="V763" s="18">
        <f t="shared" si="184"/>
        <v>114.6</v>
      </c>
      <c r="W763" s="84">
        <f t="shared" si="222"/>
        <v>0</v>
      </c>
      <c r="X763" s="18">
        <f t="shared" si="180"/>
        <v>114.6</v>
      </c>
    </row>
    <row r="764" spans="1:27" x14ac:dyDescent="0.25">
      <c r="A764" s="7" t="s">
        <v>54</v>
      </c>
      <c r="B764" s="130" t="s">
        <v>987</v>
      </c>
      <c r="C764" s="86" t="s">
        <v>34</v>
      </c>
      <c r="D764" s="19"/>
      <c r="E764" s="19"/>
      <c r="F764" s="18"/>
      <c r="G764" s="64"/>
      <c r="H764" s="18"/>
      <c r="I764" s="85"/>
      <c r="J764" s="18"/>
      <c r="K764" s="100"/>
      <c r="L764" s="18"/>
      <c r="M764" s="120"/>
      <c r="N764" s="18"/>
      <c r="O764" s="100">
        <v>286.5</v>
      </c>
      <c r="P764" s="18">
        <f t="shared" si="191"/>
        <v>286.5</v>
      </c>
      <c r="Q764" s="85">
        <v>-171.9</v>
      </c>
      <c r="R764" s="18">
        <f t="shared" si="221"/>
        <v>114.6</v>
      </c>
      <c r="S764" s="121"/>
      <c r="T764" s="18">
        <f t="shared" si="186"/>
        <v>114.6</v>
      </c>
      <c r="U764" s="121"/>
      <c r="V764" s="18">
        <f t="shared" si="184"/>
        <v>114.6</v>
      </c>
      <c r="W764" s="121"/>
      <c r="X764" s="18">
        <f t="shared" si="180"/>
        <v>114.6</v>
      </c>
      <c r="Z764" s="43">
        <f>X764+Y764</f>
        <v>114.6</v>
      </c>
      <c r="AA764" s="43"/>
    </row>
    <row r="765" spans="1:27" ht="18" customHeight="1" x14ac:dyDescent="0.25">
      <c r="A765" s="125" t="s">
        <v>945</v>
      </c>
      <c r="B765" s="128" t="s">
        <v>988</v>
      </c>
      <c r="C765" s="27"/>
      <c r="D765" s="19"/>
      <c r="E765" s="19"/>
      <c r="F765" s="18"/>
      <c r="G765" s="64"/>
      <c r="H765" s="18"/>
      <c r="I765" s="85"/>
      <c r="J765" s="18"/>
      <c r="K765" s="100"/>
      <c r="L765" s="18"/>
      <c r="M765" s="120"/>
      <c r="N765" s="18"/>
      <c r="O765" s="84">
        <f t="shared" ref="O765:W765" si="223">O766</f>
        <v>2220</v>
      </c>
      <c r="P765" s="18">
        <f t="shared" si="191"/>
        <v>2220</v>
      </c>
      <c r="Q765" s="84">
        <f t="shared" si="223"/>
        <v>-1332</v>
      </c>
      <c r="R765" s="18">
        <f t="shared" si="221"/>
        <v>888</v>
      </c>
      <c r="S765" s="84">
        <f t="shared" si="223"/>
        <v>0</v>
      </c>
      <c r="T765" s="18">
        <f t="shared" si="186"/>
        <v>888</v>
      </c>
      <c r="U765" s="84">
        <f t="shared" si="223"/>
        <v>0</v>
      </c>
      <c r="V765" s="18">
        <f t="shared" si="184"/>
        <v>888</v>
      </c>
      <c r="W765" s="84">
        <f t="shared" si="223"/>
        <v>0</v>
      </c>
      <c r="X765" s="18">
        <f t="shared" si="180"/>
        <v>888</v>
      </c>
    </row>
    <row r="766" spans="1:27" x14ac:dyDescent="0.25">
      <c r="A766" s="7" t="s">
        <v>54</v>
      </c>
      <c r="B766" s="130" t="s">
        <v>988</v>
      </c>
      <c r="C766" s="86" t="s">
        <v>34</v>
      </c>
      <c r="D766" s="19"/>
      <c r="E766" s="19"/>
      <c r="F766" s="18"/>
      <c r="G766" s="64"/>
      <c r="H766" s="18"/>
      <c r="I766" s="85"/>
      <c r="J766" s="18"/>
      <c r="K766" s="100"/>
      <c r="L766" s="18"/>
      <c r="M766" s="120"/>
      <c r="N766" s="18"/>
      <c r="O766" s="100">
        <v>2220</v>
      </c>
      <c r="P766" s="18">
        <f t="shared" si="191"/>
        <v>2220</v>
      </c>
      <c r="Q766" s="85">
        <v>-1332</v>
      </c>
      <c r="R766" s="18">
        <f t="shared" si="221"/>
        <v>888</v>
      </c>
      <c r="S766" s="121"/>
      <c r="T766" s="18">
        <f t="shared" si="186"/>
        <v>888</v>
      </c>
      <c r="U766" s="121"/>
      <c r="V766" s="18">
        <f t="shared" si="184"/>
        <v>888</v>
      </c>
      <c r="W766" s="121"/>
      <c r="X766" s="18">
        <f t="shared" si="180"/>
        <v>888</v>
      </c>
      <c r="Z766" s="43">
        <f>X766+Y766</f>
        <v>888</v>
      </c>
      <c r="AA766" s="43"/>
    </row>
    <row r="767" spans="1:27" ht="24" x14ac:dyDescent="0.25">
      <c r="A767" s="125" t="s">
        <v>946</v>
      </c>
      <c r="B767" s="128" t="s">
        <v>989</v>
      </c>
      <c r="C767" s="27"/>
      <c r="D767" s="19"/>
      <c r="E767" s="19"/>
      <c r="F767" s="18"/>
      <c r="G767" s="64"/>
      <c r="H767" s="18"/>
      <c r="I767" s="85"/>
      <c r="J767" s="18"/>
      <c r="K767" s="100"/>
      <c r="L767" s="18"/>
      <c r="M767" s="120"/>
      <c r="N767" s="18"/>
      <c r="O767" s="84">
        <f t="shared" ref="O767:W767" si="224">O768</f>
        <v>765</v>
      </c>
      <c r="P767" s="18">
        <f t="shared" ref="P767:P830" si="225">N767+O767</f>
        <v>765</v>
      </c>
      <c r="Q767" s="84">
        <f t="shared" si="224"/>
        <v>-459</v>
      </c>
      <c r="R767" s="18">
        <f t="shared" si="221"/>
        <v>306</v>
      </c>
      <c r="S767" s="84">
        <f t="shared" si="224"/>
        <v>0</v>
      </c>
      <c r="T767" s="18">
        <f t="shared" si="186"/>
        <v>306</v>
      </c>
      <c r="U767" s="84">
        <f t="shared" si="224"/>
        <v>0</v>
      </c>
      <c r="V767" s="18">
        <f t="shared" si="184"/>
        <v>306</v>
      </c>
      <c r="W767" s="84">
        <f t="shared" si="224"/>
        <v>0</v>
      </c>
      <c r="X767" s="18">
        <f t="shared" si="180"/>
        <v>306</v>
      </c>
    </row>
    <row r="768" spans="1:27" x14ac:dyDescent="0.25">
      <c r="A768" s="7" t="s">
        <v>54</v>
      </c>
      <c r="B768" s="130" t="s">
        <v>989</v>
      </c>
      <c r="C768" s="86" t="s">
        <v>34</v>
      </c>
      <c r="D768" s="19"/>
      <c r="E768" s="19"/>
      <c r="F768" s="18"/>
      <c r="G768" s="64"/>
      <c r="H768" s="18"/>
      <c r="I768" s="85"/>
      <c r="J768" s="18"/>
      <c r="K768" s="100"/>
      <c r="L768" s="18"/>
      <c r="M768" s="120"/>
      <c r="N768" s="18"/>
      <c r="O768" s="100">
        <v>765</v>
      </c>
      <c r="P768" s="18">
        <f t="shared" si="225"/>
        <v>765</v>
      </c>
      <c r="Q768" s="85">
        <v>-459</v>
      </c>
      <c r="R768" s="18">
        <f t="shared" si="221"/>
        <v>306</v>
      </c>
      <c r="S768" s="121"/>
      <c r="T768" s="18">
        <f t="shared" si="186"/>
        <v>306</v>
      </c>
      <c r="U768" s="121"/>
      <c r="V768" s="18">
        <f t="shared" si="184"/>
        <v>306</v>
      </c>
      <c r="W768" s="121"/>
      <c r="X768" s="18">
        <f t="shared" si="180"/>
        <v>306</v>
      </c>
      <c r="Z768" s="43">
        <f>X768+Y768</f>
        <v>306</v>
      </c>
      <c r="AA768" s="43"/>
    </row>
    <row r="769" spans="1:27" ht="24" x14ac:dyDescent="0.25">
      <c r="A769" s="125" t="s">
        <v>947</v>
      </c>
      <c r="B769" s="128" t="s">
        <v>990</v>
      </c>
      <c r="C769" s="27"/>
      <c r="D769" s="19"/>
      <c r="E769" s="19"/>
      <c r="F769" s="18"/>
      <c r="G769" s="64"/>
      <c r="H769" s="18"/>
      <c r="I769" s="85"/>
      <c r="J769" s="18"/>
      <c r="K769" s="100"/>
      <c r="L769" s="18"/>
      <c r="M769" s="120"/>
      <c r="N769" s="18"/>
      <c r="O769" s="84">
        <f t="shared" ref="O769:W769" si="226">O770</f>
        <v>500</v>
      </c>
      <c r="P769" s="18">
        <f t="shared" si="225"/>
        <v>500</v>
      </c>
      <c r="Q769" s="84">
        <f t="shared" si="226"/>
        <v>-300</v>
      </c>
      <c r="R769" s="18">
        <f t="shared" si="221"/>
        <v>200</v>
      </c>
      <c r="S769" s="84">
        <f t="shared" si="226"/>
        <v>0</v>
      </c>
      <c r="T769" s="18">
        <f t="shared" si="186"/>
        <v>200</v>
      </c>
      <c r="U769" s="84">
        <f t="shared" si="226"/>
        <v>0</v>
      </c>
      <c r="V769" s="18">
        <f t="shared" si="184"/>
        <v>200</v>
      </c>
      <c r="W769" s="84">
        <f t="shared" si="226"/>
        <v>0</v>
      </c>
      <c r="X769" s="18">
        <f t="shared" si="180"/>
        <v>200</v>
      </c>
    </row>
    <row r="770" spans="1:27" x14ac:dyDescent="0.25">
      <c r="A770" s="7" t="s">
        <v>54</v>
      </c>
      <c r="B770" s="130" t="s">
        <v>990</v>
      </c>
      <c r="C770" s="86" t="s">
        <v>34</v>
      </c>
      <c r="D770" s="19"/>
      <c r="E770" s="19"/>
      <c r="F770" s="18"/>
      <c r="G770" s="64"/>
      <c r="H770" s="18"/>
      <c r="I770" s="85"/>
      <c r="J770" s="18"/>
      <c r="K770" s="100"/>
      <c r="L770" s="18"/>
      <c r="M770" s="120"/>
      <c r="N770" s="18"/>
      <c r="O770" s="100">
        <v>500</v>
      </c>
      <c r="P770" s="18">
        <f t="shared" si="225"/>
        <v>500</v>
      </c>
      <c r="Q770" s="85">
        <v>-300</v>
      </c>
      <c r="R770" s="18">
        <f t="shared" si="221"/>
        <v>200</v>
      </c>
      <c r="S770" s="121"/>
      <c r="T770" s="18">
        <f t="shared" si="186"/>
        <v>200</v>
      </c>
      <c r="U770" s="121"/>
      <c r="V770" s="18">
        <f t="shared" si="184"/>
        <v>200</v>
      </c>
      <c r="W770" s="121"/>
      <c r="X770" s="18">
        <f t="shared" si="180"/>
        <v>200</v>
      </c>
      <c r="Z770" s="43">
        <f>X770+Y770</f>
        <v>200</v>
      </c>
      <c r="AA770" s="43"/>
    </row>
    <row r="771" spans="1:27" ht="24" x14ac:dyDescent="0.25">
      <c r="A771" s="125" t="s">
        <v>948</v>
      </c>
      <c r="B771" s="128" t="s">
        <v>991</v>
      </c>
      <c r="C771" s="27"/>
      <c r="D771" s="19"/>
      <c r="E771" s="19"/>
      <c r="F771" s="18"/>
      <c r="G771" s="64"/>
      <c r="H771" s="18"/>
      <c r="I771" s="85"/>
      <c r="J771" s="18"/>
      <c r="K771" s="100"/>
      <c r="L771" s="18"/>
      <c r="M771" s="120"/>
      <c r="N771" s="18"/>
      <c r="O771" s="84">
        <f t="shared" ref="O771:W771" si="227">O772</f>
        <v>625</v>
      </c>
      <c r="P771" s="18">
        <f t="shared" si="225"/>
        <v>625</v>
      </c>
      <c r="Q771" s="84">
        <f t="shared" si="227"/>
        <v>-375</v>
      </c>
      <c r="R771" s="18">
        <f t="shared" si="221"/>
        <v>250</v>
      </c>
      <c r="S771" s="84">
        <f t="shared" si="227"/>
        <v>0</v>
      </c>
      <c r="T771" s="18">
        <f t="shared" si="186"/>
        <v>250</v>
      </c>
      <c r="U771" s="84">
        <f t="shared" si="227"/>
        <v>0</v>
      </c>
      <c r="V771" s="18">
        <f t="shared" si="184"/>
        <v>250</v>
      </c>
      <c r="W771" s="84">
        <f t="shared" si="227"/>
        <v>0</v>
      </c>
      <c r="X771" s="18">
        <f t="shared" si="180"/>
        <v>250</v>
      </c>
    </row>
    <row r="772" spans="1:27" x14ac:dyDescent="0.25">
      <c r="A772" s="7" t="s">
        <v>54</v>
      </c>
      <c r="B772" s="130" t="s">
        <v>991</v>
      </c>
      <c r="C772" s="86" t="s">
        <v>34</v>
      </c>
      <c r="D772" s="19"/>
      <c r="E772" s="19"/>
      <c r="F772" s="18"/>
      <c r="G772" s="64"/>
      <c r="H772" s="18"/>
      <c r="I772" s="85"/>
      <c r="J772" s="18"/>
      <c r="K772" s="100"/>
      <c r="L772" s="18"/>
      <c r="M772" s="120"/>
      <c r="N772" s="18"/>
      <c r="O772" s="100">
        <v>625</v>
      </c>
      <c r="P772" s="18">
        <f t="shared" si="225"/>
        <v>625</v>
      </c>
      <c r="Q772" s="85">
        <v>-375</v>
      </c>
      <c r="R772" s="18">
        <f t="shared" si="221"/>
        <v>250</v>
      </c>
      <c r="S772" s="121"/>
      <c r="T772" s="18">
        <f t="shared" si="186"/>
        <v>250</v>
      </c>
      <c r="U772" s="121"/>
      <c r="V772" s="18">
        <f t="shared" si="184"/>
        <v>250</v>
      </c>
      <c r="W772" s="121"/>
      <c r="X772" s="18">
        <f t="shared" si="180"/>
        <v>250</v>
      </c>
      <c r="Z772" s="43">
        <f>X772+Y772</f>
        <v>250</v>
      </c>
      <c r="AA772" s="43"/>
    </row>
    <row r="773" spans="1:27" x14ac:dyDescent="0.25">
      <c r="A773" s="125" t="s">
        <v>949</v>
      </c>
      <c r="B773" s="128" t="s">
        <v>992</v>
      </c>
      <c r="C773" s="27"/>
      <c r="D773" s="19"/>
      <c r="E773" s="19"/>
      <c r="F773" s="18"/>
      <c r="G773" s="64"/>
      <c r="H773" s="18"/>
      <c r="I773" s="85"/>
      <c r="J773" s="18"/>
      <c r="K773" s="100"/>
      <c r="L773" s="18"/>
      <c r="M773" s="120"/>
      <c r="N773" s="18"/>
      <c r="O773" s="84">
        <f t="shared" ref="O773:W773" si="228">O774</f>
        <v>645</v>
      </c>
      <c r="P773" s="18">
        <f t="shared" si="225"/>
        <v>645</v>
      </c>
      <c r="Q773" s="84">
        <f t="shared" si="228"/>
        <v>-387</v>
      </c>
      <c r="R773" s="18">
        <f t="shared" si="221"/>
        <v>258</v>
      </c>
      <c r="S773" s="84">
        <f t="shared" si="228"/>
        <v>0</v>
      </c>
      <c r="T773" s="18">
        <f t="shared" si="186"/>
        <v>258</v>
      </c>
      <c r="U773" s="84">
        <f t="shared" si="228"/>
        <v>0</v>
      </c>
      <c r="V773" s="18">
        <f t="shared" si="184"/>
        <v>258</v>
      </c>
      <c r="W773" s="84">
        <f t="shared" si="228"/>
        <v>0</v>
      </c>
      <c r="X773" s="18">
        <f t="shared" si="180"/>
        <v>258</v>
      </c>
    </row>
    <row r="774" spans="1:27" x14ac:dyDescent="0.25">
      <c r="A774" s="7" t="s">
        <v>54</v>
      </c>
      <c r="B774" s="130" t="s">
        <v>992</v>
      </c>
      <c r="C774" s="86" t="s">
        <v>34</v>
      </c>
      <c r="D774" s="19"/>
      <c r="E774" s="19"/>
      <c r="F774" s="18"/>
      <c r="G774" s="64"/>
      <c r="H774" s="18"/>
      <c r="I774" s="85"/>
      <c r="J774" s="18"/>
      <c r="K774" s="100"/>
      <c r="L774" s="18"/>
      <c r="M774" s="120"/>
      <c r="N774" s="18"/>
      <c r="O774" s="100">
        <v>645</v>
      </c>
      <c r="P774" s="18">
        <f t="shared" si="225"/>
        <v>645</v>
      </c>
      <c r="Q774" s="85">
        <v>-387</v>
      </c>
      <c r="R774" s="18">
        <f t="shared" si="221"/>
        <v>258</v>
      </c>
      <c r="S774" s="121"/>
      <c r="T774" s="18">
        <f t="shared" si="186"/>
        <v>258</v>
      </c>
      <c r="U774" s="121"/>
      <c r="V774" s="18">
        <f t="shared" si="184"/>
        <v>258</v>
      </c>
      <c r="W774" s="121"/>
      <c r="X774" s="18">
        <f t="shared" si="180"/>
        <v>258</v>
      </c>
      <c r="Z774" s="43">
        <f>X774+Y774</f>
        <v>258</v>
      </c>
      <c r="AA774" s="43"/>
    </row>
    <row r="775" spans="1:27" ht="24" x14ac:dyDescent="0.25">
      <c r="A775" s="125" t="s">
        <v>950</v>
      </c>
      <c r="B775" s="128" t="s">
        <v>993</v>
      </c>
      <c r="C775" s="27"/>
      <c r="D775" s="19"/>
      <c r="E775" s="19"/>
      <c r="F775" s="18"/>
      <c r="G775" s="64"/>
      <c r="H775" s="18"/>
      <c r="I775" s="85"/>
      <c r="J775" s="18"/>
      <c r="K775" s="100"/>
      <c r="L775" s="18"/>
      <c r="M775" s="120"/>
      <c r="N775" s="18"/>
      <c r="O775" s="84">
        <f t="shared" ref="O775:W775" si="229">O776</f>
        <v>536.9</v>
      </c>
      <c r="P775" s="18">
        <f t="shared" si="225"/>
        <v>536.9</v>
      </c>
      <c r="Q775" s="84">
        <f t="shared" si="229"/>
        <v>-322.10000000000002</v>
      </c>
      <c r="R775" s="18">
        <f t="shared" si="221"/>
        <v>214.79999999999995</v>
      </c>
      <c r="S775" s="84">
        <f t="shared" si="229"/>
        <v>0</v>
      </c>
      <c r="T775" s="18">
        <f t="shared" si="186"/>
        <v>214.79999999999995</v>
      </c>
      <c r="U775" s="84">
        <f t="shared" si="229"/>
        <v>0</v>
      </c>
      <c r="V775" s="18">
        <f t="shared" si="184"/>
        <v>214.79999999999995</v>
      </c>
      <c r="W775" s="84">
        <f t="shared" si="229"/>
        <v>0</v>
      </c>
      <c r="X775" s="18">
        <f t="shared" si="180"/>
        <v>214.79999999999995</v>
      </c>
    </row>
    <row r="776" spans="1:27" x14ac:dyDescent="0.25">
      <c r="A776" s="7" t="s">
        <v>54</v>
      </c>
      <c r="B776" s="130" t="s">
        <v>993</v>
      </c>
      <c r="C776" s="86" t="s">
        <v>34</v>
      </c>
      <c r="D776" s="19"/>
      <c r="E776" s="19"/>
      <c r="F776" s="18"/>
      <c r="G776" s="64"/>
      <c r="H776" s="18"/>
      <c r="I776" s="85"/>
      <c r="J776" s="18"/>
      <c r="K776" s="100"/>
      <c r="L776" s="18"/>
      <c r="M776" s="120"/>
      <c r="N776" s="18"/>
      <c r="O776" s="100">
        <v>536.9</v>
      </c>
      <c r="P776" s="18">
        <f t="shared" si="225"/>
        <v>536.9</v>
      </c>
      <c r="Q776" s="85">
        <v>-322.10000000000002</v>
      </c>
      <c r="R776" s="18">
        <f t="shared" si="221"/>
        <v>214.79999999999995</v>
      </c>
      <c r="S776" s="121"/>
      <c r="T776" s="18">
        <f t="shared" si="186"/>
        <v>214.79999999999995</v>
      </c>
      <c r="U776" s="121"/>
      <c r="V776" s="18">
        <f t="shared" si="184"/>
        <v>214.79999999999995</v>
      </c>
      <c r="W776" s="121"/>
      <c r="X776" s="18">
        <f t="shared" si="180"/>
        <v>214.79999999999995</v>
      </c>
      <c r="Z776" s="43">
        <f>X776+Y776</f>
        <v>214.79999999999995</v>
      </c>
      <c r="AA776" s="43"/>
    </row>
    <row r="777" spans="1:27" ht="24" x14ac:dyDescent="0.25">
      <c r="A777" s="125" t="s">
        <v>951</v>
      </c>
      <c r="B777" s="128" t="s">
        <v>994</v>
      </c>
      <c r="C777" s="27"/>
      <c r="D777" s="19"/>
      <c r="E777" s="19"/>
      <c r="F777" s="18"/>
      <c r="G777" s="64"/>
      <c r="H777" s="18"/>
      <c r="I777" s="85"/>
      <c r="J777" s="18"/>
      <c r="K777" s="100"/>
      <c r="L777" s="18"/>
      <c r="M777" s="120"/>
      <c r="N777" s="18"/>
      <c r="O777" s="84">
        <f t="shared" ref="O777:W777" si="230">O778</f>
        <v>572.5</v>
      </c>
      <c r="P777" s="18">
        <f t="shared" si="225"/>
        <v>572.5</v>
      </c>
      <c r="Q777" s="84">
        <f t="shared" si="230"/>
        <v>-343.5</v>
      </c>
      <c r="R777" s="18">
        <f t="shared" si="221"/>
        <v>229</v>
      </c>
      <c r="S777" s="84">
        <f t="shared" si="230"/>
        <v>0</v>
      </c>
      <c r="T777" s="18">
        <f t="shared" si="186"/>
        <v>229</v>
      </c>
      <c r="U777" s="84">
        <f t="shared" si="230"/>
        <v>0</v>
      </c>
      <c r="V777" s="18">
        <f t="shared" si="184"/>
        <v>229</v>
      </c>
      <c r="W777" s="84">
        <f t="shared" si="230"/>
        <v>0</v>
      </c>
      <c r="X777" s="18">
        <f t="shared" si="180"/>
        <v>229</v>
      </c>
    </row>
    <row r="778" spans="1:27" x14ac:dyDescent="0.25">
      <c r="A778" s="7" t="s">
        <v>54</v>
      </c>
      <c r="B778" s="130" t="s">
        <v>994</v>
      </c>
      <c r="C778" s="86" t="s">
        <v>34</v>
      </c>
      <c r="D778" s="19"/>
      <c r="E778" s="19"/>
      <c r="F778" s="18"/>
      <c r="G778" s="64"/>
      <c r="H778" s="18"/>
      <c r="I778" s="85"/>
      <c r="J778" s="18"/>
      <c r="K778" s="100"/>
      <c r="L778" s="18"/>
      <c r="M778" s="120"/>
      <c r="N778" s="18"/>
      <c r="O778" s="100">
        <v>572.5</v>
      </c>
      <c r="P778" s="18">
        <f t="shared" si="225"/>
        <v>572.5</v>
      </c>
      <c r="Q778" s="85">
        <v>-343.5</v>
      </c>
      <c r="R778" s="18">
        <f t="shared" si="221"/>
        <v>229</v>
      </c>
      <c r="S778" s="121"/>
      <c r="T778" s="18">
        <f t="shared" si="186"/>
        <v>229</v>
      </c>
      <c r="U778" s="121"/>
      <c r="V778" s="18">
        <f t="shared" si="184"/>
        <v>229</v>
      </c>
      <c r="W778" s="121"/>
      <c r="X778" s="18">
        <f t="shared" si="180"/>
        <v>229</v>
      </c>
      <c r="Z778" s="43">
        <f>X778+Y778</f>
        <v>229</v>
      </c>
      <c r="AA778" s="43"/>
    </row>
    <row r="779" spans="1:27" x14ac:dyDescent="0.25">
      <c r="A779" s="125" t="s">
        <v>952</v>
      </c>
      <c r="B779" s="128" t="s">
        <v>995</v>
      </c>
      <c r="C779" s="27"/>
      <c r="D779" s="19"/>
      <c r="E779" s="19"/>
      <c r="F779" s="18"/>
      <c r="G779" s="64"/>
      <c r="H779" s="18"/>
      <c r="I779" s="85"/>
      <c r="J779" s="18"/>
      <c r="K779" s="100"/>
      <c r="L779" s="18"/>
      <c r="M779" s="120"/>
      <c r="N779" s="18"/>
      <c r="O779" s="84">
        <f t="shared" ref="O779:W779" si="231">O780</f>
        <v>650</v>
      </c>
      <c r="P779" s="18">
        <f t="shared" si="225"/>
        <v>650</v>
      </c>
      <c r="Q779" s="84">
        <f t="shared" si="231"/>
        <v>-390</v>
      </c>
      <c r="R779" s="18">
        <f t="shared" si="221"/>
        <v>260</v>
      </c>
      <c r="S779" s="84">
        <f t="shared" si="231"/>
        <v>0</v>
      </c>
      <c r="T779" s="18">
        <f t="shared" si="186"/>
        <v>260</v>
      </c>
      <c r="U779" s="84">
        <f t="shared" si="231"/>
        <v>0</v>
      </c>
      <c r="V779" s="18">
        <f t="shared" si="184"/>
        <v>260</v>
      </c>
      <c r="W779" s="84">
        <f t="shared" si="231"/>
        <v>0</v>
      </c>
      <c r="X779" s="18">
        <f t="shared" si="180"/>
        <v>260</v>
      </c>
    </row>
    <row r="780" spans="1:27" x14ac:dyDescent="0.25">
      <c r="A780" s="7" t="s">
        <v>54</v>
      </c>
      <c r="B780" s="130" t="s">
        <v>995</v>
      </c>
      <c r="C780" s="86" t="s">
        <v>34</v>
      </c>
      <c r="D780" s="19"/>
      <c r="E780" s="19"/>
      <c r="F780" s="18"/>
      <c r="G780" s="64"/>
      <c r="H780" s="18"/>
      <c r="I780" s="85"/>
      <c r="J780" s="18"/>
      <c r="K780" s="100"/>
      <c r="L780" s="18"/>
      <c r="M780" s="120"/>
      <c r="N780" s="18"/>
      <c r="O780" s="100">
        <v>650</v>
      </c>
      <c r="P780" s="18">
        <f t="shared" si="225"/>
        <v>650</v>
      </c>
      <c r="Q780" s="85">
        <v>-390</v>
      </c>
      <c r="R780" s="18">
        <f t="shared" si="221"/>
        <v>260</v>
      </c>
      <c r="S780" s="121"/>
      <c r="T780" s="18">
        <f t="shared" si="186"/>
        <v>260</v>
      </c>
      <c r="U780" s="121"/>
      <c r="V780" s="18">
        <f t="shared" si="184"/>
        <v>260</v>
      </c>
      <c r="W780" s="121"/>
      <c r="X780" s="18">
        <f t="shared" si="180"/>
        <v>260</v>
      </c>
      <c r="Z780" s="43">
        <f>X780+Y780</f>
        <v>260</v>
      </c>
      <c r="AA780" s="43"/>
    </row>
    <row r="781" spans="1:27" ht="24" x14ac:dyDescent="0.25">
      <c r="A781" s="125" t="s">
        <v>953</v>
      </c>
      <c r="B781" s="128" t="s">
        <v>996</v>
      </c>
      <c r="C781" s="27"/>
      <c r="D781" s="19"/>
      <c r="E781" s="19"/>
      <c r="F781" s="18"/>
      <c r="G781" s="64"/>
      <c r="H781" s="18"/>
      <c r="I781" s="85"/>
      <c r="J781" s="18"/>
      <c r="K781" s="100"/>
      <c r="L781" s="18"/>
      <c r="M781" s="120"/>
      <c r="N781" s="18"/>
      <c r="O781" s="84">
        <f t="shared" ref="O781:W781" si="232">O782</f>
        <v>375</v>
      </c>
      <c r="P781" s="18">
        <f t="shared" si="225"/>
        <v>375</v>
      </c>
      <c r="Q781" s="84">
        <f t="shared" si="232"/>
        <v>-225</v>
      </c>
      <c r="R781" s="18">
        <f t="shared" si="221"/>
        <v>150</v>
      </c>
      <c r="S781" s="84">
        <f t="shared" si="232"/>
        <v>0</v>
      </c>
      <c r="T781" s="18">
        <f t="shared" si="186"/>
        <v>150</v>
      </c>
      <c r="U781" s="84">
        <f t="shared" si="232"/>
        <v>0</v>
      </c>
      <c r="V781" s="18">
        <f t="shared" si="184"/>
        <v>150</v>
      </c>
      <c r="W781" s="84">
        <f t="shared" si="232"/>
        <v>0</v>
      </c>
      <c r="X781" s="18">
        <f t="shared" si="180"/>
        <v>150</v>
      </c>
    </row>
    <row r="782" spans="1:27" x14ac:dyDescent="0.25">
      <c r="A782" s="7" t="s">
        <v>54</v>
      </c>
      <c r="B782" s="130" t="s">
        <v>996</v>
      </c>
      <c r="C782" s="86" t="s">
        <v>34</v>
      </c>
      <c r="D782" s="19"/>
      <c r="E782" s="19"/>
      <c r="F782" s="18"/>
      <c r="G782" s="64"/>
      <c r="H782" s="18"/>
      <c r="I782" s="85"/>
      <c r="J782" s="18"/>
      <c r="K782" s="100"/>
      <c r="L782" s="18"/>
      <c r="M782" s="120"/>
      <c r="N782" s="18"/>
      <c r="O782" s="100">
        <v>375</v>
      </c>
      <c r="P782" s="18">
        <f t="shared" si="225"/>
        <v>375</v>
      </c>
      <c r="Q782" s="85">
        <v>-225</v>
      </c>
      <c r="R782" s="18">
        <f t="shared" si="221"/>
        <v>150</v>
      </c>
      <c r="S782" s="121"/>
      <c r="T782" s="18">
        <f t="shared" si="186"/>
        <v>150</v>
      </c>
      <c r="U782" s="121"/>
      <c r="V782" s="18">
        <f t="shared" si="184"/>
        <v>150</v>
      </c>
      <c r="W782" s="121"/>
      <c r="X782" s="18">
        <f t="shared" si="180"/>
        <v>150</v>
      </c>
      <c r="Z782" s="43">
        <f>X782+Y782</f>
        <v>150</v>
      </c>
      <c r="AA782" s="43"/>
    </row>
    <row r="783" spans="1:27" ht="24" x14ac:dyDescent="0.25">
      <c r="A783" s="125" t="s">
        <v>954</v>
      </c>
      <c r="B783" s="128" t="s">
        <v>997</v>
      </c>
      <c r="C783" s="27"/>
      <c r="D783" s="19"/>
      <c r="E783" s="19"/>
      <c r="F783" s="18"/>
      <c r="G783" s="64"/>
      <c r="H783" s="18"/>
      <c r="I783" s="85"/>
      <c r="J783" s="18"/>
      <c r="K783" s="100"/>
      <c r="L783" s="18"/>
      <c r="M783" s="120"/>
      <c r="N783" s="18"/>
      <c r="O783" s="84">
        <f t="shared" ref="O783:W783" si="233">O784</f>
        <v>720</v>
      </c>
      <c r="P783" s="18">
        <f t="shared" si="225"/>
        <v>720</v>
      </c>
      <c r="Q783" s="84">
        <f t="shared" si="233"/>
        <v>-432</v>
      </c>
      <c r="R783" s="18">
        <f t="shared" si="221"/>
        <v>288</v>
      </c>
      <c r="S783" s="84">
        <f t="shared" si="233"/>
        <v>0</v>
      </c>
      <c r="T783" s="18">
        <f t="shared" si="186"/>
        <v>288</v>
      </c>
      <c r="U783" s="84">
        <f t="shared" si="233"/>
        <v>0</v>
      </c>
      <c r="V783" s="18">
        <f t="shared" si="184"/>
        <v>288</v>
      </c>
      <c r="W783" s="84">
        <f t="shared" si="233"/>
        <v>0</v>
      </c>
      <c r="X783" s="18">
        <f t="shared" si="180"/>
        <v>288</v>
      </c>
    </row>
    <row r="784" spans="1:27" x14ac:dyDescent="0.25">
      <c r="A784" s="7" t="s">
        <v>54</v>
      </c>
      <c r="B784" s="130" t="s">
        <v>997</v>
      </c>
      <c r="C784" s="86" t="s">
        <v>34</v>
      </c>
      <c r="D784" s="19"/>
      <c r="E784" s="19"/>
      <c r="F784" s="18"/>
      <c r="G784" s="64"/>
      <c r="H784" s="18"/>
      <c r="I784" s="85"/>
      <c r="J784" s="18"/>
      <c r="K784" s="100"/>
      <c r="L784" s="18"/>
      <c r="M784" s="120"/>
      <c r="N784" s="18"/>
      <c r="O784" s="100">
        <v>720</v>
      </c>
      <c r="P784" s="18">
        <f t="shared" si="225"/>
        <v>720</v>
      </c>
      <c r="Q784" s="85">
        <v>-432</v>
      </c>
      <c r="R784" s="18">
        <f t="shared" si="221"/>
        <v>288</v>
      </c>
      <c r="S784" s="121"/>
      <c r="T784" s="18">
        <f t="shared" si="186"/>
        <v>288</v>
      </c>
      <c r="U784" s="121"/>
      <c r="V784" s="18">
        <f t="shared" si="184"/>
        <v>288</v>
      </c>
      <c r="W784" s="121"/>
      <c r="X784" s="18">
        <f t="shared" si="180"/>
        <v>288</v>
      </c>
      <c r="Z784" s="43">
        <f>X784+Y784</f>
        <v>288</v>
      </c>
      <c r="AA784" s="43"/>
    </row>
    <row r="785" spans="1:27" ht="24" x14ac:dyDescent="0.25">
      <c r="A785" s="125" t="s">
        <v>955</v>
      </c>
      <c r="B785" s="128" t="s">
        <v>998</v>
      </c>
      <c r="C785" s="27"/>
      <c r="D785" s="19"/>
      <c r="E785" s="19"/>
      <c r="F785" s="18"/>
      <c r="G785" s="64"/>
      <c r="H785" s="18"/>
      <c r="I785" s="85"/>
      <c r="J785" s="18"/>
      <c r="K785" s="100"/>
      <c r="L785" s="18"/>
      <c r="M785" s="120"/>
      <c r="N785" s="18"/>
      <c r="O785" s="84">
        <f t="shared" ref="O785:W785" si="234">O786</f>
        <v>510.4</v>
      </c>
      <c r="P785" s="18">
        <f t="shared" si="225"/>
        <v>510.4</v>
      </c>
      <c r="Q785" s="84">
        <f t="shared" si="234"/>
        <v>-306.2</v>
      </c>
      <c r="R785" s="18">
        <f t="shared" si="221"/>
        <v>204.2</v>
      </c>
      <c r="S785" s="84">
        <f t="shared" si="234"/>
        <v>0</v>
      </c>
      <c r="T785" s="18">
        <f t="shared" si="186"/>
        <v>204.2</v>
      </c>
      <c r="U785" s="84">
        <f t="shared" si="234"/>
        <v>0</v>
      </c>
      <c r="V785" s="18">
        <f t="shared" si="184"/>
        <v>204.2</v>
      </c>
      <c r="W785" s="84">
        <f t="shared" si="234"/>
        <v>0</v>
      </c>
      <c r="X785" s="18">
        <f t="shared" si="180"/>
        <v>204.2</v>
      </c>
    </row>
    <row r="786" spans="1:27" x14ac:dyDescent="0.25">
      <c r="A786" s="7" t="s">
        <v>54</v>
      </c>
      <c r="B786" s="130" t="s">
        <v>998</v>
      </c>
      <c r="C786" s="86" t="s">
        <v>34</v>
      </c>
      <c r="D786" s="19"/>
      <c r="E786" s="19"/>
      <c r="F786" s="18"/>
      <c r="G786" s="64"/>
      <c r="H786" s="18"/>
      <c r="I786" s="85"/>
      <c r="J786" s="18"/>
      <c r="K786" s="100"/>
      <c r="L786" s="18"/>
      <c r="M786" s="120"/>
      <c r="N786" s="18"/>
      <c r="O786" s="100">
        <v>510.4</v>
      </c>
      <c r="P786" s="18">
        <f t="shared" si="225"/>
        <v>510.4</v>
      </c>
      <c r="Q786" s="85">
        <v>-306.2</v>
      </c>
      <c r="R786" s="18">
        <f t="shared" si="221"/>
        <v>204.2</v>
      </c>
      <c r="S786" s="121"/>
      <c r="T786" s="18">
        <f t="shared" si="186"/>
        <v>204.2</v>
      </c>
      <c r="U786" s="121"/>
      <c r="V786" s="18">
        <f t="shared" si="184"/>
        <v>204.2</v>
      </c>
      <c r="W786" s="121"/>
      <c r="X786" s="18">
        <f t="shared" si="180"/>
        <v>204.2</v>
      </c>
      <c r="Z786" s="43">
        <f>X786+Y786</f>
        <v>204.2</v>
      </c>
      <c r="AA786" s="43"/>
    </row>
    <row r="787" spans="1:27" ht="24" x14ac:dyDescent="0.25">
      <c r="A787" s="125" t="s">
        <v>956</v>
      </c>
      <c r="B787" s="128" t="s">
        <v>999</v>
      </c>
      <c r="C787" s="27"/>
      <c r="D787" s="19"/>
      <c r="E787" s="19"/>
      <c r="F787" s="18"/>
      <c r="G787" s="64"/>
      <c r="H787" s="18"/>
      <c r="I787" s="85"/>
      <c r="J787" s="18"/>
      <c r="K787" s="100"/>
      <c r="L787" s="18"/>
      <c r="M787" s="120"/>
      <c r="N787" s="18"/>
      <c r="O787" s="84">
        <f t="shared" ref="O787:W787" si="235">O788</f>
        <v>311.3</v>
      </c>
      <c r="P787" s="18">
        <f t="shared" si="225"/>
        <v>311.3</v>
      </c>
      <c r="Q787" s="84">
        <f t="shared" si="235"/>
        <v>-186.8</v>
      </c>
      <c r="R787" s="18">
        <f t="shared" si="221"/>
        <v>124.5</v>
      </c>
      <c r="S787" s="84">
        <f t="shared" si="235"/>
        <v>0</v>
      </c>
      <c r="T787" s="18">
        <f t="shared" si="186"/>
        <v>124.5</v>
      </c>
      <c r="U787" s="84">
        <f t="shared" si="235"/>
        <v>0</v>
      </c>
      <c r="V787" s="18">
        <f t="shared" si="184"/>
        <v>124.5</v>
      </c>
      <c r="W787" s="84">
        <f t="shared" si="235"/>
        <v>0</v>
      </c>
      <c r="X787" s="18">
        <f t="shared" si="180"/>
        <v>124.5</v>
      </c>
    </row>
    <row r="788" spans="1:27" x14ac:dyDescent="0.25">
      <c r="A788" s="7" t="s">
        <v>54</v>
      </c>
      <c r="B788" s="130" t="s">
        <v>999</v>
      </c>
      <c r="C788" s="86" t="s">
        <v>34</v>
      </c>
      <c r="D788" s="19"/>
      <c r="E788" s="19"/>
      <c r="F788" s="18"/>
      <c r="G788" s="64"/>
      <c r="H788" s="18"/>
      <c r="I788" s="85"/>
      <c r="J788" s="18"/>
      <c r="K788" s="100"/>
      <c r="L788" s="18"/>
      <c r="M788" s="120"/>
      <c r="N788" s="18"/>
      <c r="O788" s="100">
        <v>311.3</v>
      </c>
      <c r="P788" s="18">
        <f t="shared" si="225"/>
        <v>311.3</v>
      </c>
      <c r="Q788" s="85">
        <v>-186.8</v>
      </c>
      <c r="R788" s="18">
        <f t="shared" si="221"/>
        <v>124.5</v>
      </c>
      <c r="S788" s="121"/>
      <c r="T788" s="18">
        <f t="shared" si="186"/>
        <v>124.5</v>
      </c>
      <c r="U788" s="121"/>
      <c r="V788" s="18">
        <f t="shared" si="184"/>
        <v>124.5</v>
      </c>
      <c r="W788" s="121"/>
      <c r="X788" s="18">
        <f t="shared" si="180"/>
        <v>124.5</v>
      </c>
      <c r="Z788" s="43">
        <f>X788+Y788</f>
        <v>124.5</v>
      </c>
      <c r="AA788" s="43"/>
    </row>
    <row r="789" spans="1:27" x14ac:dyDescent="0.25">
      <c r="A789" s="125" t="s">
        <v>957</v>
      </c>
      <c r="B789" s="128" t="s">
        <v>1000</v>
      </c>
      <c r="C789" s="27"/>
      <c r="D789" s="19"/>
      <c r="E789" s="19"/>
      <c r="F789" s="18"/>
      <c r="G789" s="64"/>
      <c r="H789" s="18"/>
      <c r="I789" s="85"/>
      <c r="J789" s="18"/>
      <c r="K789" s="100"/>
      <c r="L789" s="18"/>
      <c r="M789" s="120"/>
      <c r="N789" s="18"/>
      <c r="O789" s="84">
        <f t="shared" ref="O789:W789" si="236">O790</f>
        <v>1400</v>
      </c>
      <c r="P789" s="18">
        <f t="shared" si="225"/>
        <v>1400</v>
      </c>
      <c r="Q789" s="84">
        <f t="shared" si="236"/>
        <v>-840</v>
      </c>
      <c r="R789" s="18">
        <f t="shared" si="221"/>
        <v>560</v>
      </c>
      <c r="S789" s="84">
        <f t="shared" si="236"/>
        <v>0</v>
      </c>
      <c r="T789" s="18">
        <f t="shared" si="186"/>
        <v>560</v>
      </c>
      <c r="U789" s="84">
        <f t="shared" si="236"/>
        <v>0</v>
      </c>
      <c r="V789" s="18">
        <f t="shared" si="184"/>
        <v>560</v>
      </c>
      <c r="W789" s="84">
        <f t="shared" si="236"/>
        <v>0</v>
      </c>
      <c r="X789" s="18">
        <f t="shared" si="180"/>
        <v>560</v>
      </c>
    </row>
    <row r="790" spans="1:27" x14ac:dyDescent="0.25">
      <c r="A790" s="7" t="s">
        <v>54</v>
      </c>
      <c r="B790" s="130" t="s">
        <v>1000</v>
      </c>
      <c r="C790" s="86" t="s">
        <v>34</v>
      </c>
      <c r="D790" s="19"/>
      <c r="E790" s="19"/>
      <c r="F790" s="18"/>
      <c r="G790" s="64"/>
      <c r="H790" s="18"/>
      <c r="I790" s="85"/>
      <c r="J790" s="18"/>
      <c r="K790" s="100"/>
      <c r="L790" s="18"/>
      <c r="M790" s="120"/>
      <c r="N790" s="18"/>
      <c r="O790" s="100">
        <v>1400</v>
      </c>
      <c r="P790" s="18">
        <f t="shared" si="225"/>
        <v>1400</v>
      </c>
      <c r="Q790" s="85">
        <v>-840</v>
      </c>
      <c r="R790" s="18">
        <f t="shared" si="221"/>
        <v>560</v>
      </c>
      <c r="S790" s="121"/>
      <c r="T790" s="18">
        <f t="shared" si="186"/>
        <v>560</v>
      </c>
      <c r="U790" s="121"/>
      <c r="V790" s="18">
        <f t="shared" si="184"/>
        <v>560</v>
      </c>
      <c r="W790" s="121"/>
      <c r="X790" s="18">
        <f t="shared" si="180"/>
        <v>560</v>
      </c>
      <c r="Z790" s="43">
        <f>X790+Y790</f>
        <v>560</v>
      </c>
      <c r="AA790" s="43"/>
    </row>
    <row r="791" spans="1:27" ht="24" x14ac:dyDescent="0.25">
      <c r="A791" s="125" t="s">
        <v>958</v>
      </c>
      <c r="B791" s="128" t="s">
        <v>1001</v>
      </c>
      <c r="C791" s="27"/>
      <c r="D791" s="19"/>
      <c r="E791" s="19"/>
      <c r="F791" s="18"/>
      <c r="G791" s="64"/>
      <c r="H791" s="18"/>
      <c r="I791" s="85"/>
      <c r="J791" s="18"/>
      <c r="K791" s="100"/>
      <c r="L791" s="18"/>
      <c r="M791" s="120"/>
      <c r="N791" s="18"/>
      <c r="O791" s="84">
        <f t="shared" ref="O791:W791" si="237">O792</f>
        <v>702.5</v>
      </c>
      <c r="P791" s="18">
        <f t="shared" si="225"/>
        <v>702.5</v>
      </c>
      <c r="Q791" s="84">
        <f t="shared" si="237"/>
        <v>-421.5</v>
      </c>
      <c r="R791" s="18">
        <f t="shared" si="221"/>
        <v>281</v>
      </c>
      <c r="S791" s="84">
        <f t="shared" si="237"/>
        <v>0</v>
      </c>
      <c r="T791" s="18">
        <f t="shared" si="186"/>
        <v>281</v>
      </c>
      <c r="U791" s="84">
        <f t="shared" si="237"/>
        <v>0</v>
      </c>
      <c r="V791" s="18">
        <f t="shared" si="184"/>
        <v>281</v>
      </c>
      <c r="W791" s="84">
        <f t="shared" si="237"/>
        <v>0</v>
      </c>
      <c r="X791" s="18">
        <f t="shared" si="180"/>
        <v>281</v>
      </c>
    </row>
    <row r="792" spans="1:27" x14ac:dyDescent="0.25">
      <c r="A792" s="7" t="s">
        <v>54</v>
      </c>
      <c r="B792" s="130" t="s">
        <v>1001</v>
      </c>
      <c r="C792" s="86" t="s">
        <v>34</v>
      </c>
      <c r="D792" s="19"/>
      <c r="E792" s="19"/>
      <c r="F792" s="18"/>
      <c r="G792" s="64"/>
      <c r="H792" s="18"/>
      <c r="I792" s="85"/>
      <c r="J792" s="18"/>
      <c r="K792" s="100"/>
      <c r="L792" s="18"/>
      <c r="M792" s="120"/>
      <c r="N792" s="18"/>
      <c r="O792" s="100">
        <v>702.5</v>
      </c>
      <c r="P792" s="18">
        <f t="shared" si="225"/>
        <v>702.5</v>
      </c>
      <c r="Q792" s="85">
        <v>-421.5</v>
      </c>
      <c r="R792" s="18">
        <f t="shared" si="221"/>
        <v>281</v>
      </c>
      <c r="S792" s="121"/>
      <c r="T792" s="18">
        <f t="shared" si="186"/>
        <v>281</v>
      </c>
      <c r="U792" s="121"/>
      <c r="V792" s="18">
        <f t="shared" si="184"/>
        <v>281</v>
      </c>
      <c r="W792" s="121"/>
      <c r="X792" s="18">
        <f t="shared" si="180"/>
        <v>281</v>
      </c>
      <c r="Z792" s="43">
        <f>X792+Y792</f>
        <v>281</v>
      </c>
      <c r="AA792" s="43"/>
    </row>
    <row r="793" spans="1:27" ht="17.25" customHeight="1" x14ac:dyDescent="0.25">
      <c r="A793" s="125" t="s">
        <v>959</v>
      </c>
      <c r="B793" s="128" t="s">
        <v>1002</v>
      </c>
      <c r="C793" s="27"/>
      <c r="D793" s="19"/>
      <c r="E793" s="19"/>
      <c r="F793" s="18"/>
      <c r="G793" s="64"/>
      <c r="H793" s="18"/>
      <c r="I793" s="85"/>
      <c r="J793" s="18"/>
      <c r="K793" s="100"/>
      <c r="L793" s="18"/>
      <c r="M793" s="120"/>
      <c r="N793" s="18"/>
      <c r="O793" s="84">
        <f t="shared" ref="O793:W793" si="238">O794</f>
        <v>540</v>
      </c>
      <c r="P793" s="18">
        <f t="shared" si="225"/>
        <v>540</v>
      </c>
      <c r="Q793" s="84">
        <f t="shared" si="238"/>
        <v>-324</v>
      </c>
      <c r="R793" s="18">
        <f t="shared" si="221"/>
        <v>216</v>
      </c>
      <c r="S793" s="84">
        <f t="shared" si="238"/>
        <v>0</v>
      </c>
      <c r="T793" s="18">
        <f t="shared" si="186"/>
        <v>216</v>
      </c>
      <c r="U793" s="84">
        <f t="shared" si="238"/>
        <v>0</v>
      </c>
      <c r="V793" s="18">
        <f t="shared" si="184"/>
        <v>216</v>
      </c>
      <c r="W793" s="84">
        <f t="shared" si="238"/>
        <v>0</v>
      </c>
      <c r="X793" s="18">
        <f t="shared" si="180"/>
        <v>216</v>
      </c>
    </row>
    <row r="794" spans="1:27" x14ac:dyDescent="0.25">
      <c r="A794" s="7" t="s">
        <v>54</v>
      </c>
      <c r="B794" s="130" t="s">
        <v>1002</v>
      </c>
      <c r="C794" s="86" t="s">
        <v>34</v>
      </c>
      <c r="D794" s="19"/>
      <c r="E794" s="19"/>
      <c r="F794" s="18"/>
      <c r="G794" s="64"/>
      <c r="H794" s="18"/>
      <c r="I794" s="85"/>
      <c r="J794" s="18"/>
      <c r="K794" s="100"/>
      <c r="L794" s="18"/>
      <c r="M794" s="120"/>
      <c r="N794" s="18"/>
      <c r="O794" s="100">
        <v>540</v>
      </c>
      <c r="P794" s="18">
        <f t="shared" si="225"/>
        <v>540</v>
      </c>
      <c r="Q794" s="85">
        <v>-324</v>
      </c>
      <c r="R794" s="18">
        <f t="shared" si="221"/>
        <v>216</v>
      </c>
      <c r="S794" s="121"/>
      <c r="T794" s="18">
        <f t="shared" si="186"/>
        <v>216</v>
      </c>
      <c r="U794" s="121"/>
      <c r="V794" s="18">
        <f t="shared" si="184"/>
        <v>216</v>
      </c>
      <c r="W794" s="121"/>
      <c r="X794" s="18">
        <f t="shared" si="180"/>
        <v>216</v>
      </c>
      <c r="Z794" s="43">
        <f>X794+Y794</f>
        <v>216</v>
      </c>
      <c r="AA794" s="43"/>
    </row>
    <row r="795" spans="1:27" ht="36" x14ac:dyDescent="0.25">
      <c r="A795" s="125" t="s">
        <v>960</v>
      </c>
      <c r="B795" s="128" t="s">
        <v>1003</v>
      </c>
      <c r="C795" s="27"/>
      <c r="D795" s="19"/>
      <c r="E795" s="19"/>
      <c r="F795" s="18"/>
      <c r="G795" s="64"/>
      <c r="H795" s="18"/>
      <c r="I795" s="85"/>
      <c r="J795" s="18"/>
      <c r="K795" s="100"/>
      <c r="L795" s="18"/>
      <c r="M795" s="120"/>
      <c r="N795" s="18"/>
      <c r="O795" s="84">
        <f t="shared" ref="O795:W795" si="239">O796</f>
        <v>357.5</v>
      </c>
      <c r="P795" s="18">
        <f t="shared" si="225"/>
        <v>357.5</v>
      </c>
      <c r="Q795" s="84">
        <f t="shared" si="239"/>
        <v>-214.5</v>
      </c>
      <c r="R795" s="18">
        <f t="shared" si="221"/>
        <v>143</v>
      </c>
      <c r="S795" s="84">
        <f t="shared" si="239"/>
        <v>0</v>
      </c>
      <c r="T795" s="18">
        <f t="shared" si="186"/>
        <v>143</v>
      </c>
      <c r="U795" s="84">
        <f t="shared" si="239"/>
        <v>0</v>
      </c>
      <c r="V795" s="18">
        <f t="shared" si="184"/>
        <v>143</v>
      </c>
      <c r="W795" s="84">
        <f t="shared" si="239"/>
        <v>0</v>
      </c>
      <c r="X795" s="18">
        <f t="shared" si="180"/>
        <v>143</v>
      </c>
    </row>
    <row r="796" spans="1:27" x14ac:dyDescent="0.25">
      <c r="A796" s="7" t="s">
        <v>54</v>
      </c>
      <c r="B796" s="130" t="s">
        <v>1003</v>
      </c>
      <c r="C796" s="86" t="s">
        <v>34</v>
      </c>
      <c r="D796" s="19"/>
      <c r="E796" s="19"/>
      <c r="F796" s="18"/>
      <c r="G796" s="64"/>
      <c r="H796" s="18"/>
      <c r="I796" s="85"/>
      <c r="J796" s="18"/>
      <c r="K796" s="100"/>
      <c r="L796" s="18"/>
      <c r="M796" s="120"/>
      <c r="N796" s="18"/>
      <c r="O796" s="100">
        <v>357.5</v>
      </c>
      <c r="P796" s="18">
        <f t="shared" si="225"/>
        <v>357.5</v>
      </c>
      <c r="Q796" s="85">
        <v>-214.5</v>
      </c>
      <c r="R796" s="18">
        <f t="shared" si="221"/>
        <v>143</v>
      </c>
      <c r="S796" s="121"/>
      <c r="T796" s="18">
        <f t="shared" si="186"/>
        <v>143</v>
      </c>
      <c r="U796" s="121"/>
      <c r="V796" s="18">
        <f t="shared" si="184"/>
        <v>143</v>
      </c>
      <c r="W796" s="121"/>
      <c r="X796" s="18">
        <f t="shared" si="180"/>
        <v>143</v>
      </c>
      <c r="Z796" s="43">
        <f>X796+Y796</f>
        <v>143</v>
      </c>
      <c r="AA796" s="43"/>
    </row>
    <row r="797" spans="1:27" ht="24" x14ac:dyDescent="0.25">
      <c r="A797" s="125" t="s">
        <v>961</v>
      </c>
      <c r="B797" s="128" t="s">
        <v>1004</v>
      </c>
      <c r="C797" s="27"/>
      <c r="D797" s="19"/>
      <c r="E797" s="19"/>
      <c r="F797" s="18"/>
      <c r="G797" s="64"/>
      <c r="H797" s="18"/>
      <c r="I797" s="85"/>
      <c r="J797" s="18"/>
      <c r="K797" s="100"/>
      <c r="L797" s="18"/>
      <c r="M797" s="120"/>
      <c r="N797" s="18"/>
      <c r="O797" s="84">
        <f t="shared" ref="O797:W797" si="240">O798</f>
        <v>650</v>
      </c>
      <c r="P797" s="18">
        <f t="shared" si="225"/>
        <v>650</v>
      </c>
      <c r="Q797" s="84">
        <f t="shared" si="240"/>
        <v>-390</v>
      </c>
      <c r="R797" s="18">
        <f t="shared" si="221"/>
        <v>260</v>
      </c>
      <c r="S797" s="84">
        <f t="shared" si="240"/>
        <v>0</v>
      </c>
      <c r="T797" s="18">
        <f t="shared" si="186"/>
        <v>260</v>
      </c>
      <c r="U797" s="84">
        <f t="shared" si="240"/>
        <v>0</v>
      </c>
      <c r="V797" s="18">
        <f t="shared" si="184"/>
        <v>260</v>
      </c>
      <c r="W797" s="84">
        <f t="shared" si="240"/>
        <v>0</v>
      </c>
      <c r="X797" s="18">
        <f t="shared" si="180"/>
        <v>260</v>
      </c>
    </row>
    <row r="798" spans="1:27" x14ac:dyDescent="0.25">
      <c r="A798" s="7" t="s">
        <v>54</v>
      </c>
      <c r="B798" s="130" t="s">
        <v>1004</v>
      </c>
      <c r="C798" s="86" t="s">
        <v>34</v>
      </c>
      <c r="D798" s="19"/>
      <c r="E798" s="19"/>
      <c r="F798" s="18"/>
      <c r="G798" s="64"/>
      <c r="H798" s="18"/>
      <c r="I798" s="85"/>
      <c r="J798" s="18"/>
      <c r="K798" s="100"/>
      <c r="L798" s="18"/>
      <c r="M798" s="120"/>
      <c r="N798" s="18"/>
      <c r="O798" s="100">
        <v>650</v>
      </c>
      <c r="P798" s="18">
        <f t="shared" si="225"/>
        <v>650</v>
      </c>
      <c r="Q798" s="85">
        <v>-390</v>
      </c>
      <c r="R798" s="18">
        <f t="shared" si="221"/>
        <v>260</v>
      </c>
      <c r="S798" s="121"/>
      <c r="T798" s="18">
        <f t="shared" si="186"/>
        <v>260</v>
      </c>
      <c r="U798" s="121"/>
      <c r="V798" s="18">
        <f t="shared" si="184"/>
        <v>260</v>
      </c>
      <c r="W798" s="121"/>
      <c r="X798" s="18">
        <f t="shared" si="180"/>
        <v>260</v>
      </c>
      <c r="Z798" s="43">
        <f>X798+Y798</f>
        <v>260</v>
      </c>
      <c r="AA798" s="43"/>
    </row>
    <row r="799" spans="1:27" x14ac:dyDescent="0.25">
      <c r="A799" s="125" t="s">
        <v>962</v>
      </c>
      <c r="B799" s="128" t="s">
        <v>1005</v>
      </c>
      <c r="C799" s="27"/>
      <c r="D799" s="19"/>
      <c r="E799" s="19"/>
      <c r="F799" s="18"/>
      <c r="G799" s="64"/>
      <c r="H799" s="18"/>
      <c r="I799" s="85"/>
      <c r="J799" s="18"/>
      <c r="K799" s="100"/>
      <c r="L799" s="18"/>
      <c r="M799" s="120"/>
      <c r="N799" s="18"/>
      <c r="O799" s="84">
        <f t="shared" ref="O799:W799" si="241">O800</f>
        <v>650</v>
      </c>
      <c r="P799" s="18">
        <f t="shared" si="225"/>
        <v>650</v>
      </c>
      <c r="Q799" s="84">
        <f t="shared" si="241"/>
        <v>-390</v>
      </c>
      <c r="R799" s="18">
        <f t="shared" si="221"/>
        <v>260</v>
      </c>
      <c r="S799" s="84">
        <f t="shared" si="241"/>
        <v>0</v>
      </c>
      <c r="T799" s="18">
        <f t="shared" si="186"/>
        <v>260</v>
      </c>
      <c r="U799" s="84">
        <f t="shared" si="241"/>
        <v>0</v>
      </c>
      <c r="V799" s="18">
        <f t="shared" si="184"/>
        <v>260</v>
      </c>
      <c r="W799" s="84">
        <f t="shared" si="241"/>
        <v>0</v>
      </c>
      <c r="X799" s="18">
        <f t="shared" si="180"/>
        <v>260</v>
      </c>
    </row>
    <row r="800" spans="1:27" x14ac:dyDescent="0.25">
      <c r="A800" s="7" t="s">
        <v>54</v>
      </c>
      <c r="B800" s="130" t="s">
        <v>1005</v>
      </c>
      <c r="C800" s="86" t="s">
        <v>34</v>
      </c>
      <c r="D800" s="19"/>
      <c r="E800" s="19"/>
      <c r="F800" s="18"/>
      <c r="G800" s="64"/>
      <c r="H800" s="18"/>
      <c r="I800" s="85"/>
      <c r="J800" s="18"/>
      <c r="K800" s="100"/>
      <c r="L800" s="18"/>
      <c r="M800" s="120"/>
      <c r="N800" s="18"/>
      <c r="O800" s="100">
        <v>650</v>
      </c>
      <c r="P800" s="18">
        <f t="shared" si="225"/>
        <v>650</v>
      </c>
      <c r="Q800" s="85">
        <v>-390</v>
      </c>
      <c r="R800" s="18">
        <f t="shared" si="221"/>
        <v>260</v>
      </c>
      <c r="S800" s="121"/>
      <c r="T800" s="18">
        <f t="shared" si="186"/>
        <v>260</v>
      </c>
      <c r="U800" s="121"/>
      <c r="V800" s="18">
        <f t="shared" si="184"/>
        <v>260</v>
      </c>
      <c r="W800" s="121"/>
      <c r="X800" s="18">
        <f t="shared" si="180"/>
        <v>260</v>
      </c>
      <c r="Z800" s="43">
        <f>X800+Y800</f>
        <v>260</v>
      </c>
      <c r="AA800" s="43"/>
    </row>
    <row r="801" spans="1:27" x14ac:dyDescent="0.25">
      <c r="A801" s="125" t="s">
        <v>963</v>
      </c>
      <c r="B801" s="128" t="s">
        <v>1006</v>
      </c>
      <c r="C801" s="27"/>
      <c r="D801" s="19"/>
      <c r="E801" s="19"/>
      <c r="F801" s="18"/>
      <c r="G801" s="64"/>
      <c r="H801" s="18"/>
      <c r="I801" s="85"/>
      <c r="J801" s="18"/>
      <c r="K801" s="100"/>
      <c r="L801" s="18"/>
      <c r="M801" s="120"/>
      <c r="N801" s="18"/>
      <c r="O801" s="84">
        <f t="shared" ref="O801:W801" si="242">O802</f>
        <v>345</v>
      </c>
      <c r="P801" s="18">
        <f t="shared" si="225"/>
        <v>345</v>
      </c>
      <c r="Q801" s="84">
        <f t="shared" si="242"/>
        <v>-207</v>
      </c>
      <c r="R801" s="18">
        <f t="shared" si="221"/>
        <v>138</v>
      </c>
      <c r="S801" s="84">
        <f t="shared" si="242"/>
        <v>0</v>
      </c>
      <c r="T801" s="18">
        <f t="shared" si="186"/>
        <v>138</v>
      </c>
      <c r="U801" s="84">
        <f t="shared" si="242"/>
        <v>0</v>
      </c>
      <c r="V801" s="18">
        <f t="shared" si="184"/>
        <v>138</v>
      </c>
      <c r="W801" s="84">
        <f t="shared" si="242"/>
        <v>0</v>
      </c>
      <c r="X801" s="18">
        <f t="shared" si="180"/>
        <v>138</v>
      </c>
    </row>
    <row r="802" spans="1:27" x14ac:dyDescent="0.25">
      <c r="A802" s="7" t="s">
        <v>54</v>
      </c>
      <c r="B802" s="130" t="s">
        <v>1006</v>
      </c>
      <c r="C802" s="86" t="s">
        <v>34</v>
      </c>
      <c r="D802" s="19"/>
      <c r="E802" s="19"/>
      <c r="F802" s="18"/>
      <c r="G802" s="64"/>
      <c r="H802" s="18"/>
      <c r="I802" s="85"/>
      <c r="J802" s="18"/>
      <c r="K802" s="100"/>
      <c r="L802" s="18"/>
      <c r="M802" s="120"/>
      <c r="N802" s="18"/>
      <c r="O802" s="100">
        <v>345</v>
      </c>
      <c r="P802" s="18">
        <f t="shared" si="225"/>
        <v>345</v>
      </c>
      <c r="Q802" s="85">
        <v>-207</v>
      </c>
      <c r="R802" s="18">
        <f t="shared" si="221"/>
        <v>138</v>
      </c>
      <c r="S802" s="121"/>
      <c r="T802" s="18">
        <f t="shared" si="186"/>
        <v>138</v>
      </c>
      <c r="U802" s="121"/>
      <c r="V802" s="18">
        <f t="shared" si="184"/>
        <v>138</v>
      </c>
      <c r="W802" s="121"/>
      <c r="X802" s="18">
        <f t="shared" si="180"/>
        <v>138</v>
      </c>
      <c r="Z802" s="43">
        <f>X802+Y802</f>
        <v>138</v>
      </c>
      <c r="AA802" s="43"/>
    </row>
    <row r="803" spans="1:27" x14ac:dyDescent="0.25">
      <c r="A803" s="125" t="s">
        <v>1007</v>
      </c>
      <c r="B803" s="133" t="s">
        <v>1036</v>
      </c>
      <c r="C803" s="27"/>
      <c r="D803" s="19"/>
      <c r="E803" s="19"/>
      <c r="F803" s="18"/>
      <c r="G803" s="64"/>
      <c r="H803" s="18"/>
      <c r="I803" s="85"/>
      <c r="J803" s="18"/>
      <c r="K803" s="100"/>
      <c r="L803" s="18"/>
      <c r="M803" s="120"/>
      <c r="N803" s="18"/>
      <c r="O803" s="84">
        <f t="shared" ref="O803:W803" si="243">O804</f>
        <v>260</v>
      </c>
      <c r="P803" s="18">
        <f t="shared" si="225"/>
        <v>260</v>
      </c>
      <c r="Q803" s="84">
        <f t="shared" si="243"/>
        <v>-156</v>
      </c>
      <c r="R803" s="18">
        <f t="shared" si="221"/>
        <v>104</v>
      </c>
      <c r="S803" s="84">
        <f t="shared" si="243"/>
        <v>0</v>
      </c>
      <c r="T803" s="18">
        <f t="shared" si="186"/>
        <v>104</v>
      </c>
      <c r="U803" s="84">
        <f t="shared" si="243"/>
        <v>0</v>
      </c>
      <c r="V803" s="18">
        <f t="shared" si="184"/>
        <v>104</v>
      </c>
      <c r="W803" s="84">
        <f t="shared" si="243"/>
        <v>0</v>
      </c>
      <c r="X803" s="18">
        <f t="shared" si="180"/>
        <v>104</v>
      </c>
    </row>
    <row r="804" spans="1:27" x14ac:dyDescent="0.25">
      <c r="A804" s="7" t="s">
        <v>54</v>
      </c>
      <c r="B804" s="132" t="s">
        <v>1036</v>
      </c>
      <c r="C804" s="86" t="s">
        <v>34</v>
      </c>
      <c r="D804" s="19"/>
      <c r="E804" s="19"/>
      <c r="F804" s="18"/>
      <c r="G804" s="64"/>
      <c r="H804" s="18"/>
      <c r="I804" s="85"/>
      <c r="J804" s="18"/>
      <c r="K804" s="100"/>
      <c r="L804" s="18"/>
      <c r="M804" s="120"/>
      <c r="N804" s="18"/>
      <c r="O804" s="100">
        <v>260</v>
      </c>
      <c r="P804" s="18">
        <f t="shared" si="225"/>
        <v>260</v>
      </c>
      <c r="Q804" s="85">
        <v>-156</v>
      </c>
      <c r="R804" s="18">
        <f t="shared" si="221"/>
        <v>104</v>
      </c>
      <c r="S804" s="121"/>
      <c r="T804" s="18">
        <f t="shared" si="186"/>
        <v>104</v>
      </c>
      <c r="U804" s="121"/>
      <c r="V804" s="18">
        <f t="shared" si="184"/>
        <v>104</v>
      </c>
      <c r="W804" s="121"/>
      <c r="X804" s="18">
        <f t="shared" si="180"/>
        <v>104</v>
      </c>
      <c r="Z804" s="43">
        <f>X804+Y804</f>
        <v>104</v>
      </c>
      <c r="AA804" s="43"/>
    </row>
    <row r="805" spans="1:27" ht="24" x14ac:dyDescent="0.25">
      <c r="A805" s="125" t="s">
        <v>1008</v>
      </c>
      <c r="B805" s="128" t="s">
        <v>1037</v>
      </c>
      <c r="C805" s="27"/>
      <c r="D805" s="19"/>
      <c r="E805" s="19"/>
      <c r="F805" s="18"/>
      <c r="G805" s="64"/>
      <c r="H805" s="18"/>
      <c r="I805" s="85"/>
      <c r="J805" s="18"/>
      <c r="K805" s="100"/>
      <c r="L805" s="18"/>
      <c r="M805" s="120"/>
      <c r="N805" s="18"/>
      <c r="O805" s="84">
        <f t="shared" ref="O805:W805" si="244">O806</f>
        <v>400</v>
      </c>
      <c r="P805" s="18">
        <f t="shared" si="225"/>
        <v>400</v>
      </c>
      <c r="Q805" s="84">
        <f t="shared" si="244"/>
        <v>-240</v>
      </c>
      <c r="R805" s="18">
        <f t="shared" si="221"/>
        <v>160</v>
      </c>
      <c r="S805" s="84">
        <f t="shared" si="244"/>
        <v>0</v>
      </c>
      <c r="T805" s="18">
        <f t="shared" si="186"/>
        <v>160</v>
      </c>
      <c r="U805" s="84">
        <f t="shared" si="244"/>
        <v>0</v>
      </c>
      <c r="V805" s="18">
        <f t="shared" si="184"/>
        <v>160</v>
      </c>
      <c r="W805" s="84">
        <f t="shared" si="244"/>
        <v>0</v>
      </c>
      <c r="X805" s="18">
        <f t="shared" si="180"/>
        <v>160</v>
      </c>
    </row>
    <row r="806" spans="1:27" x14ac:dyDescent="0.25">
      <c r="A806" s="7" t="s">
        <v>54</v>
      </c>
      <c r="B806" s="130" t="s">
        <v>1037</v>
      </c>
      <c r="C806" s="86" t="s">
        <v>34</v>
      </c>
      <c r="D806" s="19"/>
      <c r="E806" s="19"/>
      <c r="F806" s="18"/>
      <c r="G806" s="64"/>
      <c r="H806" s="18"/>
      <c r="I806" s="85"/>
      <c r="J806" s="18"/>
      <c r="K806" s="100"/>
      <c r="L806" s="18"/>
      <c r="M806" s="120"/>
      <c r="N806" s="18"/>
      <c r="O806" s="100">
        <v>400</v>
      </c>
      <c r="P806" s="18">
        <f t="shared" si="225"/>
        <v>400</v>
      </c>
      <c r="Q806" s="85">
        <v>-240</v>
      </c>
      <c r="R806" s="18">
        <f t="shared" si="221"/>
        <v>160</v>
      </c>
      <c r="S806" s="121"/>
      <c r="T806" s="18">
        <f t="shared" si="186"/>
        <v>160</v>
      </c>
      <c r="U806" s="121"/>
      <c r="V806" s="18">
        <f t="shared" si="184"/>
        <v>160</v>
      </c>
      <c r="W806" s="121"/>
      <c r="X806" s="18">
        <f t="shared" si="180"/>
        <v>160</v>
      </c>
      <c r="Z806" s="43">
        <f>X806+Y806</f>
        <v>160</v>
      </c>
      <c r="AA806" s="43"/>
    </row>
    <row r="807" spans="1:27" x14ac:dyDescent="0.25">
      <c r="A807" s="125" t="s">
        <v>1009</v>
      </c>
      <c r="B807" s="128" t="s">
        <v>1038</v>
      </c>
      <c r="C807" s="27"/>
      <c r="D807" s="19"/>
      <c r="E807" s="19"/>
      <c r="F807" s="18"/>
      <c r="G807" s="64"/>
      <c r="H807" s="18"/>
      <c r="I807" s="85"/>
      <c r="J807" s="18"/>
      <c r="K807" s="100"/>
      <c r="L807" s="18"/>
      <c r="M807" s="120"/>
      <c r="N807" s="18"/>
      <c r="O807" s="84">
        <f t="shared" ref="O807:W807" si="245">O808</f>
        <v>165</v>
      </c>
      <c r="P807" s="18">
        <f t="shared" si="225"/>
        <v>165</v>
      </c>
      <c r="Q807" s="84">
        <f t="shared" si="245"/>
        <v>-99</v>
      </c>
      <c r="R807" s="18">
        <f t="shared" si="221"/>
        <v>66</v>
      </c>
      <c r="S807" s="84">
        <f t="shared" si="245"/>
        <v>0</v>
      </c>
      <c r="T807" s="18">
        <f t="shared" si="186"/>
        <v>66</v>
      </c>
      <c r="U807" s="84">
        <f t="shared" si="245"/>
        <v>0</v>
      </c>
      <c r="V807" s="18">
        <f t="shared" si="184"/>
        <v>66</v>
      </c>
      <c r="W807" s="84">
        <f t="shared" si="245"/>
        <v>0</v>
      </c>
      <c r="X807" s="18">
        <f t="shared" si="180"/>
        <v>66</v>
      </c>
    </row>
    <row r="808" spans="1:27" x14ac:dyDescent="0.25">
      <c r="A808" s="7" t="s">
        <v>54</v>
      </c>
      <c r="B808" s="130" t="s">
        <v>1038</v>
      </c>
      <c r="C808" s="86" t="s">
        <v>34</v>
      </c>
      <c r="D808" s="19"/>
      <c r="E808" s="19"/>
      <c r="F808" s="18"/>
      <c r="G808" s="64"/>
      <c r="H808" s="18"/>
      <c r="I808" s="85"/>
      <c r="J808" s="18"/>
      <c r="K808" s="100"/>
      <c r="L808" s="18"/>
      <c r="M808" s="120"/>
      <c r="N808" s="18"/>
      <c r="O808" s="100">
        <v>165</v>
      </c>
      <c r="P808" s="18">
        <f t="shared" si="225"/>
        <v>165</v>
      </c>
      <c r="Q808" s="85">
        <v>-99</v>
      </c>
      <c r="R808" s="18">
        <f t="shared" si="221"/>
        <v>66</v>
      </c>
      <c r="S808" s="121"/>
      <c r="T808" s="18">
        <f t="shared" si="186"/>
        <v>66</v>
      </c>
      <c r="U808" s="121"/>
      <c r="V808" s="18">
        <f t="shared" si="184"/>
        <v>66</v>
      </c>
      <c r="W808" s="121"/>
      <c r="X808" s="18">
        <f t="shared" si="180"/>
        <v>66</v>
      </c>
      <c r="Z808" s="43">
        <f>X808+Y808</f>
        <v>66</v>
      </c>
      <c r="AA808" s="43"/>
    </row>
    <row r="809" spans="1:27" ht="24" x14ac:dyDescent="0.25">
      <c r="A809" s="125" t="s">
        <v>1010</v>
      </c>
      <c r="B809" s="128" t="s">
        <v>1039</v>
      </c>
      <c r="C809" s="27"/>
      <c r="D809" s="19"/>
      <c r="E809" s="19"/>
      <c r="F809" s="18"/>
      <c r="G809" s="64"/>
      <c r="H809" s="18"/>
      <c r="I809" s="85"/>
      <c r="J809" s="18"/>
      <c r="K809" s="100"/>
      <c r="L809" s="18"/>
      <c r="M809" s="120"/>
      <c r="N809" s="18"/>
      <c r="O809" s="84">
        <f t="shared" ref="O809:W809" si="246">O810</f>
        <v>195</v>
      </c>
      <c r="P809" s="18">
        <f t="shared" si="225"/>
        <v>195</v>
      </c>
      <c r="Q809" s="84">
        <f t="shared" si="246"/>
        <v>-117</v>
      </c>
      <c r="R809" s="18">
        <f t="shared" si="221"/>
        <v>78</v>
      </c>
      <c r="S809" s="84">
        <f t="shared" si="246"/>
        <v>0</v>
      </c>
      <c r="T809" s="18">
        <f t="shared" si="186"/>
        <v>78</v>
      </c>
      <c r="U809" s="84">
        <f t="shared" si="246"/>
        <v>0</v>
      </c>
      <c r="V809" s="18">
        <f t="shared" si="184"/>
        <v>78</v>
      </c>
      <c r="W809" s="84">
        <f t="shared" si="246"/>
        <v>0</v>
      </c>
      <c r="X809" s="18">
        <f t="shared" si="180"/>
        <v>78</v>
      </c>
    </row>
    <row r="810" spans="1:27" x14ac:dyDescent="0.25">
      <c r="A810" s="7" t="s">
        <v>54</v>
      </c>
      <c r="B810" s="130" t="s">
        <v>1039</v>
      </c>
      <c r="C810" s="86" t="s">
        <v>34</v>
      </c>
      <c r="D810" s="19"/>
      <c r="E810" s="19"/>
      <c r="F810" s="18"/>
      <c r="G810" s="64"/>
      <c r="H810" s="18"/>
      <c r="I810" s="85"/>
      <c r="J810" s="18"/>
      <c r="K810" s="100"/>
      <c r="L810" s="18"/>
      <c r="M810" s="120"/>
      <c r="N810" s="18"/>
      <c r="O810" s="100">
        <v>195</v>
      </c>
      <c r="P810" s="18">
        <f t="shared" si="225"/>
        <v>195</v>
      </c>
      <c r="Q810" s="85">
        <v>-117</v>
      </c>
      <c r="R810" s="18">
        <f t="shared" si="221"/>
        <v>78</v>
      </c>
      <c r="S810" s="121"/>
      <c r="T810" s="18">
        <f t="shared" si="186"/>
        <v>78</v>
      </c>
      <c r="U810" s="121"/>
      <c r="V810" s="18">
        <f t="shared" si="184"/>
        <v>78</v>
      </c>
      <c r="W810" s="121"/>
      <c r="X810" s="18">
        <f t="shared" si="180"/>
        <v>78</v>
      </c>
      <c r="Z810" s="43">
        <f>X810+Y810</f>
        <v>78</v>
      </c>
      <c r="AA810" s="43"/>
    </row>
    <row r="811" spans="1:27" x14ac:dyDescent="0.25">
      <c r="A811" s="125" t="s">
        <v>1011</v>
      </c>
      <c r="B811" s="128" t="s">
        <v>1040</v>
      </c>
      <c r="C811" s="27"/>
      <c r="D811" s="19"/>
      <c r="E811" s="19"/>
      <c r="F811" s="18"/>
      <c r="G811" s="64"/>
      <c r="H811" s="18"/>
      <c r="I811" s="85"/>
      <c r="J811" s="18"/>
      <c r="K811" s="100"/>
      <c r="L811" s="18"/>
      <c r="M811" s="120"/>
      <c r="N811" s="18"/>
      <c r="O811" s="84">
        <f t="shared" ref="O811:W811" si="247">O812</f>
        <v>500</v>
      </c>
      <c r="P811" s="18">
        <f t="shared" si="225"/>
        <v>500</v>
      </c>
      <c r="Q811" s="84">
        <f t="shared" si="247"/>
        <v>-300</v>
      </c>
      <c r="R811" s="18">
        <f t="shared" si="221"/>
        <v>200</v>
      </c>
      <c r="S811" s="84">
        <f t="shared" si="247"/>
        <v>0</v>
      </c>
      <c r="T811" s="18">
        <f t="shared" si="186"/>
        <v>200</v>
      </c>
      <c r="U811" s="84">
        <f t="shared" si="247"/>
        <v>0</v>
      </c>
      <c r="V811" s="18">
        <f t="shared" si="184"/>
        <v>200</v>
      </c>
      <c r="W811" s="84">
        <f t="shared" si="247"/>
        <v>0</v>
      </c>
      <c r="X811" s="18">
        <f t="shared" si="180"/>
        <v>200</v>
      </c>
    </row>
    <row r="812" spans="1:27" x14ac:dyDescent="0.25">
      <c r="A812" s="7" t="s">
        <v>54</v>
      </c>
      <c r="B812" s="130" t="s">
        <v>1040</v>
      </c>
      <c r="C812" s="86" t="s">
        <v>34</v>
      </c>
      <c r="D812" s="19"/>
      <c r="E812" s="19"/>
      <c r="F812" s="18"/>
      <c r="G812" s="64"/>
      <c r="H812" s="18"/>
      <c r="I812" s="85"/>
      <c r="J812" s="18"/>
      <c r="K812" s="100"/>
      <c r="L812" s="18"/>
      <c r="M812" s="120"/>
      <c r="N812" s="18"/>
      <c r="O812" s="100">
        <v>500</v>
      </c>
      <c r="P812" s="18">
        <f t="shared" si="225"/>
        <v>500</v>
      </c>
      <c r="Q812" s="85">
        <v>-300</v>
      </c>
      <c r="R812" s="18">
        <f t="shared" si="221"/>
        <v>200</v>
      </c>
      <c r="S812" s="121"/>
      <c r="T812" s="18">
        <f t="shared" si="186"/>
        <v>200</v>
      </c>
      <c r="U812" s="121"/>
      <c r="V812" s="18">
        <f t="shared" si="184"/>
        <v>200</v>
      </c>
      <c r="W812" s="121"/>
      <c r="X812" s="18">
        <f t="shared" si="180"/>
        <v>200</v>
      </c>
      <c r="Z812" s="43">
        <f>X812+Y812</f>
        <v>200</v>
      </c>
      <c r="AA812" s="43"/>
    </row>
    <row r="813" spans="1:27" x14ac:dyDescent="0.25">
      <c r="A813" s="125" t="s">
        <v>1012</v>
      </c>
      <c r="B813" s="128" t="s">
        <v>1041</v>
      </c>
      <c r="C813" s="27"/>
      <c r="D813" s="19"/>
      <c r="E813" s="19"/>
      <c r="F813" s="18"/>
      <c r="G813" s="64"/>
      <c r="H813" s="18"/>
      <c r="I813" s="85"/>
      <c r="J813" s="18"/>
      <c r="K813" s="100"/>
      <c r="L813" s="18"/>
      <c r="M813" s="120"/>
      <c r="N813" s="18"/>
      <c r="O813" s="84">
        <f t="shared" ref="O813:W813" si="248">O814</f>
        <v>480</v>
      </c>
      <c r="P813" s="18">
        <f t="shared" si="225"/>
        <v>480</v>
      </c>
      <c r="Q813" s="84">
        <f t="shared" si="248"/>
        <v>-288</v>
      </c>
      <c r="R813" s="18">
        <f t="shared" si="221"/>
        <v>192</v>
      </c>
      <c r="S813" s="84">
        <f t="shared" si="248"/>
        <v>0</v>
      </c>
      <c r="T813" s="18">
        <f t="shared" si="186"/>
        <v>192</v>
      </c>
      <c r="U813" s="84">
        <f t="shared" si="248"/>
        <v>0</v>
      </c>
      <c r="V813" s="18">
        <f t="shared" si="184"/>
        <v>192</v>
      </c>
      <c r="W813" s="84">
        <f t="shared" si="248"/>
        <v>0</v>
      </c>
      <c r="X813" s="18">
        <f t="shared" si="180"/>
        <v>192</v>
      </c>
    </row>
    <row r="814" spans="1:27" x14ac:dyDescent="0.25">
      <c r="A814" s="7" t="s">
        <v>54</v>
      </c>
      <c r="B814" s="130" t="s">
        <v>1041</v>
      </c>
      <c r="C814" s="86" t="s">
        <v>34</v>
      </c>
      <c r="D814" s="19"/>
      <c r="E814" s="19"/>
      <c r="F814" s="18"/>
      <c r="G814" s="64"/>
      <c r="H814" s="18"/>
      <c r="I814" s="85"/>
      <c r="J814" s="18"/>
      <c r="K814" s="100"/>
      <c r="L814" s="18"/>
      <c r="M814" s="120"/>
      <c r="N814" s="18"/>
      <c r="O814" s="100">
        <v>480</v>
      </c>
      <c r="P814" s="18">
        <f t="shared" si="225"/>
        <v>480</v>
      </c>
      <c r="Q814" s="85">
        <v>-288</v>
      </c>
      <c r="R814" s="18">
        <f t="shared" si="221"/>
        <v>192</v>
      </c>
      <c r="S814" s="121"/>
      <c r="T814" s="18">
        <f t="shared" si="186"/>
        <v>192</v>
      </c>
      <c r="U814" s="121"/>
      <c r="V814" s="18">
        <f t="shared" si="184"/>
        <v>192</v>
      </c>
      <c r="W814" s="121"/>
      <c r="X814" s="18">
        <f t="shared" si="180"/>
        <v>192</v>
      </c>
      <c r="Z814" s="43">
        <f>X814+Y814</f>
        <v>192</v>
      </c>
      <c r="AA814" s="43"/>
    </row>
    <row r="815" spans="1:27" x14ac:dyDescent="0.25">
      <c r="A815" s="125" t="s">
        <v>1013</v>
      </c>
      <c r="B815" s="128" t="s">
        <v>1042</v>
      </c>
      <c r="C815" s="27"/>
      <c r="D815" s="19"/>
      <c r="E815" s="19"/>
      <c r="F815" s="18"/>
      <c r="G815" s="64"/>
      <c r="H815" s="18"/>
      <c r="I815" s="85"/>
      <c r="J815" s="18"/>
      <c r="K815" s="100"/>
      <c r="L815" s="18"/>
      <c r="M815" s="120"/>
      <c r="N815" s="18"/>
      <c r="O815" s="84">
        <f t="shared" ref="O815:W815" si="249">O816</f>
        <v>357.5</v>
      </c>
      <c r="P815" s="18">
        <f t="shared" si="225"/>
        <v>357.5</v>
      </c>
      <c r="Q815" s="84">
        <f t="shared" si="249"/>
        <v>-214.5</v>
      </c>
      <c r="R815" s="18">
        <f t="shared" si="221"/>
        <v>143</v>
      </c>
      <c r="S815" s="84">
        <f t="shared" si="249"/>
        <v>0</v>
      </c>
      <c r="T815" s="18">
        <f t="shared" si="186"/>
        <v>143</v>
      </c>
      <c r="U815" s="84">
        <f t="shared" si="249"/>
        <v>0</v>
      </c>
      <c r="V815" s="18">
        <f t="shared" si="184"/>
        <v>143</v>
      </c>
      <c r="W815" s="84">
        <f t="shared" si="249"/>
        <v>0</v>
      </c>
      <c r="X815" s="18">
        <f t="shared" si="180"/>
        <v>143</v>
      </c>
    </row>
    <row r="816" spans="1:27" x14ac:dyDescent="0.25">
      <c r="A816" s="7" t="s">
        <v>54</v>
      </c>
      <c r="B816" s="130" t="s">
        <v>1042</v>
      </c>
      <c r="C816" s="86" t="s">
        <v>34</v>
      </c>
      <c r="D816" s="19"/>
      <c r="E816" s="19"/>
      <c r="F816" s="18"/>
      <c r="G816" s="64"/>
      <c r="H816" s="18"/>
      <c r="I816" s="85"/>
      <c r="J816" s="18"/>
      <c r="K816" s="100"/>
      <c r="L816" s="18"/>
      <c r="M816" s="120"/>
      <c r="N816" s="18"/>
      <c r="O816" s="100">
        <v>357.5</v>
      </c>
      <c r="P816" s="18">
        <f t="shared" si="225"/>
        <v>357.5</v>
      </c>
      <c r="Q816" s="85">
        <v>-214.5</v>
      </c>
      <c r="R816" s="18">
        <f t="shared" si="221"/>
        <v>143</v>
      </c>
      <c r="S816" s="121"/>
      <c r="T816" s="18">
        <f t="shared" si="186"/>
        <v>143</v>
      </c>
      <c r="U816" s="121"/>
      <c r="V816" s="18">
        <f t="shared" si="184"/>
        <v>143</v>
      </c>
      <c r="W816" s="121"/>
      <c r="X816" s="18">
        <f t="shared" si="180"/>
        <v>143</v>
      </c>
      <c r="Z816" s="43">
        <f>X816+Y816</f>
        <v>143</v>
      </c>
      <c r="AA816" s="43"/>
    </row>
    <row r="817" spans="1:27" ht="36" x14ac:dyDescent="0.25">
      <c r="A817" s="125" t="s">
        <v>1014</v>
      </c>
      <c r="B817" s="128" t="s">
        <v>1043</v>
      </c>
      <c r="C817" s="27"/>
      <c r="D817" s="19"/>
      <c r="E817" s="19"/>
      <c r="F817" s="18"/>
      <c r="G817" s="64"/>
      <c r="H817" s="18"/>
      <c r="I817" s="85"/>
      <c r="J817" s="18"/>
      <c r="K817" s="100"/>
      <c r="L817" s="18"/>
      <c r="M817" s="120"/>
      <c r="N817" s="18"/>
      <c r="O817" s="84">
        <f t="shared" ref="O817:W817" si="250">O818</f>
        <v>330</v>
      </c>
      <c r="P817" s="18">
        <f t="shared" si="225"/>
        <v>330</v>
      </c>
      <c r="Q817" s="84">
        <f t="shared" si="250"/>
        <v>-198</v>
      </c>
      <c r="R817" s="18">
        <f t="shared" si="221"/>
        <v>132</v>
      </c>
      <c r="S817" s="84">
        <f t="shared" si="250"/>
        <v>0</v>
      </c>
      <c r="T817" s="18">
        <f t="shared" si="186"/>
        <v>132</v>
      </c>
      <c r="U817" s="84">
        <f t="shared" si="250"/>
        <v>0</v>
      </c>
      <c r="V817" s="18">
        <f t="shared" si="184"/>
        <v>132</v>
      </c>
      <c r="W817" s="84">
        <f t="shared" si="250"/>
        <v>0</v>
      </c>
      <c r="X817" s="18">
        <f t="shared" si="180"/>
        <v>132</v>
      </c>
    </row>
    <row r="818" spans="1:27" x14ac:dyDescent="0.25">
      <c r="A818" s="7" t="s">
        <v>54</v>
      </c>
      <c r="B818" s="130" t="s">
        <v>1043</v>
      </c>
      <c r="C818" s="86" t="s">
        <v>34</v>
      </c>
      <c r="D818" s="19"/>
      <c r="E818" s="19"/>
      <c r="F818" s="18"/>
      <c r="G818" s="64"/>
      <c r="H818" s="18"/>
      <c r="I818" s="85"/>
      <c r="J818" s="18"/>
      <c r="K818" s="100"/>
      <c r="L818" s="18"/>
      <c r="M818" s="120"/>
      <c r="N818" s="18"/>
      <c r="O818" s="100">
        <v>330</v>
      </c>
      <c r="P818" s="18">
        <f t="shared" si="225"/>
        <v>330</v>
      </c>
      <c r="Q818" s="85">
        <v>-198</v>
      </c>
      <c r="R818" s="18">
        <f t="shared" si="221"/>
        <v>132</v>
      </c>
      <c r="S818" s="121"/>
      <c r="T818" s="18">
        <f t="shared" si="186"/>
        <v>132</v>
      </c>
      <c r="U818" s="121"/>
      <c r="V818" s="18">
        <f t="shared" si="184"/>
        <v>132</v>
      </c>
      <c r="W818" s="121"/>
      <c r="X818" s="18">
        <f t="shared" si="180"/>
        <v>132</v>
      </c>
      <c r="Z818" s="43">
        <f>X818+Y818</f>
        <v>132</v>
      </c>
      <c r="AA818" s="43"/>
    </row>
    <row r="819" spans="1:27" x14ac:dyDescent="0.25">
      <c r="A819" s="125" t="s">
        <v>1015</v>
      </c>
      <c r="B819" s="128" t="s">
        <v>1044</v>
      </c>
      <c r="C819" s="27"/>
      <c r="D819" s="19"/>
      <c r="E819" s="19"/>
      <c r="F819" s="18"/>
      <c r="G819" s="64"/>
      <c r="H819" s="18"/>
      <c r="I819" s="85"/>
      <c r="J819" s="18"/>
      <c r="K819" s="100"/>
      <c r="L819" s="18"/>
      <c r="M819" s="120"/>
      <c r="N819" s="18"/>
      <c r="O819" s="84">
        <f t="shared" ref="O819:W819" si="251">O820</f>
        <v>187</v>
      </c>
      <c r="P819" s="18">
        <f t="shared" si="225"/>
        <v>187</v>
      </c>
      <c r="Q819" s="84">
        <f t="shared" si="251"/>
        <v>-112.2</v>
      </c>
      <c r="R819" s="18">
        <f t="shared" si="221"/>
        <v>74.8</v>
      </c>
      <c r="S819" s="84">
        <f t="shared" si="251"/>
        <v>0</v>
      </c>
      <c r="T819" s="18">
        <f t="shared" si="186"/>
        <v>74.8</v>
      </c>
      <c r="U819" s="84">
        <f t="shared" si="251"/>
        <v>0</v>
      </c>
      <c r="V819" s="18">
        <f t="shared" si="184"/>
        <v>74.8</v>
      </c>
      <c r="W819" s="84">
        <f t="shared" si="251"/>
        <v>0</v>
      </c>
      <c r="X819" s="18">
        <f t="shared" si="180"/>
        <v>74.8</v>
      </c>
    </row>
    <row r="820" spans="1:27" x14ac:dyDescent="0.25">
      <c r="A820" s="7" t="s">
        <v>54</v>
      </c>
      <c r="B820" s="130" t="s">
        <v>1044</v>
      </c>
      <c r="C820" s="86" t="s">
        <v>34</v>
      </c>
      <c r="D820" s="19"/>
      <c r="E820" s="19"/>
      <c r="F820" s="18"/>
      <c r="G820" s="64"/>
      <c r="H820" s="18"/>
      <c r="I820" s="85"/>
      <c r="J820" s="18"/>
      <c r="K820" s="100"/>
      <c r="L820" s="18"/>
      <c r="M820" s="120"/>
      <c r="N820" s="18"/>
      <c r="O820" s="100">
        <v>187</v>
      </c>
      <c r="P820" s="18">
        <f t="shared" si="225"/>
        <v>187</v>
      </c>
      <c r="Q820" s="85">
        <v>-112.2</v>
      </c>
      <c r="R820" s="18">
        <f t="shared" si="221"/>
        <v>74.8</v>
      </c>
      <c r="S820" s="121"/>
      <c r="T820" s="18">
        <f t="shared" si="186"/>
        <v>74.8</v>
      </c>
      <c r="U820" s="121"/>
      <c r="V820" s="18">
        <f t="shared" si="184"/>
        <v>74.8</v>
      </c>
      <c r="W820" s="121"/>
      <c r="X820" s="18">
        <f t="shared" si="180"/>
        <v>74.8</v>
      </c>
      <c r="Z820" s="43">
        <f>X820+Y820</f>
        <v>74.8</v>
      </c>
      <c r="AA820" s="43"/>
    </row>
    <row r="821" spans="1:27" x14ac:dyDescent="0.25">
      <c r="A821" s="125" t="s">
        <v>1016</v>
      </c>
      <c r="B821" s="128" t="s">
        <v>1045</v>
      </c>
      <c r="C821" s="27"/>
      <c r="D821" s="19"/>
      <c r="E821" s="19"/>
      <c r="F821" s="18"/>
      <c r="G821" s="64"/>
      <c r="H821" s="18"/>
      <c r="I821" s="85"/>
      <c r="J821" s="18"/>
      <c r="K821" s="100"/>
      <c r="L821" s="18"/>
      <c r="M821" s="120"/>
      <c r="N821" s="18"/>
      <c r="O821" s="84">
        <f t="shared" ref="O821:W821" si="252">O822</f>
        <v>315</v>
      </c>
      <c r="P821" s="18">
        <f t="shared" si="225"/>
        <v>315</v>
      </c>
      <c r="Q821" s="84">
        <f t="shared" si="252"/>
        <v>-189</v>
      </c>
      <c r="R821" s="18">
        <f t="shared" si="221"/>
        <v>126</v>
      </c>
      <c r="S821" s="84">
        <f t="shared" si="252"/>
        <v>0</v>
      </c>
      <c r="T821" s="18">
        <f t="shared" si="186"/>
        <v>126</v>
      </c>
      <c r="U821" s="84">
        <f t="shared" si="252"/>
        <v>0</v>
      </c>
      <c r="V821" s="18">
        <f t="shared" si="184"/>
        <v>126</v>
      </c>
      <c r="W821" s="84">
        <f t="shared" si="252"/>
        <v>0</v>
      </c>
      <c r="X821" s="18">
        <f t="shared" si="180"/>
        <v>126</v>
      </c>
    </row>
    <row r="822" spans="1:27" x14ac:dyDescent="0.25">
      <c r="A822" s="7" t="s">
        <v>54</v>
      </c>
      <c r="B822" s="130" t="s">
        <v>1045</v>
      </c>
      <c r="C822" s="86" t="s">
        <v>34</v>
      </c>
      <c r="D822" s="19"/>
      <c r="E822" s="19"/>
      <c r="F822" s="18"/>
      <c r="G822" s="64"/>
      <c r="H822" s="18"/>
      <c r="I822" s="85"/>
      <c r="J822" s="18"/>
      <c r="K822" s="100"/>
      <c r="L822" s="18"/>
      <c r="M822" s="120"/>
      <c r="N822" s="18"/>
      <c r="O822" s="100">
        <v>315</v>
      </c>
      <c r="P822" s="18">
        <f t="shared" si="225"/>
        <v>315</v>
      </c>
      <c r="Q822" s="85">
        <v>-189</v>
      </c>
      <c r="R822" s="18">
        <f t="shared" si="221"/>
        <v>126</v>
      </c>
      <c r="S822" s="121"/>
      <c r="T822" s="18">
        <f t="shared" si="186"/>
        <v>126</v>
      </c>
      <c r="U822" s="121"/>
      <c r="V822" s="18">
        <f t="shared" si="184"/>
        <v>126</v>
      </c>
      <c r="W822" s="121"/>
      <c r="X822" s="18">
        <f t="shared" si="180"/>
        <v>126</v>
      </c>
      <c r="Z822" s="43">
        <f>X822+Y822</f>
        <v>126</v>
      </c>
      <c r="AA822" s="43"/>
    </row>
    <row r="823" spans="1:27" x14ac:dyDescent="0.25">
      <c r="A823" s="125" t="s">
        <v>1017</v>
      </c>
      <c r="B823" s="128" t="s">
        <v>1046</v>
      </c>
      <c r="C823" s="27"/>
      <c r="D823" s="19"/>
      <c r="E823" s="19"/>
      <c r="F823" s="18"/>
      <c r="G823" s="64"/>
      <c r="H823" s="18"/>
      <c r="I823" s="85"/>
      <c r="J823" s="18"/>
      <c r="K823" s="100"/>
      <c r="L823" s="18"/>
      <c r="M823" s="120"/>
      <c r="N823" s="18"/>
      <c r="O823" s="84">
        <f t="shared" ref="O823:W823" si="253">O824</f>
        <v>305</v>
      </c>
      <c r="P823" s="18">
        <f t="shared" si="225"/>
        <v>305</v>
      </c>
      <c r="Q823" s="84">
        <f t="shared" si="253"/>
        <v>-183</v>
      </c>
      <c r="R823" s="18">
        <f t="shared" si="221"/>
        <v>122</v>
      </c>
      <c r="S823" s="84">
        <f t="shared" si="253"/>
        <v>0</v>
      </c>
      <c r="T823" s="18">
        <f t="shared" si="186"/>
        <v>122</v>
      </c>
      <c r="U823" s="84">
        <f t="shared" si="253"/>
        <v>0</v>
      </c>
      <c r="V823" s="18">
        <f t="shared" si="184"/>
        <v>122</v>
      </c>
      <c r="W823" s="84">
        <f t="shared" si="253"/>
        <v>0</v>
      </c>
      <c r="X823" s="18">
        <f t="shared" si="180"/>
        <v>122</v>
      </c>
    </row>
    <row r="824" spans="1:27" x14ac:dyDescent="0.25">
      <c r="A824" s="7" t="s">
        <v>54</v>
      </c>
      <c r="B824" s="130" t="s">
        <v>1046</v>
      </c>
      <c r="C824" s="86" t="s">
        <v>34</v>
      </c>
      <c r="D824" s="19"/>
      <c r="E824" s="19"/>
      <c r="F824" s="18"/>
      <c r="G824" s="64"/>
      <c r="H824" s="18"/>
      <c r="I824" s="85"/>
      <c r="J824" s="18"/>
      <c r="K824" s="100"/>
      <c r="L824" s="18"/>
      <c r="M824" s="120"/>
      <c r="N824" s="18"/>
      <c r="O824" s="100">
        <v>305</v>
      </c>
      <c r="P824" s="18">
        <f t="shared" si="225"/>
        <v>305</v>
      </c>
      <c r="Q824" s="85">
        <v>-183</v>
      </c>
      <c r="R824" s="18">
        <f t="shared" si="221"/>
        <v>122</v>
      </c>
      <c r="S824" s="121"/>
      <c r="T824" s="18">
        <f t="shared" si="186"/>
        <v>122</v>
      </c>
      <c r="U824" s="121"/>
      <c r="V824" s="18">
        <f t="shared" si="184"/>
        <v>122</v>
      </c>
      <c r="W824" s="121"/>
      <c r="X824" s="18">
        <f t="shared" si="180"/>
        <v>122</v>
      </c>
      <c r="Z824" s="43">
        <f>X824+Y824</f>
        <v>122</v>
      </c>
      <c r="AA824" s="43"/>
    </row>
    <row r="825" spans="1:27" x14ac:dyDescent="0.25">
      <c r="A825" s="125" t="s">
        <v>1018</v>
      </c>
      <c r="B825" s="128" t="s">
        <v>1047</v>
      </c>
      <c r="C825" s="27"/>
      <c r="D825" s="19"/>
      <c r="E825" s="19"/>
      <c r="F825" s="18"/>
      <c r="G825" s="64"/>
      <c r="H825" s="18"/>
      <c r="I825" s="85"/>
      <c r="J825" s="18"/>
      <c r="K825" s="100"/>
      <c r="L825" s="18"/>
      <c r="M825" s="120"/>
      <c r="N825" s="18"/>
      <c r="O825" s="84">
        <f t="shared" ref="O825:W825" si="254">O826</f>
        <v>227.5</v>
      </c>
      <c r="P825" s="18">
        <f t="shared" si="225"/>
        <v>227.5</v>
      </c>
      <c r="Q825" s="84">
        <f t="shared" si="254"/>
        <v>-136.5</v>
      </c>
      <c r="R825" s="18">
        <f t="shared" si="221"/>
        <v>91</v>
      </c>
      <c r="S825" s="84">
        <f t="shared" si="254"/>
        <v>0</v>
      </c>
      <c r="T825" s="18">
        <f t="shared" si="186"/>
        <v>91</v>
      </c>
      <c r="U825" s="84">
        <f t="shared" si="254"/>
        <v>0</v>
      </c>
      <c r="V825" s="18">
        <f t="shared" si="184"/>
        <v>91</v>
      </c>
      <c r="W825" s="84">
        <f t="shared" si="254"/>
        <v>0</v>
      </c>
      <c r="X825" s="18">
        <f t="shared" si="180"/>
        <v>91</v>
      </c>
    </row>
    <row r="826" spans="1:27" x14ac:dyDescent="0.25">
      <c r="A826" s="7" t="s">
        <v>54</v>
      </c>
      <c r="B826" s="130" t="s">
        <v>1047</v>
      </c>
      <c r="C826" s="86" t="s">
        <v>34</v>
      </c>
      <c r="D826" s="19"/>
      <c r="E826" s="19"/>
      <c r="F826" s="18"/>
      <c r="G826" s="64"/>
      <c r="H826" s="18"/>
      <c r="I826" s="85"/>
      <c r="J826" s="18"/>
      <c r="K826" s="100"/>
      <c r="L826" s="18"/>
      <c r="M826" s="120"/>
      <c r="N826" s="18"/>
      <c r="O826" s="100">
        <v>227.5</v>
      </c>
      <c r="P826" s="18">
        <f t="shared" si="225"/>
        <v>227.5</v>
      </c>
      <c r="Q826" s="85">
        <v>-136.5</v>
      </c>
      <c r="R826" s="18">
        <f t="shared" si="221"/>
        <v>91</v>
      </c>
      <c r="S826" s="121"/>
      <c r="T826" s="18">
        <f t="shared" si="186"/>
        <v>91</v>
      </c>
      <c r="U826" s="121"/>
      <c r="V826" s="18">
        <f t="shared" si="184"/>
        <v>91</v>
      </c>
      <c r="W826" s="121"/>
      <c r="X826" s="18">
        <f t="shared" si="180"/>
        <v>91</v>
      </c>
      <c r="Z826" s="43">
        <f>X826+Y826</f>
        <v>91</v>
      </c>
      <c r="AA826" s="43"/>
    </row>
    <row r="827" spans="1:27" x14ac:dyDescent="0.25">
      <c r="A827" s="125" t="s">
        <v>1019</v>
      </c>
      <c r="B827" s="128" t="s">
        <v>1048</v>
      </c>
      <c r="C827" s="27"/>
      <c r="D827" s="19"/>
      <c r="E827" s="19"/>
      <c r="F827" s="18"/>
      <c r="G827" s="64"/>
      <c r="H827" s="18"/>
      <c r="I827" s="85"/>
      <c r="J827" s="18"/>
      <c r="K827" s="100"/>
      <c r="L827" s="18"/>
      <c r="M827" s="120"/>
      <c r="N827" s="18"/>
      <c r="O827" s="84">
        <f t="shared" ref="O827:W827" si="255">O828</f>
        <v>211.5</v>
      </c>
      <c r="P827" s="18">
        <f t="shared" si="225"/>
        <v>211.5</v>
      </c>
      <c r="Q827" s="84">
        <f t="shared" si="255"/>
        <v>-126.9</v>
      </c>
      <c r="R827" s="18">
        <f t="shared" si="221"/>
        <v>84.6</v>
      </c>
      <c r="S827" s="84">
        <f t="shared" si="255"/>
        <v>0</v>
      </c>
      <c r="T827" s="18">
        <f t="shared" si="186"/>
        <v>84.6</v>
      </c>
      <c r="U827" s="84">
        <f t="shared" si="255"/>
        <v>0</v>
      </c>
      <c r="V827" s="18">
        <f t="shared" si="184"/>
        <v>84.6</v>
      </c>
      <c r="W827" s="84">
        <f t="shared" si="255"/>
        <v>0</v>
      </c>
      <c r="X827" s="18">
        <f t="shared" si="180"/>
        <v>84.6</v>
      </c>
    </row>
    <row r="828" spans="1:27" x14ac:dyDescent="0.25">
      <c r="A828" s="7" t="s">
        <v>54</v>
      </c>
      <c r="B828" s="130" t="s">
        <v>1048</v>
      </c>
      <c r="C828" s="86" t="s">
        <v>34</v>
      </c>
      <c r="D828" s="19"/>
      <c r="E828" s="19"/>
      <c r="F828" s="18"/>
      <c r="G828" s="64"/>
      <c r="H828" s="18"/>
      <c r="I828" s="85"/>
      <c r="J828" s="18"/>
      <c r="K828" s="100"/>
      <c r="L828" s="18"/>
      <c r="M828" s="120"/>
      <c r="N828" s="18"/>
      <c r="O828" s="100">
        <v>211.5</v>
      </c>
      <c r="P828" s="18">
        <f t="shared" si="225"/>
        <v>211.5</v>
      </c>
      <c r="Q828" s="85">
        <v>-126.9</v>
      </c>
      <c r="R828" s="18">
        <f t="shared" ref="R828:R891" si="256">P828+Q828</f>
        <v>84.6</v>
      </c>
      <c r="S828" s="121"/>
      <c r="T828" s="18">
        <f t="shared" si="186"/>
        <v>84.6</v>
      </c>
      <c r="U828" s="121"/>
      <c r="V828" s="18">
        <f t="shared" si="184"/>
        <v>84.6</v>
      </c>
      <c r="W828" s="121"/>
      <c r="X828" s="18">
        <f t="shared" si="180"/>
        <v>84.6</v>
      </c>
      <c r="Z828" s="43">
        <f>X828+Y828</f>
        <v>84.6</v>
      </c>
      <c r="AA828" s="43"/>
    </row>
    <row r="829" spans="1:27" ht="24" x14ac:dyDescent="0.25">
      <c r="A829" s="125" t="s">
        <v>1020</v>
      </c>
      <c r="B829" s="128" t="s">
        <v>1049</v>
      </c>
      <c r="C829" s="27"/>
      <c r="D829" s="19"/>
      <c r="E829" s="19"/>
      <c r="F829" s="18"/>
      <c r="G829" s="64"/>
      <c r="H829" s="18"/>
      <c r="I829" s="85"/>
      <c r="J829" s="18"/>
      <c r="K829" s="100"/>
      <c r="L829" s="18"/>
      <c r="M829" s="120"/>
      <c r="N829" s="18"/>
      <c r="O829" s="84">
        <f t="shared" ref="O829:W829" si="257">O830</f>
        <v>501.3</v>
      </c>
      <c r="P829" s="18">
        <f t="shared" si="225"/>
        <v>501.3</v>
      </c>
      <c r="Q829" s="84">
        <f t="shared" si="257"/>
        <v>-300.8</v>
      </c>
      <c r="R829" s="18">
        <f t="shared" si="256"/>
        <v>200.5</v>
      </c>
      <c r="S829" s="84">
        <f t="shared" si="257"/>
        <v>0</v>
      </c>
      <c r="T829" s="18">
        <f t="shared" si="186"/>
        <v>200.5</v>
      </c>
      <c r="U829" s="84">
        <f t="shared" si="257"/>
        <v>0</v>
      </c>
      <c r="V829" s="18">
        <f t="shared" si="184"/>
        <v>200.5</v>
      </c>
      <c r="W829" s="84">
        <f t="shared" si="257"/>
        <v>0</v>
      </c>
      <c r="X829" s="18">
        <f t="shared" si="180"/>
        <v>200.5</v>
      </c>
    </row>
    <row r="830" spans="1:27" x14ac:dyDescent="0.25">
      <c r="A830" s="7" t="s">
        <v>54</v>
      </c>
      <c r="B830" s="130" t="s">
        <v>1049</v>
      </c>
      <c r="C830" s="86" t="s">
        <v>34</v>
      </c>
      <c r="D830" s="19"/>
      <c r="E830" s="19"/>
      <c r="F830" s="18"/>
      <c r="G830" s="64"/>
      <c r="H830" s="18"/>
      <c r="I830" s="85"/>
      <c r="J830" s="18"/>
      <c r="K830" s="100"/>
      <c r="L830" s="18"/>
      <c r="M830" s="120"/>
      <c r="N830" s="18"/>
      <c r="O830" s="100">
        <v>501.3</v>
      </c>
      <c r="P830" s="18">
        <f t="shared" si="225"/>
        <v>501.3</v>
      </c>
      <c r="Q830" s="85">
        <v>-300.8</v>
      </c>
      <c r="R830" s="18">
        <f t="shared" si="256"/>
        <v>200.5</v>
      </c>
      <c r="S830" s="121"/>
      <c r="T830" s="18">
        <f t="shared" si="186"/>
        <v>200.5</v>
      </c>
      <c r="U830" s="121"/>
      <c r="V830" s="18">
        <f t="shared" si="184"/>
        <v>200.5</v>
      </c>
      <c r="W830" s="121"/>
      <c r="X830" s="18">
        <f t="shared" si="180"/>
        <v>200.5</v>
      </c>
      <c r="Z830" s="43">
        <f>X830+Y830</f>
        <v>200.5</v>
      </c>
      <c r="AA830" s="43"/>
    </row>
    <row r="831" spans="1:27" x14ac:dyDescent="0.25">
      <c r="A831" s="125" t="s">
        <v>1021</v>
      </c>
      <c r="B831" s="128" t="s">
        <v>1050</v>
      </c>
      <c r="C831" s="27"/>
      <c r="D831" s="19"/>
      <c r="E831" s="19"/>
      <c r="F831" s="18"/>
      <c r="G831" s="64"/>
      <c r="H831" s="18"/>
      <c r="I831" s="85"/>
      <c r="J831" s="18"/>
      <c r="K831" s="100"/>
      <c r="L831" s="18"/>
      <c r="M831" s="120"/>
      <c r="N831" s="18"/>
      <c r="O831" s="84">
        <f t="shared" ref="O831:W831" si="258">O832</f>
        <v>262.5</v>
      </c>
      <c r="P831" s="18">
        <f t="shared" ref="P831:P894" si="259">N831+O831</f>
        <v>262.5</v>
      </c>
      <c r="Q831" s="84">
        <f t="shared" si="258"/>
        <v>-157.5</v>
      </c>
      <c r="R831" s="18">
        <f t="shared" si="256"/>
        <v>105</v>
      </c>
      <c r="S831" s="84">
        <f t="shared" si="258"/>
        <v>0</v>
      </c>
      <c r="T831" s="18">
        <f t="shared" si="186"/>
        <v>105</v>
      </c>
      <c r="U831" s="84">
        <f t="shared" si="258"/>
        <v>0</v>
      </c>
      <c r="V831" s="18">
        <f t="shared" si="184"/>
        <v>105</v>
      </c>
      <c r="W831" s="84">
        <f t="shared" si="258"/>
        <v>0</v>
      </c>
      <c r="X831" s="18">
        <f t="shared" si="180"/>
        <v>105</v>
      </c>
    </row>
    <row r="832" spans="1:27" x14ac:dyDescent="0.25">
      <c r="A832" s="7" t="s">
        <v>54</v>
      </c>
      <c r="B832" s="130" t="s">
        <v>1050</v>
      </c>
      <c r="C832" s="86" t="s">
        <v>34</v>
      </c>
      <c r="D832" s="19"/>
      <c r="E832" s="19"/>
      <c r="F832" s="18"/>
      <c r="G832" s="64"/>
      <c r="H832" s="18"/>
      <c r="I832" s="85"/>
      <c r="J832" s="18"/>
      <c r="K832" s="100"/>
      <c r="L832" s="18"/>
      <c r="M832" s="120"/>
      <c r="N832" s="18"/>
      <c r="O832" s="100">
        <v>262.5</v>
      </c>
      <c r="P832" s="18">
        <f t="shared" si="259"/>
        <v>262.5</v>
      </c>
      <c r="Q832" s="85">
        <v>-157.5</v>
      </c>
      <c r="R832" s="18">
        <f t="shared" si="256"/>
        <v>105</v>
      </c>
      <c r="S832" s="121"/>
      <c r="T832" s="18">
        <f t="shared" si="186"/>
        <v>105</v>
      </c>
      <c r="U832" s="121"/>
      <c r="V832" s="18">
        <f t="shared" si="184"/>
        <v>105</v>
      </c>
      <c r="W832" s="121"/>
      <c r="X832" s="18">
        <f t="shared" si="180"/>
        <v>105</v>
      </c>
      <c r="Z832" s="43">
        <f>X832+Y832</f>
        <v>105</v>
      </c>
      <c r="AA832" s="43"/>
    </row>
    <row r="833" spans="1:27" ht="24" x14ac:dyDescent="0.25">
      <c r="A833" s="125" t="s">
        <v>1022</v>
      </c>
      <c r="B833" s="128" t="s">
        <v>1051</v>
      </c>
      <c r="C833" s="27"/>
      <c r="D833" s="19"/>
      <c r="E833" s="19"/>
      <c r="F833" s="18"/>
      <c r="G833" s="64"/>
      <c r="H833" s="18"/>
      <c r="I833" s="85"/>
      <c r="J833" s="18"/>
      <c r="K833" s="100"/>
      <c r="L833" s="18"/>
      <c r="M833" s="120"/>
      <c r="N833" s="18"/>
      <c r="O833" s="84">
        <f t="shared" ref="O833:W833" si="260">O834</f>
        <v>996.5</v>
      </c>
      <c r="P833" s="18">
        <f t="shared" si="259"/>
        <v>996.5</v>
      </c>
      <c r="Q833" s="84">
        <f t="shared" si="260"/>
        <v>-597.9</v>
      </c>
      <c r="R833" s="18">
        <f t="shared" si="256"/>
        <v>398.6</v>
      </c>
      <c r="S833" s="84">
        <f t="shared" si="260"/>
        <v>0</v>
      </c>
      <c r="T833" s="18">
        <f t="shared" si="186"/>
        <v>398.6</v>
      </c>
      <c r="U833" s="84">
        <f t="shared" si="260"/>
        <v>0</v>
      </c>
      <c r="V833" s="18">
        <f t="shared" si="184"/>
        <v>398.6</v>
      </c>
      <c r="W833" s="84">
        <f t="shared" si="260"/>
        <v>0</v>
      </c>
      <c r="X833" s="18">
        <f t="shared" si="180"/>
        <v>398.6</v>
      </c>
    </row>
    <row r="834" spans="1:27" x14ac:dyDescent="0.25">
      <c r="A834" s="7" t="s">
        <v>54</v>
      </c>
      <c r="B834" s="130" t="s">
        <v>1051</v>
      </c>
      <c r="C834" s="86" t="s">
        <v>34</v>
      </c>
      <c r="D834" s="19"/>
      <c r="E834" s="19"/>
      <c r="F834" s="18"/>
      <c r="G834" s="64"/>
      <c r="H834" s="18"/>
      <c r="I834" s="85"/>
      <c r="J834" s="18"/>
      <c r="K834" s="100"/>
      <c r="L834" s="18"/>
      <c r="M834" s="120"/>
      <c r="N834" s="18"/>
      <c r="O834" s="100">
        <v>996.5</v>
      </c>
      <c r="P834" s="18">
        <f t="shared" si="259"/>
        <v>996.5</v>
      </c>
      <c r="Q834" s="85">
        <v>-597.9</v>
      </c>
      <c r="R834" s="18">
        <f t="shared" si="256"/>
        <v>398.6</v>
      </c>
      <c r="S834" s="121"/>
      <c r="T834" s="18">
        <f t="shared" si="186"/>
        <v>398.6</v>
      </c>
      <c r="U834" s="121"/>
      <c r="V834" s="18">
        <f t="shared" si="184"/>
        <v>398.6</v>
      </c>
      <c r="W834" s="121"/>
      <c r="X834" s="18">
        <f t="shared" si="180"/>
        <v>398.6</v>
      </c>
      <c r="Z834" s="43">
        <f>X834+Y834</f>
        <v>398.6</v>
      </c>
      <c r="AA834" s="43"/>
    </row>
    <row r="835" spans="1:27" x14ac:dyDescent="0.25">
      <c r="A835" s="125" t="s">
        <v>1023</v>
      </c>
      <c r="B835" s="128" t="s">
        <v>1052</v>
      </c>
      <c r="C835" s="27"/>
      <c r="D835" s="19"/>
      <c r="E835" s="19"/>
      <c r="F835" s="18"/>
      <c r="G835" s="64"/>
      <c r="H835" s="18"/>
      <c r="I835" s="85"/>
      <c r="J835" s="18"/>
      <c r="K835" s="100"/>
      <c r="L835" s="18"/>
      <c r="M835" s="120"/>
      <c r="N835" s="18"/>
      <c r="O835" s="84">
        <f t="shared" ref="O835:W835" si="261">O836</f>
        <v>370</v>
      </c>
      <c r="P835" s="18">
        <f t="shared" si="259"/>
        <v>370</v>
      </c>
      <c r="Q835" s="84">
        <f t="shared" si="261"/>
        <v>-222</v>
      </c>
      <c r="R835" s="18">
        <f t="shared" si="256"/>
        <v>148</v>
      </c>
      <c r="S835" s="84">
        <f t="shared" si="261"/>
        <v>0</v>
      </c>
      <c r="T835" s="18">
        <f t="shared" si="186"/>
        <v>148</v>
      </c>
      <c r="U835" s="84">
        <f t="shared" si="261"/>
        <v>0</v>
      </c>
      <c r="V835" s="18">
        <f t="shared" si="184"/>
        <v>148</v>
      </c>
      <c r="W835" s="84">
        <f t="shared" si="261"/>
        <v>0</v>
      </c>
      <c r="X835" s="18">
        <f t="shared" si="180"/>
        <v>148</v>
      </c>
    </row>
    <row r="836" spans="1:27" x14ac:dyDescent="0.25">
      <c r="A836" s="7" t="s">
        <v>54</v>
      </c>
      <c r="B836" s="130" t="s">
        <v>1052</v>
      </c>
      <c r="C836" s="86" t="s">
        <v>34</v>
      </c>
      <c r="D836" s="19"/>
      <c r="E836" s="19"/>
      <c r="F836" s="18"/>
      <c r="G836" s="64"/>
      <c r="H836" s="18"/>
      <c r="I836" s="85"/>
      <c r="J836" s="18"/>
      <c r="K836" s="100"/>
      <c r="L836" s="18"/>
      <c r="M836" s="120"/>
      <c r="N836" s="18"/>
      <c r="O836" s="100">
        <v>370</v>
      </c>
      <c r="P836" s="18">
        <f t="shared" si="259"/>
        <v>370</v>
      </c>
      <c r="Q836" s="85">
        <v>-222</v>
      </c>
      <c r="R836" s="18">
        <f t="shared" si="256"/>
        <v>148</v>
      </c>
      <c r="S836" s="121"/>
      <c r="T836" s="18">
        <f t="shared" si="186"/>
        <v>148</v>
      </c>
      <c r="U836" s="121"/>
      <c r="V836" s="18">
        <f t="shared" si="184"/>
        <v>148</v>
      </c>
      <c r="W836" s="121"/>
      <c r="X836" s="18">
        <f t="shared" si="180"/>
        <v>148</v>
      </c>
      <c r="Z836" s="43">
        <f>X836+Y836</f>
        <v>148</v>
      </c>
      <c r="AA836" s="43"/>
    </row>
    <row r="837" spans="1:27" ht="24" x14ac:dyDescent="0.25">
      <c r="A837" s="125" t="s">
        <v>1024</v>
      </c>
      <c r="B837" s="128" t="s">
        <v>1053</v>
      </c>
      <c r="C837" s="27"/>
      <c r="D837" s="19"/>
      <c r="E837" s="19"/>
      <c r="F837" s="18"/>
      <c r="G837" s="64"/>
      <c r="H837" s="18"/>
      <c r="I837" s="85"/>
      <c r="J837" s="18"/>
      <c r="K837" s="100"/>
      <c r="L837" s="18"/>
      <c r="M837" s="120"/>
      <c r="N837" s="18"/>
      <c r="O837" s="84">
        <f t="shared" ref="O837:W837" si="262">O838</f>
        <v>870</v>
      </c>
      <c r="P837" s="18">
        <f t="shared" si="259"/>
        <v>870</v>
      </c>
      <c r="Q837" s="84">
        <f t="shared" si="262"/>
        <v>-522</v>
      </c>
      <c r="R837" s="18">
        <f t="shared" si="256"/>
        <v>348</v>
      </c>
      <c r="S837" s="84">
        <f t="shared" si="262"/>
        <v>0</v>
      </c>
      <c r="T837" s="18">
        <f t="shared" si="186"/>
        <v>348</v>
      </c>
      <c r="U837" s="84">
        <f t="shared" si="262"/>
        <v>0</v>
      </c>
      <c r="V837" s="18">
        <f t="shared" si="184"/>
        <v>348</v>
      </c>
      <c r="W837" s="84">
        <f t="shared" si="262"/>
        <v>0</v>
      </c>
      <c r="X837" s="18">
        <f t="shared" si="180"/>
        <v>348</v>
      </c>
    </row>
    <row r="838" spans="1:27" x14ac:dyDescent="0.25">
      <c r="A838" s="7" t="s">
        <v>54</v>
      </c>
      <c r="B838" s="130" t="s">
        <v>1053</v>
      </c>
      <c r="C838" s="86" t="s">
        <v>34</v>
      </c>
      <c r="D838" s="19"/>
      <c r="E838" s="19"/>
      <c r="F838" s="18"/>
      <c r="G838" s="64"/>
      <c r="H838" s="18"/>
      <c r="I838" s="85"/>
      <c r="J838" s="18"/>
      <c r="K838" s="100"/>
      <c r="L838" s="18"/>
      <c r="M838" s="120"/>
      <c r="N838" s="18"/>
      <c r="O838" s="100">
        <v>870</v>
      </c>
      <c r="P838" s="18">
        <f t="shared" si="259"/>
        <v>870</v>
      </c>
      <c r="Q838" s="85">
        <v>-522</v>
      </c>
      <c r="R838" s="18">
        <f t="shared" si="256"/>
        <v>348</v>
      </c>
      <c r="S838" s="121"/>
      <c r="T838" s="18">
        <f t="shared" si="186"/>
        <v>348</v>
      </c>
      <c r="U838" s="121"/>
      <c r="V838" s="18">
        <f t="shared" si="184"/>
        <v>348</v>
      </c>
      <c r="W838" s="121"/>
      <c r="X838" s="18">
        <f t="shared" si="180"/>
        <v>348</v>
      </c>
      <c r="Z838" s="43">
        <f>X838+Y838</f>
        <v>348</v>
      </c>
      <c r="AA838" s="43"/>
    </row>
    <row r="839" spans="1:27" x14ac:dyDescent="0.25">
      <c r="A839" s="125" t="s">
        <v>1025</v>
      </c>
      <c r="B839" s="128" t="s">
        <v>1054</v>
      </c>
      <c r="C839" s="27"/>
      <c r="D839" s="19"/>
      <c r="E839" s="19"/>
      <c r="F839" s="18"/>
      <c r="G839" s="64"/>
      <c r="H839" s="18"/>
      <c r="I839" s="85"/>
      <c r="J839" s="18"/>
      <c r="K839" s="100"/>
      <c r="L839" s="18"/>
      <c r="M839" s="120"/>
      <c r="N839" s="18"/>
      <c r="O839" s="84">
        <f t="shared" ref="O839:W839" si="263">O840</f>
        <v>1060</v>
      </c>
      <c r="P839" s="18">
        <f t="shared" si="259"/>
        <v>1060</v>
      </c>
      <c r="Q839" s="84">
        <f t="shared" si="263"/>
        <v>-636</v>
      </c>
      <c r="R839" s="18">
        <f t="shared" si="256"/>
        <v>424</v>
      </c>
      <c r="S839" s="84">
        <f t="shared" si="263"/>
        <v>0</v>
      </c>
      <c r="T839" s="18">
        <f t="shared" si="186"/>
        <v>424</v>
      </c>
      <c r="U839" s="84">
        <f t="shared" si="263"/>
        <v>0</v>
      </c>
      <c r="V839" s="18">
        <f t="shared" si="184"/>
        <v>424</v>
      </c>
      <c r="W839" s="84">
        <f t="shared" si="263"/>
        <v>0</v>
      </c>
      <c r="X839" s="18">
        <f t="shared" si="180"/>
        <v>424</v>
      </c>
    </row>
    <row r="840" spans="1:27" x14ac:dyDescent="0.25">
      <c r="A840" s="7" t="s">
        <v>54</v>
      </c>
      <c r="B840" s="130" t="s">
        <v>1054</v>
      </c>
      <c r="C840" s="86" t="s">
        <v>34</v>
      </c>
      <c r="D840" s="19"/>
      <c r="E840" s="19"/>
      <c r="F840" s="18"/>
      <c r="G840" s="64"/>
      <c r="H840" s="18"/>
      <c r="I840" s="85"/>
      <c r="J840" s="18"/>
      <c r="K840" s="100"/>
      <c r="L840" s="18"/>
      <c r="M840" s="120"/>
      <c r="N840" s="18"/>
      <c r="O840" s="100">
        <v>1060</v>
      </c>
      <c r="P840" s="18">
        <f t="shared" si="259"/>
        <v>1060</v>
      </c>
      <c r="Q840" s="85">
        <v>-636</v>
      </c>
      <c r="R840" s="18">
        <f t="shared" si="256"/>
        <v>424</v>
      </c>
      <c r="S840" s="121"/>
      <c r="T840" s="18">
        <f t="shared" si="186"/>
        <v>424</v>
      </c>
      <c r="U840" s="121"/>
      <c r="V840" s="18">
        <f t="shared" si="184"/>
        <v>424</v>
      </c>
      <c r="W840" s="121"/>
      <c r="X840" s="18">
        <f t="shared" si="180"/>
        <v>424</v>
      </c>
      <c r="Z840" s="43">
        <f>X840+Y840</f>
        <v>424</v>
      </c>
      <c r="AA840" s="43"/>
    </row>
    <row r="841" spans="1:27" ht="14.25" customHeight="1" x14ac:dyDescent="0.25">
      <c r="A841" s="125" t="s">
        <v>1026</v>
      </c>
      <c r="B841" s="128" t="s">
        <v>1055</v>
      </c>
      <c r="C841" s="27"/>
      <c r="D841" s="19"/>
      <c r="E841" s="19"/>
      <c r="F841" s="18"/>
      <c r="G841" s="64"/>
      <c r="H841" s="18"/>
      <c r="I841" s="85"/>
      <c r="J841" s="18"/>
      <c r="K841" s="100"/>
      <c r="L841" s="18"/>
      <c r="M841" s="120"/>
      <c r="N841" s="18"/>
      <c r="O841" s="84">
        <f t="shared" ref="O841:W841" si="264">O842</f>
        <v>335</v>
      </c>
      <c r="P841" s="18">
        <f t="shared" si="259"/>
        <v>335</v>
      </c>
      <c r="Q841" s="84">
        <f t="shared" si="264"/>
        <v>-201</v>
      </c>
      <c r="R841" s="18">
        <f t="shared" si="256"/>
        <v>134</v>
      </c>
      <c r="S841" s="84">
        <f t="shared" si="264"/>
        <v>0</v>
      </c>
      <c r="T841" s="18">
        <f t="shared" si="186"/>
        <v>134</v>
      </c>
      <c r="U841" s="84">
        <f t="shared" si="264"/>
        <v>0</v>
      </c>
      <c r="V841" s="18">
        <f t="shared" si="184"/>
        <v>134</v>
      </c>
      <c r="W841" s="84">
        <f t="shared" si="264"/>
        <v>0</v>
      </c>
      <c r="X841" s="18">
        <f t="shared" si="180"/>
        <v>134</v>
      </c>
    </row>
    <row r="842" spans="1:27" x14ac:dyDescent="0.25">
      <c r="A842" s="7" t="s">
        <v>54</v>
      </c>
      <c r="B842" s="130" t="s">
        <v>1055</v>
      </c>
      <c r="C842" s="86" t="s">
        <v>34</v>
      </c>
      <c r="D842" s="19"/>
      <c r="E842" s="19"/>
      <c r="F842" s="18"/>
      <c r="G842" s="64"/>
      <c r="H842" s="18"/>
      <c r="I842" s="85"/>
      <c r="J842" s="18"/>
      <c r="K842" s="100"/>
      <c r="L842" s="18"/>
      <c r="M842" s="120"/>
      <c r="N842" s="18"/>
      <c r="O842" s="100">
        <v>335</v>
      </c>
      <c r="P842" s="18">
        <f t="shared" si="259"/>
        <v>335</v>
      </c>
      <c r="Q842" s="85">
        <v>-201</v>
      </c>
      <c r="R842" s="18">
        <f t="shared" si="256"/>
        <v>134</v>
      </c>
      <c r="S842" s="121"/>
      <c r="T842" s="18">
        <f t="shared" si="186"/>
        <v>134</v>
      </c>
      <c r="U842" s="121"/>
      <c r="V842" s="18">
        <f t="shared" si="184"/>
        <v>134</v>
      </c>
      <c r="W842" s="121"/>
      <c r="X842" s="18">
        <f t="shared" si="180"/>
        <v>134</v>
      </c>
      <c r="Z842" s="43">
        <f>X842+Y842</f>
        <v>134</v>
      </c>
      <c r="AA842" s="43"/>
    </row>
    <row r="843" spans="1:27" x14ac:dyDescent="0.25">
      <c r="A843" s="125" t="s">
        <v>1027</v>
      </c>
      <c r="B843" s="128" t="s">
        <v>1056</v>
      </c>
      <c r="C843" s="27"/>
      <c r="D843" s="19"/>
      <c r="E843" s="19"/>
      <c r="F843" s="18"/>
      <c r="G843" s="64"/>
      <c r="H843" s="18"/>
      <c r="I843" s="85"/>
      <c r="J843" s="18"/>
      <c r="K843" s="100"/>
      <c r="L843" s="18"/>
      <c r="M843" s="120"/>
      <c r="N843" s="18"/>
      <c r="O843" s="84">
        <f t="shared" ref="O843:W843" si="265">O844</f>
        <v>190</v>
      </c>
      <c r="P843" s="18">
        <f t="shared" si="259"/>
        <v>190</v>
      </c>
      <c r="Q843" s="84">
        <f t="shared" si="265"/>
        <v>-114</v>
      </c>
      <c r="R843" s="18">
        <f t="shared" si="256"/>
        <v>76</v>
      </c>
      <c r="S843" s="84">
        <f t="shared" si="265"/>
        <v>0</v>
      </c>
      <c r="T843" s="18">
        <f t="shared" si="186"/>
        <v>76</v>
      </c>
      <c r="U843" s="84">
        <f t="shared" si="265"/>
        <v>0</v>
      </c>
      <c r="V843" s="18">
        <f t="shared" si="184"/>
        <v>76</v>
      </c>
      <c r="W843" s="84">
        <f t="shared" si="265"/>
        <v>0</v>
      </c>
      <c r="X843" s="18">
        <f t="shared" si="180"/>
        <v>76</v>
      </c>
    </row>
    <row r="844" spans="1:27" x14ac:dyDescent="0.25">
      <c r="A844" s="7" t="s">
        <v>54</v>
      </c>
      <c r="B844" s="130" t="s">
        <v>1056</v>
      </c>
      <c r="C844" s="86" t="s">
        <v>34</v>
      </c>
      <c r="D844" s="19"/>
      <c r="E844" s="19"/>
      <c r="F844" s="18"/>
      <c r="G844" s="64"/>
      <c r="H844" s="18"/>
      <c r="I844" s="85"/>
      <c r="J844" s="18"/>
      <c r="K844" s="100"/>
      <c r="L844" s="18"/>
      <c r="M844" s="120"/>
      <c r="N844" s="18"/>
      <c r="O844" s="100">
        <v>190</v>
      </c>
      <c r="P844" s="18">
        <f t="shared" si="259"/>
        <v>190</v>
      </c>
      <c r="Q844" s="85">
        <v>-114</v>
      </c>
      <c r="R844" s="18">
        <f t="shared" si="256"/>
        <v>76</v>
      </c>
      <c r="S844" s="121"/>
      <c r="T844" s="18">
        <f t="shared" si="186"/>
        <v>76</v>
      </c>
      <c r="U844" s="121"/>
      <c r="V844" s="18">
        <f t="shared" si="184"/>
        <v>76</v>
      </c>
      <c r="W844" s="121"/>
      <c r="X844" s="18">
        <f t="shared" si="180"/>
        <v>76</v>
      </c>
      <c r="Z844" s="43">
        <f>X844+Y844</f>
        <v>76</v>
      </c>
      <c r="AA844" s="43"/>
    </row>
    <row r="845" spans="1:27" x14ac:dyDescent="0.25">
      <c r="A845" s="125" t="s">
        <v>1028</v>
      </c>
      <c r="B845" s="128" t="s">
        <v>1057</v>
      </c>
      <c r="C845" s="27"/>
      <c r="D845" s="19"/>
      <c r="E845" s="19"/>
      <c r="F845" s="18"/>
      <c r="G845" s="64"/>
      <c r="H845" s="18"/>
      <c r="I845" s="85"/>
      <c r="J845" s="18"/>
      <c r="K845" s="100"/>
      <c r="L845" s="18"/>
      <c r="M845" s="120"/>
      <c r="N845" s="18"/>
      <c r="O845" s="84">
        <f t="shared" ref="O845:W845" si="266">O846</f>
        <v>500</v>
      </c>
      <c r="P845" s="18">
        <f t="shared" si="259"/>
        <v>500</v>
      </c>
      <c r="Q845" s="84">
        <f t="shared" si="266"/>
        <v>-300</v>
      </c>
      <c r="R845" s="18">
        <f t="shared" si="256"/>
        <v>200</v>
      </c>
      <c r="S845" s="84">
        <f t="shared" si="266"/>
        <v>0</v>
      </c>
      <c r="T845" s="18">
        <f t="shared" si="186"/>
        <v>200</v>
      </c>
      <c r="U845" s="84">
        <f t="shared" si="266"/>
        <v>0</v>
      </c>
      <c r="V845" s="18">
        <f t="shared" si="184"/>
        <v>200</v>
      </c>
      <c r="W845" s="84">
        <f t="shared" si="266"/>
        <v>0</v>
      </c>
      <c r="X845" s="18">
        <f t="shared" si="180"/>
        <v>200</v>
      </c>
    </row>
    <row r="846" spans="1:27" x14ac:dyDescent="0.25">
      <c r="A846" s="7" t="s">
        <v>54</v>
      </c>
      <c r="B846" s="130" t="s">
        <v>1057</v>
      </c>
      <c r="C846" s="86" t="s">
        <v>34</v>
      </c>
      <c r="D846" s="19"/>
      <c r="E846" s="19"/>
      <c r="F846" s="18"/>
      <c r="G846" s="64"/>
      <c r="H846" s="18"/>
      <c r="I846" s="85"/>
      <c r="J846" s="18"/>
      <c r="K846" s="100"/>
      <c r="L846" s="18"/>
      <c r="M846" s="120"/>
      <c r="N846" s="18"/>
      <c r="O846" s="100">
        <v>500</v>
      </c>
      <c r="P846" s="18">
        <f t="shared" si="259"/>
        <v>500</v>
      </c>
      <c r="Q846" s="85">
        <v>-300</v>
      </c>
      <c r="R846" s="18">
        <f t="shared" si="256"/>
        <v>200</v>
      </c>
      <c r="S846" s="121"/>
      <c r="T846" s="18">
        <f t="shared" si="186"/>
        <v>200</v>
      </c>
      <c r="U846" s="121"/>
      <c r="V846" s="18">
        <f t="shared" si="184"/>
        <v>200</v>
      </c>
      <c r="W846" s="121"/>
      <c r="X846" s="18">
        <f t="shared" si="180"/>
        <v>200</v>
      </c>
      <c r="Z846" s="43">
        <f>X846+Y846</f>
        <v>200</v>
      </c>
      <c r="AA846" s="43"/>
    </row>
    <row r="847" spans="1:27" ht="24" x14ac:dyDescent="0.25">
      <c r="A847" s="125" t="s">
        <v>1029</v>
      </c>
      <c r="B847" s="128" t="s">
        <v>1058</v>
      </c>
      <c r="C847" s="27"/>
      <c r="D847" s="19"/>
      <c r="E847" s="19"/>
      <c r="F847" s="18"/>
      <c r="G847" s="64"/>
      <c r="H847" s="18"/>
      <c r="I847" s="85"/>
      <c r="J847" s="18"/>
      <c r="K847" s="100"/>
      <c r="L847" s="18"/>
      <c r="M847" s="120"/>
      <c r="N847" s="18"/>
      <c r="O847" s="84">
        <f>O848</f>
        <v>448</v>
      </c>
      <c r="P847" s="18">
        <f t="shared" si="259"/>
        <v>448</v>
      </c>
      <c r="Q847" s="84">
        <f>Q848</f>
        <v>-268.8</v>
      </c>
      <c r="R847" s="18">
        <f t="shared" si="256"/>
        <v>179.2</v>
      </c>
      <c r="S847" s="84">
        <f>S848</f>
        <v>0</v>
      </c>
      <c r="T847" s="18">
        <f t="shared" si="186"/>
        <v>179.2</v>
      </c>
      <c r="U847" s="84">
        <f>U848</f>
        <v>0</v>
      </c>
      <c r="V847" s="18">
        <f t="shared" si="184"/>
        <v>179.2</v>
      </c>
      <c r="W847" s="84">
        <f>W848</f>
        <v>0</v>
      </c>
      <c r="X847" s="18">
        <f t="shared" si="180"/>
        <v>179.2</v>
      </c>
    </row>
    <row r="848" spans="1:27" x14ac:dyDescent="0.25">
      <c r="A848" s="7" t="s">
        <v>54</v>
      </c>
      <c r="B848" s="130" t="s">
        <v>1058</v>
      </c>
      <c r="C848" s="86" t="s">
        <v>34</v>
      </c>
      <c r="D848" s="19"/>
      <c r="E848" s="19"/>
      <c r="F848" s="18"/>
      <c r="G848" s="64"/>
      <c r="H848" s="18"/>
      <c r="I848" s="85"/>
      <c r="J848" s="18"/>
      <c r="K848" s="100"/>
      <c r="L848" s="18"/>
      <c r="M848" s="120"/>
      <c r="N848" s="18"/>
      <c r="O848" s="100">
        <v>448</v>
      </c>
      <c r="P848" s="18">
        <f t="shared" si="259"/>
        <v>448</v>
      </c>
      <c r="Q848" s="85">
        <v>-268.8</v>
      </c>
      <c r="R848" s="18">
        <f t="shared" si="256"/>
        <v>179.2</v>
      </c>
      <c r="S848" s="121"/>
      <c r="T848" s="18">
        <f t="shared" si="186"/>
        <v>179.2</v>
      </c>
      <c r="U848" s="121"/>
      <c r="V848" s="18">
        <f t="shared" si="184"/>
        <v>179.2</v>
      </c>
      <c r="W848" s="121"/>
      <c r="X848" s="18">
        <f t="shared" si="180"/>
        <v>179.2</v>
      </c>
      <c r="Z848" s="43">
        <f>X848+Y848</f>
        <v>179.2</v>
      </c>
      <c r="AA848" s="43"/>
    </row>
    <row r="849" spans="1:27" ht="24" x14ac:dyDescent="0.25">
      <c r="A849" s="125" t="s">
        <v>790</v>
      </c>
      <c r="B849" s="128" t="s">
        <v>792</v>
      </c>
      <c r="C849" s="27"/>
      <c r="D849" s="19"/>
      <c r="E849" s="19"/>
      <c r="F849" s="18"/>
      <c r="G849" s="64"/>
      <c r="H849" s="18"/>
      <c r="I849" s="85"/>
      <c r="J849" s="18"/>
      <c r="K849" s="100"/>
      <c r="L849" s="18"/>
      <c r="M849" s="120"/>
      <c r="N849" s="18"/>
      <c r="O849" s="84">
        <f>O850</f>
        <v>517.5</v>
      </c>
      <c r="P849" s="18">
        <f t="shared" si="259"/>
        <v>517.5</v>
      </c>
      <c r="Q849" s="84">
        <f>Q850</f>
        <v>517.5</v>
      </c>
      <c r="R849" s="18">
        <f t="shared" si="256"/>
        <v>1035</v>
      </c>
      <c r="S849" s="84">
        <f>S850</f>
        <v>0</v>
      </c>
      <c r="T849" s="18">
        <f t="shared" si="186"/>
        <v>1035</v>
      </c>
      <c r="U849" s="84">
        <f>U850</f>
        <v>0</v>
      </c>
      <c r="V849" s="18">
        <f t="shared" si="184"/>
        <v>1035</v>
      </c>
      <c r="W849" s="84">
        <f>W850</f>
        <v>0</v>
      </c>
      <c r="X849" s="18">
        <f t="shared" si="180"/>
        <v>1035</v>
      </c>
    </row>
    <row r="850" spans="1:27" x14ac:dyDescent="0.25">
      <c r="A850" s="7" t="s">
        <v>54</v>
      </c>
      <c r="B850" s="130" t="s">
        <v>792</v>
      </c>
      <c r="C850" s="86" t="s">
        <v>34</v>
      </c>
      <c r="D850" s="19"/>
      <c r="E850" s="19"/>
      <c r="F850" s="18"/>
      <c r="G850" s="64"/>
      <c r="H850" s="18"/>
      <c r="I850" s="85"/>
      <c r="J850" s="18"/>
      <c r="K850" s="100"/>
      <c r="L850" s="18"/>
      <c r="M850" s="120"/>
      <c r="N850" s="18"/>
      <c r="O850" s="85">
        <v>517.5</v>
      </c>
      <c r="P850" s="18">
        <f t="shared" si="259"/>
        <v>517.5</v>
      </c>
      <c r="Q850" s="85">
        <v>517.5</v>
      </c>
      <c r="R850" s="18">
        <f t="shared" si="256"/>
        <v>1035</v>
      </c>
      <c r="S850" s="121"/>
      <c r="T850" s="18">
        <f t="shared" si="186"/>
        <v>1035</v>
      </c>
      <c r="U850" s="121"/>
      <c r="V850" s="18">
        <f t="shared" si="184"/>
        <v>1035</v>
      </c>
      <c r="W850" s="121"/>
      <c r="X850" s="18">
        <f t="shared" si="180"/>
        <v>1035</v>
      </c>
      <c r="Z850" s="43">
        <f>X850+Y850</f>
        <v>1035</v>
      </c>
      <c r="AA850" s="43"/>
    </row>
    <row r="851" spans="1:27" x14ac:dyDescent="0.25">
      <c r="A851" s="125" t="s">
        <v>1030</v>
      </c>
      <c r="B851" s="128" t="s">
        <v>1059</v>
      </c>
      <c r="C851" s="27"/>
      <c r="D851" s="19"/>
      <c r="E851" s="19"/>
      <c r="F851" s="18"/>
      <c r="G851" s="64"/>
      <c r="H851" s="18"/>
      <c r="I851" s="85"/>
      <c r="J851" s="18"/>
      <c r="K851" s="100"/>
      <c r="L851" s="18"/>
      <c r="M851" s="120"/>
      <c r="N851" s="18"/>
      <c r="O851" s="84">
        <f>O852</f>
        <v>1485</v>
      </c>
      <c r="P851" s="18">
        <f t="shared" si="259"/>
        <v>1485</v>
      </c>
      <c r="Q851" s="84">
        <f>Q852</f>
        <v>-891</v>
      </c>
      <c r="R851" s="18">
        <f t="shared" si="256"/>
        <v>594</v>
      </c>
      <c r="S851" s="84">
        <f>S852</f>
        <v>0</v>
      </c>
      <c r="T851" s="18">
        <f t="shared" si="186"/>
        <v>594</v>
      </c>
      <c r="U851" s="84">
        <f>U852</f>
        <v>0</v>
      </c>
      <c r="V851" s="18">
        <f t="shared" si="184"/>
        <v>594</v>
      </c>
      <c r="W851" s="84">
        <f>W852</f>
        <v>0</v>
      </c>
      <c r="X851" s="18">
        <f t="shared" si="180"/>
        <v>594</v>
      </c>
    </row>
    <row r="852" spans="1:27" x14ac:dyDescent="0.25">
      <c r="A852" s="7" t="s">
        <v>54</v>
      </c>
      <c r="B852" s="130" t="s">
        <v>1059</v>
      </c>
      <c r="C852" s="86" t="s">
        <v>34</v>
      </c>
      <c r="D852" s="19"/>
      <c r="E852" s="19"/>
      <c r="F852" s="18"/>
      <c r="G852" s="64"/>
      <c r="H852" s="18"/>
      <c r="I852" s="85"/>
      <c r="J852" s="18"/>
      <c r="K852" s="100"/>
      <c r="L852" s="18"/>
      <c r="M852" s="120"/>
      <c r="N852" s="18"/>
      <c r="O852" s="100">
        <v>1485</v>
      </c>
      <c r="P852" s="18">
        <f t="shared" si="259"/>
        <v>1485</v>
      </c>
      <c r="Q852" s="85">
        <v>-891</v>
      </c>
      <c r="R852" s="18">
        <f t="shared" si="256"/>
        <v>594</v>
      </c>
      <c r="S852" s="121"/>
      <c r="T852" s="18">
        <f t="shared" si="186"/>
        <v>594</v>
      </c>
      <c r="U852" s="121"/>
      <c r="V852" s="18">
        <f t="shared" si="184"/>
        <v>594</v>
      </c>
      <c r="W852" s="121"/>
      <c r="X852" s="18">
        <f t="shared" si="180"/>
        <v>594</v>
      </c>
      <c r="Z852" s="43">
        <f>X852+Y852</f>
        <v>594</v>
      </c>
      <c r="AA852" s="43"/>
    </row>
    <row r="853" spans="1:27" x14ac:dyDescent="0.25">
      <c r="A853" s="125" t="s">
        <v>1031</v>
      </c>
      <c r="B853" s="128" t="s">
        <v>1060</v>
      </c>
      <c r="C853" s="27"/>
      <c r="D853" s="19"/>
      <c r="E853" s="19"/>
      <c r="F853" s="18"/>
      <c r="G853" s="64"/>
      <c r="H853" s="18"/>
      <c r="I853" s="85"/>
      <c r="J853" s="18"/>
      <c r="K853" s="100"/>
      <c r="L853" s="18"/>
      <c r="M853" s="120"/>
      <c r="N853" s="18"/>
      <c r="O853" s="84">
        <f>O854</f>
        <v>2550</v>
      </c>
      <c r="P853" s="18">
        <f t="shared" si="259"/>
        <v>2550</v>
      </c>
      <c r="Q853" s="84">
        <f>Q854</f>
        <v>-1530</v>
      </c>
      <c r="R853" s="18">
        <f t="shared" si="256"/>
        <v>1020</v>
      </c>
      <c r="S853" s="84">
        <f>S854</f>
        <v>0</v>
      </c>
      <c r="T853" s="18">
        <f t="shared" si="186"/>
        <v>1020</v>
      </c>
      <c r="U853" s="84">
        <f>U854</f>
        <v>0</v>
      </c>
      <c r="V853" s="18">
        <f t="shared" si="184"/>
        <v>1020</v>
      </c>
      <c r="W853" s="84">
        <f>W854</f>
        <v>0</v>
      </c>
      <c r="X853" s="18">
        <f t="shared" si="180"/>
        <v>1020</v>
      </c>
    </row>
    <row r="854" spans="1:27" x14ac:dyDescent="0.25">
      <c r="A854" s="7" t="s">
        <v>54</v>
      </c>
      <c r="B854" s="130" t="s">
        <v>1060</v>
      </c>
      <c r="C854" s="86" t="s">
        <v>34</v>
      </c>
      <c r="D854" s="19"/>
      <c r="E854" s="19"/>
      <c r="F854" s="18"/>
      <c r="G854" s="64"/>
      <c r="H854" s="18"/>
      <c r="I854" s="85"/>
      <c r="J854" s="18"/>
      <c r="K854" s="100"/>
      <c r="L854" s="18"/>
      <c r="M854" s="120"/>
      <c r="N854" s="18"/>
      <c r="O854" s="100">
        <v>2550</v>
      </c>
      <c r="P854" s="18">
        <f t="shared" si="259"/>
        <v>2550</v>
      </c>
      <c r="Q854" s="85">
        <v>-1530</v>
      </c>
      <c r="R854" s="18">
        <f t="shared" si="256"/>
        <v>1020</v>
      </c>
      <c r="S854" s="121"/>
      <c r="T854" s="18">
        <f t="shared" si="186"/>
        <v>1020</v>
      </c>
      <c r="U854" s="121"/>
      <c r="V854" s="18">
        <f t="shared" si="184"/>
        <v>1020</v>
      </c>
      <c r="W854" s="121"/>
      <c r="X854" s="18">
        <f t="shared" si="180"/>
        <v>1020</v>
      </c>
      <c r="Z854" s="43">
        <f>X854+Y854</f>
        <v>1020</v>
      </c>
      <c r="AA854" s="43"/>
    </row>
    <row r="855" spans="1:27" ht="24" x14ac:dyDescent="0.25">
      <c r="A855" s="125" t="s">
        <v>791</v>
      </c>
      <c r="B855" s="128" t="s">
        <v>793</v>
      </c>
      <c r="C855" s="27"/>
      <c r="D855" s="19"/>
      <c r="E855" s="19"/>
      <c r="F855" s="18"/>
      <c r="G855" s="64"/>
      <c r="H855" s="18"/>
      <c r="I855" s="85"/>
      <c r="J855" s="18"/>
      <c r="K855" s="100"/>
      <c r="L855" s="18"/>
      <c r="M855" s="120"/>
      <c r="N855" s="18"/>
      <c r="O855" s="84">
        <f>O856</f>
        <v>520</v>
      </c>
      <c r="P855" s="18">
        <f t="shared" si="259"/>
        <v>520</v>
      </c>
      <c r="Q855" s="84">
        <f>Q856</f>
        <v>520</v>
      </c>
      <c r="R855" s="18">
        <f t="shared" si="256"/>
        <v>1040</v>
      </c>
      <c r="S855" s="84">
        <f>S856</f>
        <v>0</v>
      </c>
      <c r="T855" s="18">
        <f t="shared" si="186"/>
        <v>1040</v>
      </c>
      <c r="U855" s="84">
        <f>U856</f>
        <v>0</v>
      </c>
      <c r="V855" s="18">
        <f t="shared" si="184"/>
        <v>1040</v>
      </c>
      <c r="W855" s="84">
        <f>W856</f>
        <v>0</v>
      </c>
      <c r="X855" s="18">
        <f t="shared" si="180"/>
        <v>1040</v>
      </c>
    </row>
    <row r="856" spans="1:27" x14ac:dyDescent="0.25">
      <c r="A856" s="7" t="s">
        <v>54</v>
      </c>
      <c r="B856" s="130" t="s">
        <v>793</v>
      </c>
      <c r="C856" s="86" t="s">
        <v>34</v>
      </c>
      <c r="D856" s="19"/>
      <c r="E856" s="19"/>
      <c r="F856" s="18"/>
      <c r="G856" s="64"/>
      <c r="H856" s="18"/>
      <c r="I856" s="85"/>
      <c r="J856" s="18"/>
      <c r="K856" s="100"/>
      <c r="L856" s="18"/>
      <c r="M856" s="120"/>
      <c r="N856" s="18"/>
      <c r="O856" s="85">
        <v>520</v>
      </c>
      <c r="P856" s="18">
        <f t="shared" si="259"/>
        <v>520</v>
      </c>
      <c r="Q856" s="85">
        <v>520</v>
      </c>
      <c r="R856" s="18">
        <f t="shared" si="256"/>
        <v>1040</v>
      </c>
      <c r="S856" s="121"/>
      <c r="T856" s="18">
        <f t="shared" si="186"/>
        <v>1040</v>
      </c>
      <c r="U856" s="121"/>
      <c r="V856" s="18">
        <f t="shared" si="184"/>
        <v>1040</v>
      </c>
      <c r="W856" s="121"/>
      <c r="X856" s="18">
        <f t="shared" si="180"/>
        <v>1040</v>
      </c>
      <c r="Z856" s="43">
        <f>X856+Y856</f>
        <v>1040</v>
      </c>
      <c r="AA856" s="43"/>
    </row>
    <row r="857" spans="1:27" x14ac:dyDescent="0.25">
      <c r="A857" s="125" t="s">
        <v>1032</v>
      </c>
      <c r="B857" s="128" t="s">
        <v>1061</v>
      </c>
      <c r="C857" s="27"/>
      <c r="D857" s="19"/>
      <c r="E857" s="19"/>
      <c r="F857" s="18"/>
      <c r="G857" s="64"/>
      <c r="H857" s="18"/>
      <c r="I857" s="85"/>
      <c r="J857" s="18"/>
      <c r="K857" s="100"/>
      <c r="L857" s="18"/>
      <c r="M857" s="120"/>
      <c r="N857" s="18"/>
      <c r="O857" s="84">
        <f t="shared" ref="O857:W857" si="267">O858</f>
        <v>855</v>
      </c>
      <c r="P857" s="18">
        <f t="shared" si="259"/>
        <v>855</v>
      </c>
      <c r="Q857" s="84">
        <f t="shared" si="267"/>
        <v>-513</v>
      </c>
      <c r="R857" s="18">
        <f t="shared" si="256"/>
        <v>342</v>
      </c>
      <c r="S857" s="84">
        <f t="shared" si="267"/>
        <v>0</v>
      </c>
      <c r="T857" s="18">
        <f t="shared" si="186"/>
        <v>342</v>
      </c>
      <c r="U857" s="84">
        <f t="shared" si="267"/>
        <v>0</v>
      </c>
      <c r="V857" s="18">
        <f t="shared" si="184"/>
        <v>342</v>
      </c>
      <c r="W857" s="84">
        <f t="shared" si="267"/>
        <v>0</v>
      </c>
      <c r="X857" s="18">
        <f t="shared" si="180"/>
        <v>342</v>
      </c>
    </row>
    <row r="858" spans="1:27" x14ac:dyDescent="0.25">
      <c r="A858" s="7" t="s">
        <v>54</v>
      </c>
      <c r="B858" s="130" t="s">
        <v>1061</v>
      </c>
      <c r="C858" s="86" t="s">
        <v>34</v>
      </c>
      <c r="D858" s="19"/>
      <c r="E858" s="19"/>
      <c r="F858" s="18"/>
      <c r="G858" s="64"/>
      <c r="H858" s="18"/>
      <c r="I858" s="85"/>
      <c r="J858" s="18"/>
      <c r="K858" s="100"/>
      <c r="L858" s="18"/>
      <c r="M858" s="120"/>
      <c r="N858" s="18"/>
      <c r="O858" s="100">
        <v>855</v>
      </c>
      <c r="P858" s="18">
        <f t="shared" si="259"/>
        <v>855</v>
      </c>
      <c r="Q858" s="85">
        <v>-513</v>
      </c>
      <c r="R858" s="18">
        <f t="shared" si="256"/>
        <v>342</v>
      </c>
      <c r="S858" s="121"/>
      <c r="T858" s="18">
        <f t="shared" si="186"/>
        <v>342</v>
      </c>
      <c r="U858" s="121"/>
      <c r="V858" s="18">
        <f t="shared" si="184"/>
        <v>342</v>
      </c>
      <c r="W858" s="121"/>
      <c r="X858" s="18">
        <f t="shared" si="180"/>
        <v>342</v>
      </c>
      <c r="Z858" s="43">
        <f>X858+Y858</f>
        <v>342</v>
      </c>
      <c r="AA858" s="43"/>
    </row>
    <row r="859" spans="1:27" x14ac:dyDescent="0.25">
      <c r="A859" s="125" t="s">
        <v>1033</v>
      </c>
      <c r="B859" s="128" t="s">
        <v>1062</v>
      </c>
      <c r="C859" s="27"/>
      <c r="D859" s="19"/>
      <c r="E859" s="19"/>
      <c r="F859" s="18"/>
      <c r="G859" s="64"/>
      <c r="H859" s="18"/>
      <c r="I859" s="85"/>
      <c r="J859" s="18"/>
      <c r="K859" s="100"/>
      <c r="L859" s="18"/>
      <c r="M859" s="120"/>
      <c r="N859" s="18"/>
      <c r="O859" s="84">
        <f>O860</f>
        <v>1007.5</v>
      </c>
      <c r="P859" s="18">
        <f t="shared" si="259"/>
        <v>1007.5</v>
      </c>
      <c r="Q859" s="84">
        <f>Q860</f>
        <v>-604.5</v>
      </c>
      <c r="R859" s="18">
        <f t="shared" si="256"/>
        <v>403</v>
      </c>
      <c r="S859" s="84">
        <f>S860</f>
        <v>0</v>
      </c>
      <c r="T859" s="18">
        <f t="shared" si="186"/>
        <v>403</v>
      </c>
      <c r="U859" s="84">
        <f>U860</f>
        <v>0</v>
      </c>
      <c r="V859" s="18">
        <f t="shared" si="184"/>
        <v>403</v>
      </c>
      <c r="W859" s="84">
        <f>W860</f>
        <v>0</v>
      </c>
      <c r="X859" s="18">
        <f t="shared" si="180"/>
        <v>403</v>
      </c>
    </row>
    <row r="860" spans="1:27" x14ac:dyDescent="0.25">
      <c r="A860" s="7" t="s">
        <v>54</v>
      </c>
      <c r="B860" s="130" t="s">
        <v>1062</v>
      </c>
      <c r="C860" s="86" t="s">
        <v>34</v>
      </c>
      <c r="D860" s="19"/>
      <c r="E860" s="19"/>
      <c r="F860" s="18"/>
      <c r="G860" s="64"/>
      <c r="H860" s="18"/>
      <c r="I860" s="85"/>
      <c r="J860" s="18"/>
      <c r="K860" s="100"/>
      <c r="L860" s="18"/>
      <c r="M860" s="120"/>
      <c r="N860" s="18"/>
      <c r="O860" s="100">
        <v>1007.5</v>
      </c>
      <c r="P860" s="18">
        <f t="shared" si="259"/>
        <v>1007.5</v>
      </c>
      <c r="Q860" s="85">
        <v>-604.5</v>
      </c>
      <c r="R860" s="18">
        <f t="shared" si="256"/>
        <v>403</v>
      </c>
      <c r="S860" s="121"/>
      <c r="T860" s="18">
        <f t="shared" si="186"/>
        <v>403</v>
      </c>
      <c r="U860" s="121"/>
      <c r="V860" s="18">
        <f t="shared" si="184"/>
        <v>403</v>
      </c>
      <c r="W860" s="121"/>
      <c r="X860" s="18">
        <f t="shared" si="180"/>
        <v>403</v>
      </c>
      <c r="Z860" s="43">
        <f>X860+Y860</f>
        <v>403</v>
      </c>
      <c r="AA860" s="43"/>
    </row>
    <row r="861" spans="1:27" x14ac:dyDescent="0.25">
      <c r="A861" s="125" t="s">
        <v>1034</v>
      </c>
      <c r="B861" s="128" t="s">
        <v>1063</v>
      </c>
      <c r="C861" s="27"/>
      <c r="D861" s="19"/>
      <c r="E861" s="19"/>
      <c r="F861" s="18"/>
      <c r="G861" s="64"/>
      <c r="H861" s="18"/>
      <c r="I861" s="85"/>
      <c r="J861" s="18"/>
      <c r="K861" s="100"/>
      <c r="L861" s="18"/>
      <c r="M861" s="120"/>
      <c r="N861" s="18"/>
      <c r="O861" s="84">
        <f>O862</f>
        <v>900</v>
      </c>
      <c r="P861" s="18">
        <f t="shared" si="259"/>
        <v>900</v>
      </c>
      <c r="Q861" s="84">
        <f>Q862</f>
        <v>-540</v>
      </c>
      <c r="R861" s="18">
        <f t="shared" si="256"/>
        <v>360</v>
      </c>
      <c r="S861" s="84">
        <f>S862</f>
        <v>0</v>
      </c>
      <c r="T861" s="18">
        <f t="shared" si="186"/>
        <v>360</v>
      </c>
      <c r="U861" s="84">
        <f>U862</f>
        <v>0</v>
      </c>
      <c r="V861" s="18">
        <f t="shared" si="184"/>
        <v>360</v>
      </c>
      <c r="W861" s="84">
        <f>W862</f>
        <v>0</v>
      </c>
      <c r="X861" s="18">
        <f t="shared" si="180"/>
        <v>360</v>
      </c>
    </row>
    <row r="862" spans="1:27" x14ac:dyDescent="0.25">
      <c r="A862" s="7" t="s">
        <v>54</v>
      </c>
      <c r="B862" s="130" t="s">
        <v>1063</v>
      </c>
      <c r="C862" s="86" t="s">
        <v>34</v>
      </c>
      <c r="D862" s="19"/>
      <c r="E862" s="19"/>
      <c r="F862" s="18"/>
      <c r="G862" s="64"/>
      <c r="H862" s="18"/>
      <c r="I862" s="85"/>
      <c r="J862" s="18"/>
      <c r="K862" s="100"/>
      <c r="L862" s="18"/>
      <c r="M862" s="120"/>
      <c r="N862" s="18"/>
      <c r="O862" s="100">
        <v>900</v>
      </c>
      <c r="P862" s="18">
        <f t="shared" si="259"/>
        <v>900</v>
      </c>
      <c r="Q862" s="85">
        <v>-540</v>
      </c>
      <c r="R862" s="18">
        <f t="shared" si="256"/>
        <v>360</v>
      </c>
      <c r="S862" s="121"/>
      <c r="T862" s="18">
        <f t="shared" si="186"/>
        <v>360</v>
      </c>
      <c r="U862" s="121"/>
      <c r="V862" s="18">
        <f t="shared" si="184"/>
        <v>360</v>
      </c>
      <c r="W862" s="121"/>
      <c r="X862" s="18">
        <f t="shared" si="180"/>
        <v>360</v>
      </c>
      <c r="Z862" s="43">
        <f>X862+Y862</f>
        <v>360</v>
      </c>
      <c r="AA862" s="43"/>
    </row>
    <row r="863" spans="1:27" x14ac:dyDescent="0.25">
      <c r="A863" s="125" t="s">
        <v>1035</v>
      </c>
      <c r="B863" s="128" t="s">
        <v>1064</v>
      </c>
      <c r="C863" s="27"/>
      <c r="D863" s="19"/>
      <c r="E863" s="19"/>
      <c r="F863" s="18"/>
      <c r="G863" s="64"/>
      <c r="H863" s="18"/>
      <c r="I863" s="85"/>
      <c r="J863" s="18"/>
      <c r="K863" s="100"/>
      <c r="L863" s="18"/>
      <c r="M863" s="120"/>
      <c r="N863" s="18"/>
      <c r="O863" s="84">
        <f>O864</f>
        <v>2500</v>
      </c>
      <c r="P863" s="18">
        <f t="shared" si="259"/>
        <v>2500</v>
      </c>
      <c r="Q863" s="84">
        <f>Q864</f>
        <v>-1500</v>
      </c>
      <c r="R863" s="18">
        <f t="shared" si="256"/>
        <v>1000</v>
      </c>
      <c r="S863" s="84">
        <f>S864</f>
        <v>0</v>
      </c>
      <c r="T863" s="18">
        <f t="shared" si="186"/>
        <v>1000</v>
      </c>
      <c r="U863" s="84">
        <f>U864</f>
        <v>-40</v>
      </c>
      <c r="V863" s="18">
        <f t="shared" si="184"/>
        <v>960</v>
      </c>
      <c r="W863" s="84">
        <f>W864</f>
        <v>0</v>
      </c>
      <c r="X863" s="18">
        <f t="shared" si="180"/>
        <v>960</v>
      </c>
    </row>
    <row r="864" spans="1:27" x14ac:dyDescent="0.25">
      <c r="A864" s="7" t="s">
        <v>54</v>
      </c>
      <c r="B864" s="130" t="s">
        <v>1064</v>
      </c>
      <c r="C864" s="86" t="s">
        <v>34</v>
      </c>
      <c r="D864" s="19"/>
      <c r="E864" s="19"/>
      <c r="F864" s="18"/>
      <c r="G864" s="64"/>
      <c r="H864" s="18"/>
      <c r="I864" s="85"/>
      <c r="J864" s="18"/>
      <c r="K864" s="100"/>
      <c r="L864" s="18"/>
      <c r="M864" s="120"/>
      <c r="N864" s="18"/>
      <c r="O864" s="100">
        <v>2500</v>
      </c>
      <c r="P864" s="18">
        <f t="shared" si="259"/>
        <v>2500</v>
      </c>
      <c r="Q864" s="85">
        <v>-1500</v>
      </c>
      <c r="R864" s="18">
        <f t="shared" si="256"/>
        <v>1000</v>
      </c>
      <c r="S864" s="121"/>
      <c r="T864" s="18">
        <f t="shared" si="186"/>
        <v>1000</v>
      </c>
      <c r="U864" s="85">
        <v>-40</v>
      </c>
      <c r="V864" s="18">
        <f t="shared" si="184"/>
        <v>960</v>
      </c>
      <c r="W864" s="121"/>
      <c r="X864" s="18">
        <f t="shared" si="180"/>
        <v>960</v>
      </c>
      <c r="Z864" s="43">
        <f>X864+Y864</f>
        <v>960</v>
      </c>
      <c r="AA864" s="43"/>
    </row>
    <row r="865" spans="1:27" x14ac:dyDescent="0.25">
      <c r="A865" s="125" t="s">
        <v>1065</v>
      </c>
      <c r="B865" s="128" t="s">
        <v>1089</v>
      </c>
      <c r="C865" s="27"/>
      <c r="D865" s="19"/>
      <c r="E865" s="19"/>
      <c r="F865" s="18"/>
      <c r="G865" s="64"/>
      <c r="H865" s="18"/>
      <c r="I865" s="85"/>
      <c r="J865" s="18"/>
      <c r="K865" s="100"/>
      <c r="L865" s="18"/>
      <c r="M865" s="120"/>
      <c r="N865" s="18"/>
      <c r="O865" s="84">
        <f>O866</f>
        <v>1416</v>
      </c>
      <c r="P865" s="18">
        <f t="shared" si="259"/>
        <v>1416</v>
      </c>
      <c r="Q865" s="84">
        <f>Q866</f>
        <v>-849.6</v>
      </c>
      <c r="R865" s="18">
        <f t="shared" si="256"/>
        <v>566.4</v>
      </c>
      <c r="S865" s="84">
        <f>S866</f>
        <v>0</v>
      </c>
      <c r="T865" s="18">
        <f t="shared" si="186"/>
        <v>566.4</v>
      </c>
      <c r="U865" s="84">
        <f>U866</f>
        <v>0</v>
      </c>
      <c r="V865" s="18">
        <f t="shared" si="184"/>
        <v>566.4</v>
      </c>
      <c r="W865" s="84">
        <f>W866</f>
        <v>0</v>
      </c>
      <c r="X865" s="18">
        <f t="shared" si="180"/>
        <v>566.4</v>
      </c>
    </row>
    <row r="866" spans="1:27" x14ac:dyDescent="0.25">
      <c r="A866" s="7" t="s">
        <v>54</v>
      </c>
      <c r="B866" s="130" t="s">
        <v>1089</v>
      </c>
      <c r="C866" s="86" t="s">
        <v>34</v>
      </c>
      <c r="D866" s="19"/>
      <c r="E866" s="19"/>
      <c r="F866" s="18"/>
      <c r="G866" s="64"/>
      <c r="H866" s="18"/>
      <c r="I866" s="85"/>
      <c r="J866" s="18"/>
      <c r="K866" s="100"/>
      <c r="L866" s="18"/>
      <c r="M866" s="120"/>
      <c r="N866" s="18"/>
      <c r="O866" s="100">
        <v>1416</v>
      </c>
      <c r="P866" s="18">
        <f t="shared" si="259"/>
        <v>1416</v>
      </c>
      <c r="Q866" s="85">
        <v>-849.6</v>
      </c>
      <c r="R866" s="18">
        <f t="shared" si="256"/>
        <v>566.4</v>
      </c>
      <c r="S866" s="121"/>
      <c r="T866" s="18">
        <f t="shared" si="186"/>
        <v>566.4</v>
      </c>
      <c r="U866" s="121"/>
      <c r="V866" s="18">
        <f t="shared" si="184"/>
        <v>566.4</v>
      </c>
      <c r="W866" s="121"/>
      <c r="X866" s="18">
        <f t="shared" si="180"/>
        <v>566.4</v>
      </c>
      <c r="Z866" s="43">
        <f>X866+Y866</f>
        <v>566.4</v>
      </c>
      <c r="AA866" s="43"/>
    </row>
    <row r="867" spans="1:27" x14ac:dyDescent="0.25">
      <c r="A867" s="125" t="s">
        <v>1066</v>
      </c>
      <c r="B867" s="128" t="s">
        <v>1090</v>
      </c>
      <c r="C867" s="27"/>
      <c r="D867" s="19"/>
      <c r="E867" s="19"/>
      <c r="F867" s="18"/>
      <c r="G867" s="64"/>
      <c r="H867" s="18"/>
      <c r="I867" s="85"/>
      <c r="J867" s="18"/>
      <c r="K867" s="100"/>
      <c r="L867" s="18"/>
      <c r="M867" s="120"/>
      <c r="N867" s="18"/>
      <c r="O867" s="84">
        <f>O868</f>
        <v>2047.2</v>
      </c>
      <c r="P867" s="18">
        <f t="shared" si="259"/>
        <v>2047.2</v>
      </c>
      <c r="Q867" s="84">
        <f>Q868</f>
        <v>-1228.5</v>
      </c>
      <c r="R867" s="18">
        <f t="shared" si="256"/>
        <v>818.7</v>
      </c>
      <c r="S867" s="84">
        <f>S868</f>
        <v>0</v>
      </c>
      <c r="T867" s="18">
        <f t="shared" si="186"/>
        <v>818.7</v>
      </c>
      <c r="U867" s="84">
        <f>U868</f>
        <v>0.3</v>
      </c>
      <c r="V867" s="18">
        <f t="shared" si="184"/>
        <v>819</v>
      </c>
      <c r="W867" s="84">
        <f>W868</f>
        <v>0</v>
      </c>
      <c r="X867" s="18">
        <f t="shared" si="180"/>
        <v>819</v>
      </c>
    </row>
    <row r="868" spans="1:27" x14ac:dyDescent="0.25">
      <c r="A868" s="7" t="s">
        <v>54</v>
      </c>
      <c r="B868" s="130" t="s">
        <v>1090</v>
      </c>
      <c r="C868" s="86" t="s">
        <v>34</v>
      </c>
      <c r="D868" s="19"/>
      <c r="E868" s="19"/>
      <c r="F868" s="18"/>
      <c r="G868" s="64"/>
      <c r="H868" s="18"/>
      <c r="I868" s="85"/>
      <c r="J868" s="18"/>
      <c r="K868" s="100"/>
      <c r="L868" s="18"/>
      <c r="M868" s="120"/>
      <c r="N868" s="18"/>
      <c r="O868" s="100">
        <v>2047.2</v>
      </c>
      <c r="P868" s="18">
        <f t="shared" si="259"/>
        <v>2047.2</v>
      </c>
      <c r="Q868" s="85">
        <v>-1228.5</v>
      </c>
      <c r="R868" s="18">
        <f t="shared" si="256"/>
        <v>818.7</v>
      </c>
      <c r="S868" s="121"/>
      <c r="T868" s="18">
        <f t="shared" si="186"/>
        <v>818.7</v>
      </c>
      <c r="U868" s="100">
        <v>0.3</v>
      </c>
      <c r="V868" s="18">
        <f t="shared" si="184"/>
        <v>819</v>
      </c>
      <c r="W868" s="121"/>
      <c r="X868" s="18">
        <f t="shared" si="180"/>
        <v>819</v>
      </c>
      <c r="Z868" s="43">
        <f>X868+Y868</f>
        <v>819</v>
      </c>
      <c r="AA868" s="43"/>
    </row>
    <row r="869" spans="1:27" x14ac:dyDescent="0.25">
      <c r="A869" s="125" t="s">
        <v>1067</v>
      </c>
      <c r="B869" s="128" t="s">
        <v>1091</v>
      </c>
      <c r="C869" s="27"/>
      <c r="D869" s="19"/>
      <c r="E869" s="19"/>
      <c r="F869" s="18"/>
      <c r="G869" s="64"/>
      <c r="H869" s="18"/>
      <c r="I869" s="85"/>
      <c r="J869" s="18"/>
      <c r="K869" s="100"/>
      <c r="L869" s="18"/>
      <c r="M869" s="120"/>
      <c r="N869" s="18"/>
      <c r="O869" s="84">
        <f>O870</f>
        <v>1530</v>
      </c>
      <c r="P869" s="18">
        <f t="shared" si="259"/>
        <v>1530</v>
      </c>
      <c r="Q869" s="84">
        <f>Q870</f>
        <v>-918</v>
      </c>
      <c r="R869" s="18">
        <f t="shared" si="256"/>
        <v>612</v>
      </c>
      <c r="S869" s="84">
        <f>S870</f>
        <v>0</v>
      </c>
      <c r="T869" s="18">
        <f t="shared" si="186"/>
        <v>612</v>
      </c>
      <c r="U869" s="84">
        <f>U870</f>
        <v>0</v>
      </c>
      <c r="V869" s="18">
        <f t="shared" si="184"/>
        <v>612</v>
      </c>
      <c r="W869" s="84">
        <f>W870</f>
        <v>0</v>
      </c>
      <c r="X869" s="18">
        <f t="shared" si="180"/>
        <v>612</v>
      </c>
    </row>
    <row r="870" spans="1:27" x14ac:dyDescent="0.25">
      <c r="A870" s="7" t="s">
        <v>54</v>
      </c>
      <c r="B870" s="130" t="s">
        <v>1091</v>
      </c>
      <c r="C870" s="86" t="s">
        <v>34</v>
      </c>
      <c r="D870" s="19"/>
      <c r="E870" s="19"/>
      <c r="F870" s="18"/>
      <c r="G870" s="64"/>
      <c r="H870" s="18"/>
      <c r="I870" s="85"/>
      <c r="J870" s="18"/>
      <c r="K870" s="100"/>
      <c r="L870" s="18"/>
      <c r="M870" s="120"/>
      <c r="N870" s="18"/>
      <c r="O870" s="100">
        <v>1530</v>
      </c>
      <c r="P870" s="18">
        <f t="shared" si="259"/>
        <v>1530</v>
      </c>
      <c r="Q870" s="85">
        <v>-918</v>
      </c>
      <c r="R870" s="18">
        <f t="shared" si="256"/>
        <v>612</v>
      </c>
      <c r="S870" s="121"/>
      <c r="T870" s="18">
        <f t="shared" si="186"/>
        <v>612</v>
      </c>
      <c r="U870" s="121"/>
      <c r="V870" s="18">
        <f t="shared" si="184"/>
        <v>612</v>
      </c>
      <c r="W870" s="121"/>
      <c r="X870" s="18">
        <f t="shared" si="180"/>
        <v>612</v>
      </c>
      <c r="Z870" s="43">
        <f>X870+Y870</f>
        <v>612</v>
      </c>
      <c r="AA870" s="43"/>
    </row>
    <row r="871" spans="1:27" ht="24" x14ac:dyDescent="0.25">
      <c r="A871" s="125" t="s">
        <v>1068</v>
      </c>
      <c r="B871" s="128" t="s">
        <v>1092</v>
      </c>
      <c r="C871" s="27"/>
      <c r="D871" s="19"/>
      <c r="E871" s="19"/>
      <c r="F871" s="18"/>
      <c r="G871" s="64"/>
      <c r="H871" s="18"/>
      <c r="I871" s="85"/>
      <c r="J871" s="18"/>
      <c r="K871" s="100"/>
      <c r="L871" s="18"/>
      <c r="M871" s="120"/>
      <c r="N871" s="18"/>
      <c r="O871" s="84">
        <f t="shared" ref="O871:W871" si="268">O872</f>
        <v>605</v>
      </c>
      <c r="P871" s="18">
        <f t="shared" si="259"/>
        <v>605</v>
      </c>
      <c r="Q871" s="84">
        <f t="shared" si="268"/>
        <v>-363</v>
      </c>
      <c r="R871" s="18">
        <f t="shared" si="256"/>
        <v>242</v>
      </c>
      <c r="S871" s="84">
        <f t="shared" si="268"/>
        <v>0</v>
      </c>
      <c r="T871" s="18">
        <f t="shared" si="186"/>
        <v>242</v>
      </c>
      <c r="U871" s="84">
        <f t="shared" si="268"/>
        <v>0</v>
      </c>
      <c r="V871" s="18">
        <f t="shared" si="184"/>
        <v>242</v>
      </c>
      <c r="W871" s="84">
        <f t="shared" si="268"/>
        <v>0</v>
      </c>
      <c r="X871" s="18">
        <f t="shared" si="180"/>
        <v>242</v>
      </c>
    </row>
    <row r="872" spans="1:27" x14ac:dyDescent="0.25">
      <c r="A872" s="7" t="s">
        <v>54</v>
      </c>
      <c r="B872" s="130" t="s">
        <v>1092</v>
      </c>
      <c r="C872" s="86" t="s">
        <v>34</v>
      </c>
      <c r="D872" s="19"/>
      <c r="E872" s="19"/>
      <c r="F872" s="18"/>
      <c r="G872" s="64"/>
      <c r="H872" s="18"/>
      <c r="I872" s="85"/>
      <c r="J872" s="18"/>
      <c r="K872" s="100"/>
      <c r="L872" s="18"/>
      <c r="M872" s="120"/>
      <c r="N872" s="18"/>
      <c r="O872" s="100">
        <v>605</v>
      </c>
      <c r="P872" s="18">
        <f t="shared" si="259"/>
        <v>605</v>
      </c>
      <c r="Q872" s="85">
        <v>-363</v>
      </c>
      <c r="R872" s="18">
        <f t="shared" si="256"/>
        <v>242</v>
      </c>
      <c r="S872" s="121"/>
      <c r="T872" s="18">
        <f t="shared" si="186"/>
        <v>242</v>
      </c>
      <c r="U872" s="121"/>
      <c r="V872" s="18">
        <f t="shared" si="184"/>
        <v>242</v>
      </c>
      <c r="W872" s="121"/>
      <c r="X872" s="18">
        <f t="shared" si="180"/>
        <v>242</v>
      </c>
      <c r="Z872" s="43">
        <f>X872+Y872</f>
        <v>242</v>
      </c>
      <c r="AA872" s="43"/>
    </row>
    <row r="873" spans="1:27" x14ac:dyDescent="0.25">
      <c r="A873" s="125" t="s">
        <v>1069</v>
      </c>
      <c r="B873" s="128" t="s">
        <v>1093</v>
      </c>
      <c r="C873" s="27"/>
      <c r="D873" s="19"/>
      <c r="E873" s="19"/>
      <c r="F873" s="18"/>
      <c r="G873" s="64"/>
      <c r="H873" s="18"/>
      <c r="I873" s="85"/>
      <c r="J873" s="18"/>
      <c r="K873" s="100"/>
      <c r="L873" s="18"/>
      <c r="M873" s="120"/>
      <c r="N873" s="18"/>
      <c r="O873" s="84">
        <f>O874</f>
        <v>1750</v>
      </c>
      <c r="P873" s="18">
        <f t="shared" si="259"/>
        <v>1750</v>
      </c>
      <c r="Q873" s="84">
        <f>Q874</f>
        <v>-1050</v>
      </c>
      <c r="R873" s="18">
        <f t="shared" si="256"/>
        <v>700</v>
      </c>
      <c r="S873" s="84">
        <f>S874</f>
        <v>0</v>
      </c>
      <c r="T873" s="18">
        <f t="shared" si="186"/>
        <v>700</v>
      </c>
      <c r="U873" s="84">
        <f>U874</f>
        <v>0</v>
      </c>
      <c r="V873" s="18">
        <f t="shared" si="184"/>
        <v>700</v>
      </c>
      <c r="W873" s="84">
        <f>W874</f>
        <v>0</v>
      </c>
      <c r="X873" s="18">
        <f t="shared" si="180"/>
        <v>700</v>
      </c>
    </row>
    <row r="874" spans="1:27" x14ac:dyDescent="0.25">
      <c r="A874" s="7" t="s">
        <v>54</v>
      </c>
      <c r="B874" s="130" t="s">
        <v>1093</v>
      </c>
      <c r="C874" s="86" t="s">
        <v>34</v>
      </c>
      <c r="D874" s="19"/>
      <c r="E874" s="19"/>
      <c r="F874" s="18"/>
      <c r="G874" s="64"/>
      <c r="H874" s="18"/>
      <c r="I874" s="85"/>
      <c r="J874" s="18"/>
      <c r="K874" s="100"/>
      <c r="L874" s="18"/>
      <c r="M874" s="120"/>
      <c r="N874" s="18"/>
      <c r="O874" s="100">
        <v>1750</v>
      </c>
      <c r="P874" s="18">
        <f t="shared" si="259"/>
        <v>1750</v>
      </c>
      <c r="Q874" s="85">
        <v>-1050</v>
      </c>
      <c r="R874" s="18">
        <f t="shared" si="256"/>
        <v>700</v>
      </c>
      <c r="S874" s="121"/>
      <c r="T874" s="18">
        <f t="shared" si="186"/>
        <v>700</v>
      </c>
      <c r="U874" s="121"/>
      <c r="V874" s="18">
        <f t="shared" si="184"/>
        <v>700</v>
      </c>
      <c r="W874" s="121"/>
      <c r="X874" s="18">
        <f t="shared" si="180"/>
        <v>700</v>
      </c>
      <c r="Z874" s="43">
        <f>X874+Y874</f>
        <v>700</v>
      </c>
      <c r="AA874" s="43"/>
    </row>
    <row r="875" spans="1:27" x14ac:dyDescent="0.25">
      <c r="A875" s="125" t="s">
        <v>1070</v>
      </c>
      <c r="B875" s="128" t="s">
        <v>1094</v>
      </c>
      <c r="C875" s="27"/>
      <c r="D875" s="19"/>
      <c r="E875" s="19"/>
      <c r="F875" s="18"/>
      <c r="G875" s="64"/>
      <c r="H875" s="18"/>
      <c r="I875" s="85"/>
      <c r="J875" s="18"/>
      <c r="K875" s="100"/>
      <c r="L875" s="18"/>
      <c r="M875" s="120"/>
      <c r="N875" s="18"/>
      <c r="O875" s="84">
        <f>O876</f>
        <v>300</v>
      </c>
      <c r="P875" s="18">
        <f t="shared" si="259"/>
        <v>300</v>
      </c>
      <c r="Q875" s="84">
        <f>Q876</f>
        <v>-180</v>
      </c>
      <c r="R875" s="18">
        <f t="shared" si="256"/>
        <v>120</v>
      </c>
      <c r="S875" s="84">
        <f>S876</f>
        <v>0</v>
      </c>
      <c r="T875" s="18">
        <f t="shared" si="186"/>
        <v>120</v>
      </c>
      <c r="U875" s="84">
        <f>U876</f>
        <v>0</v>
      </c>
      <c r="V875" s="18">
        <f t="shared" si="184"/>
        <v>120</v>
      </c>
      <c r="W875" s="84">
        <f>W876</f>
        <v>0</v>
      </c>
      <c r="X875" s="18">
        <f t="shared" si="180"/>
        <v>120</v>
      </c>
    </row>
    <row r="876" spans="1:27" x14ac:dyDescent="0.25">
      <c r="A876" s="7" t="s">
        <v>54</v>
      </c>
      <c r="B876" s="130" t="s">
        <v>1094</v>
      </c>
      <c r="C876" s="86" t="s">
        <v>34</v>
      </c>
      <c r="D876" s="19"/>
      <c r="E876" s="19"/>
      <c r="F876" s="18"/>
      <c r="G876" s="64"/>
      <c r="H876" s="18"/>
      <c r="I876" s="85"/>
      <c r="J876" s="18"/>
      <c r="K876" s="100"/>
      <c r="L876" s="18"/>
      <c r="M876" s="120"/>
      <c r="N876" s="18"/>
      <c r="O876" s="100">
        <v>300</v>
      </c>
      <c r="P876" s="18">
        <f t="shared" si="259"/>
        <v>300</v>
      </c>
      <c r="Q876" s="85">
        <v>-180</v>
      </c>
      <c r="R876" s="18">
        <f t="shared" si="256"/>
        <v>120</v>
      </c>
      <c r="S876" s="121"/>
      <c r="T876" s="18">
        <f t="shared" si="186"/>
        <v>120</v>
      </c>
      <c r="U876" s="121"/>
      <c r="V876" s="18">
        <f t="shared" si="184"/>
        <v>120</v>
      </c>
      <c r="W876" s="121"/>
      <c r="X876" s="18">
        <f t="shared" si="180"/>
        <v>120</v>
      </c>
      <c r="Z876" s="43">
        <f>X876+Y876</f>
        <v>120</v>
      </c>
      <c r="AA876" s="43"/>
    </row>
    <row r="877" spans="1:27" x14ac:dyDescent="0.25">
      <c r="A877" s="125" t="s">
        <v>1071</v>
      </c>
      <c r="B877" s="128" t="s">
        <v>1095</v>
      </c>
      <c r="C877" s="27"/>
      <c r="D877" s="19"/>
      <c r="E877" s="19"/>
      <c r="F877" s="18"/>
      <c r="G877" s="64"/>
      <c r="H877" s="18"/>
      <c r="I877" s="85"/>
      <c r="J877" s="18"/>
      <c r="K877" s="100"/>
      <c r="L877" s="18"/>
      <c r="M877" s="120"/>
      <c r="N877" s="18"/>
      <c r="O877" s="84">
        <f>O878</f>
        <v>752.5</v>
      </c>
      <c r="P877" s="18">
        <f t="shared" si="259"/>
        <v>752.5</v>
      </c>
      <c r="Q877" s="84">
        <f>Q878</f>
        <v>-451.5</v>
      </c>
      <c r="R877" s="18">
        <f t="shared" si="256"/>
        <v>301</v>
      </c>
      <c r="S877" s="84">
        <f>S878</f>
        <v>0</v>
      </c>
      <c r="T877" s="18">
        <f t="shared" si="186"/>
        <v>301</v>
      </c>
      <c r="U877" s="84">
        <f>U878</f>
        <v>0</v>
      </c>
      <c r="V877" s="18">
        <f t="shared" si="184"/>
        <v>301</v>
      </c>
      <c r="W877" s="84">
        <f>W878</f>
        <v>0</v>
      </c>
      <c r="X877" s="18">
        <f t="shared" si="180"/>
        <v>301</v>
      </c>
    </row>
    <row r="878" spans="1:27" x14ac:dyDescent="0.25">
      <c r="A878" s="7" t="s">
        <v>54</v>
      </c>
      <c r="B878" s="130" t="s">
        <v>1095</v>
      </c>
      <c r="C878" s="86" t="s">
        <v>34</v>
      </c>
      <c r="D878" s="19"/>
      <c r="E878" s="19"/>
      <c r="F878" s="18"/>
      <c r="G878" s="64"/>
      <c r="H878" s="18"/>
      <c r="I878" s="85"/>
      <c r="J878" s="18"/>
      <c r="K878" s="100"/>
      <c r="L878" s="18"/>
      <c r="M878" s="120"/>
      <c r="N878" s="18"/>
      <c r="O878" s="100">
        <v>752.5</v>
      </c>
      <c r="P878" s="18">
        <f t="shared" si="259"/>
        <v>752.5</v>
      </c>
      <c r="Q878" s="85">
        <v>-451.5</v>
      </c>
      <c r="R878" s="18">
        <f t="shared" si="256"/>
        <v>301</v>
      </c>
      <c r="S878" s="121"/>
      <c r="T878" s="18">
        <f t="shared" si="186"/>
        <v>301</v>
      </c>
      <c r="U878" s="121"/>
      <c r="V878" s="18">
        <f t="shared" si="184"/>
        <v>301</v>
      </c>
      <c r="W878" s="121"/>
      <c r="X878" s="18">
        <f t="shared" si="180"/>
        <v>301</v>
      </c>
      <c r="Z878" s="43">
        <f>X878+Y878</f>
        <v>301</v>
      </c>
      <c r="AA878" s="43"/>
    </row>
    <row r="879" spans="1:27" x14ac:dyDescent="0.25">
      <c r="A879" s="125" t="s">
        <v>1072</v>
      </c>
      <c r="B879" s="128" t="s">
        <v>1096</v>
      </c>
      <c r="C879" s="27"/>
      <c r="D879" s="19"/>
      <c r="E879" s="19"/>
      <c r="F879" s="18"/>
      <c r="G879" s="64"/>
      <c r="H879" s="18"/>
      <c r="I879" s="85"/>
      <c r="J879" s="18"/>
      <c r="K879" s="100"/>
      <c r="L879" s="18"/>
      <c r="M879" s="120"/>
      <c r="N879" s="18"/>
      <c r="O879" s="84">
        <f>O880</f>
        <v>375</v>
      </c>
      <c r="P879" s="18">
        <f t="shared" si="259"/>
        <v>375</v>
      </c>
      <c r="Q879" s="84">
        <f>Q880</f>
        <v>-225</v>
      </c>
      <c r="R879" s="18">
        <f t="shared" si="256"/>
        <v>150</v>
      </c>
      <c r="S879" s="84">
        <f>S880</f>
        <v>0</v>
      </c>
      <c r="T879" s="18">
        <f t="shared" si="186"/>
        <v>150</v>
      </c>
      <c r="U879" s="84">
        <f>U880</f>
        <v>0</v>
      </c>
      <c r="V879" s="18">
        <f t="shared" si="184"/>
        <v>150</v>
      </c>
      <c r="W879" s="84">
        <f>W880</f>
        <v>0</v>
      </c>
      <c r="X879" s="18">
        <f t="shared" si="180"/>
        <v>150</v>
      </c>
    </row>
    <row r="880" spans="1:27" x14ac:dyDescent="0.25">
      <c r="A880" s="7" t="s">
        <v>54</v>
      </c>
      <c r="B880" s="130" t="s">
        <v>1096</v>
      </c>
      <c r="C880" s="86" t="s">
        <v>34</v>
      </c>
      <c r="D880" s="19"/>
      <c r="E880" s="19"/>
      <c r="F880" s="18"/>
      <c r="G880" s="64"/>
      <c r="H880" s="18"/>
      <c r="I880" s="85"/>
      <c r="J880" s="18"/>
      <c r="K880" s="100"/>
      <c r="L880" s="18"/>
      <c r="M880" s="120"/>
      <c r="N880" s="18"/>
      <c r="O880" s="100">
        <v>375</v>
      </c>
      <c r="P880" s="18">
        <f t="shared" si="259"/>
        <v>375</v>
      </c>
      <c r="Q880" s="85">
        <v>-225</v>
      </c>
      <c r="R880" s="18">
        <f t="shared" si="256"/>
        <v>150</v>
      </c>
      <c r="S880" s="121"/>
      <c r="T880" s="18">
        <f t="shared" si="186"/>
        <v>150</v>
      </c>
      <c r="U880" s="121"/>
      <c r="V880" s="18">
        <f t="shared" si="184"/>
        <v>150</v>
      </c>
      <c r="W880" s="121"/>
      <c r="X880" s="18">
        <f t="shared" si="180"/>
        <v>150</v>
      </c>
      <c r="Z880" s="43">
        <f>X880+Y880</f>
        <v>150</v>
      </c>
      <c r="AA880" s="43"/>
    </row>
    <row r="881" spans="1:27" x14ac:dyDescent="0.25">
      <c r="A881" s="125" t="s">
        <v>1073</v>
      </c>
      <c r="B881" s="128" t="s">
        <v>1097</v>
      </c>
      <c r="C881" s="27"/>
      <c r="D881" s="19"/>
      <c r="E881" s="19"/>
      <c r="F881" s="18"/>
      <c r="G881" s="64"/>
      <c r="H881" s="18"/>
      <c r="I881" s="85"/>
      <c r="J881" s="18"/>
      <c r="K881" s="100"/>
      <c r="L881" s="18"/>
      <c r="M881" s="120"/>
      <c r="N881" s="18"/>
      <c r="O881" s="84">
        <f>O882</f>
        <v>650</v>
      </c>
      <c r="P881" s="18">
        <f t="shared" si="259"/>
        <v>650</v>
      </c>
      <c r="Q881" s="84">
        <f>Q882</f>
        <v>-390</v>
      </c>
      <c r="R881" s="18">
        <f t="shared" si="256"/>
        <v>260</v>
      </c>
      <c r="S881" s="84">
        <f>S882</f>
        <v>0</v>
      </c>
      <c r="T881" s="18">
        <f t="shared" si="186"/>
        <v>260</v>
      </c>
      <c r="U881" s="84">
        <f>U882</f>
        <v>0</v>
      </c>
      <c r="V881" s="18">
        <f t="shared" si="184"/>
        <v>260</v>
      </c>
      <c r="W881" s="84">
        <f>W882</f>
        <v>0</v>
      </c>
      <c r="X881" s="18">
        <f t="shared" si="180"/>
        <v>260</v>
      </c>
    </row>
    <row r="882" spans="1:27" x14ac:dyDescent="0.25">
      <c r="A882" s="7" t="s">
        <v>54</v>
      </c>
      <c r="B882" s="130" t="s">
        <v>1097</v>
      </c>
      <c r="C882" s="86" t="s">
        <v>34</v>
      </c>
      <c r="D882" s="19"/>
      <c r="E882" s="19"/>
      <c r="F882" s="18"/>
      <c r="G882" s="64"/>
      <c r="H882" s="18"/>
      <c r="I882" s="85"/>
      <c r="J882" s="18"/>
      <c r="K882" s="100"/>
      <c r="L882" s="18"/>
      <c r="M882" s="120"/>
      <c r="N882" s="18"/>
      <c r="O882" s="100">
        <v>650</v>
      </c>
      <c r="P882" s="18">
        <f t="shared" si="259"/>
        <v>650</v>
      </c>
      <c r="Q882" s="85">
        <v>-390</v>
      </c>
      <c r="R882" s="18">
        <f t="shared" si="256"/>
        <v>260</v>
      </c>
      <c r="S882" s="121"/>
      <c r="T882" s="18">
        <f t="shared" si="186"/>
        <v>260</v>
      </c>
      <c r="U882" s="121"/>
      <c r="V882" s="18">
        <f t="shared" si="184"/>
        <v>260</v>
      </c>
      <c r="W882" s="121"/>
      <c r="X882" s="18">
        <f t="shared" si="180"/>
        <v>260</v>
      </c>
      <c r="Z882" s="43">
        <f>X882+Y882</f>
        <v>260</v>
      </c>
      <c r="AA882" s="43"/>
    </row>
    <row r="883" spans="1:27" x14ac:dyDescent="0.25">
      <c r="A883" s="125" t="s">
        <v>1074</v>
      </c>
      <c r="B883" s="128" t="s">
        <v>1098</v>
      </c>
      <c r="C883" s="27"/>
      <c r="D883" s="19"/>
      <c r="E883" s="19"/>
      <c r="F883" s="18"/>
      <c r="G883" s="64"/>
      <c r="H883" s="18"/>
      <c r="I883" s="85"/>
      <c r="J883" s="18"/>
      <c r="K883" s="100"/>
      <c r="L883" s="18"/>
      <c r="M883" s="120"/>
      <c r="N883" s="18"/>
      <c r="O883" s="84">
        <f>O884</f>
        <v>600</v>
      </c>
      <c r="P883" s="18">
        <f t="shared" si="259"/>
        <v>600</v>
      </c>
      <c r="Q883" s="84">
        <f>Q884</f>
        <v>-360</v>
      </c>
      <c r="R883" s="18">
        <f t="shared" si="256"/>
        <v>240</v>
      </c>
      <c r="S883" s="84">
        <f>S884</f>
        <v>0</v>
      </c>
      <c r="T883" s="18">
        <f t="shared" si="186"/>
        <v>240</v>
      </c>
      <c r="U883" s="84">
        <f>U884</f>
        <v>0</v>
      </c>
      <c r="V883" s="18">
        <f t="shared" si="184"/>
        <v>240</v>
      </c>
      <c r="W883" s="84">
        <f>W884</f>
        <v>0</v>
      </c>
      <c r="X883" s="18">
        <f t="shared" si="180"/>
        <v>240</v>
      </c>
    </row>
    <row r="884" spans="1:27" x14ac:dyDescent="0.25">
      <c r="A884" s="7" t="s">
        <v>54</v>
      </c>
      <c r="B884" s="130" t="s">
        <v>1098</v>
      </c>
      <c r="C884" s="86" t="s">
        <v>34</v>
      </c>
      <c r="D884" s="19"/>
      <c r="E884" s="19"/>
      <c r="F884" s="18"/>
      <c r="G884" s="64"/>
      <c r="H884" s="18"/>
      <c r="I884" s="85"/>
      <c r="J884" s="18"/>
      <c r="K884" s="100"/>
      <c r="L884" s="18"/>
      <c r="M884" s="120"/>
      <c r="N884" s="18"/>
      <c r="O884" s="100">
        <v>600</v>
      </c>
      <c r="P884" s="18">
        <f t="shared" si="259"/>
        <v>600</v>
      </c>
      <c r="Q884" s="85">
        <v>-360</v>
      </c>
      <c r="R884" s="18">
        <f t="shared" si="256"/>
        <v>240</v>
      </c>
      <c r="S884" s="121"/>
      <c r="T884" s="18">
        <f t="shared" si="186"/>
        <v>240</v>
      </c>
      <c r="U884" s="121"/>
      <c r="V884" s="18">
        <f t="shared" si="184"/>
        <v>240</v>
      </c>
      <c r="W884" s="121"/>
      <c r="X884" s="18">
        <f t="shared" si="180"/>
        <v>240</v>
      </c>
      <c r="Z884" s="43">
        <f>X884+Y884</f>
        <v>240</v>
      </c>
      <c r="AA884" s="43"/>
    </row>
    <row r="885" spans="1:27" x14ac:dyDescent="0.25">
      <c r="A885" s="125" t="s">
        <v>1075</v>
      </c>
      <c r="B885" s="128" t="s">
        <v>1099</v>
      </c>
      <c r="C885" s="27"/>
      <c r="D885" s="19"/>
      <c r="E885" s="19"/>
      <c r="F885" s="18"/>
      <c r="G885" s="64"/>
      <c r="H885" s="18"/>
      <c r="I885" s="85"/>
      <c r="J885" s="18"/>
      <c r="K885" s="100"/>
      <c r="L885" s="18"/>
      <c r="M885" s="120"/>
      <c r="N885" s="18"/>
      <c r="O885" s="84">
        <f t="shared" ref="O885:W885" si="269">O886</f>
        <v>469</v>
      </c>
      <c r="P885" s="18">
        <f t="shared" si="259"/>
        <v>469</v>
      </c>
      <c r="Q885" s="84">
        <f t="shared" si="269"/>
        <v>-281.39999999999998</v>
      </c>
      <c r="R885" s="18">
        <f t="shared" si="256"/>
        <v>187.60000000000002</v>
      </c>
      <c r="S885" s="84">
        <f t="shared" si="269"/>
        <v>0</v>
      </c>
      <c r="T885" s="18">
        <f t="shared" si="186"/>
        <v>187.60000000000002</v>
      </c>
      <c r="U885" s="84">
        <f t="shared" si="269"/>
        <v>0</v>
      </c>
      <c r="V885" s="18">
        <f t="shared" si="184"/>
        <v>187.60000000000002</v>
      </c>
      <c r="W885" s="84">
        <f t="shared" si="269"/>
        <v>0</v>
      </c>
      <c r="X885" s="18">
        <f t="shared" si="180"/>
        <v>187.60000000000002</v>
      </c>
    </row>
    <row r="886" spans="1:27" x14ac:dyDescent="0.25">
      <c r="A886" s="7" t="s">
        <v>54</v>
      </c>
      <c r="B886" s="130" t="s">
        <v>1099</v>
      </c>
      <c r="C886" s="86" t="s">
        <v>34</v>
      </c>
      <c r="D886" s="19"/>
      <c r="E886" s="19"/>
      <c r="F886" s="18"/>
      <c r="G886" s="64"/>
      <c r="H886" s="18"/>
      <c r="I886" s="85"/>
      <c r="J886" s="18"/>
      <c r="K886" s="100"/>
      <c r="L886" s="18"/>
      <c r="M886" s="120"/>
      <c r="N886" s="18"/>
      <c r="O886" s="100">
        <v>469</v>
      </c>
      <c r="P886" s="18">
        <f t="shared" si="259"/>
        <v>469</v>
      </c>
      <c r="Q886" s="85">
        <v>-281.39999999999998</v>
      </c>
      <c r="R886" s="18">
        <f t="shared" si="256"/>
        <v>187.60000000000002</v>
      </c>
      <c r="S886" s="121"/>
      <c r="T886" s="18">
        <f t="shared" si="186"/>
        <v>187.60000000000002</v>
      </c>
      <c r="U886" s="121"/>
      <c r="V886" s="18">
        <f t="shared" si="184"/>
        <v>187.60000000000002</v>
      </c>
      <c r="W886" s="121"/>
      <c r="X886" s="18">
        <f t="shared" si="180"/>
        <v>187.60000000000002</v>
      </c>
      <c r="Z886" s="43">
        <f>X886+Y886</f>
        <v>187.60000000000002</v>
      </c>
      <c r="AA886" s="43"/>
    </row>
    <row r="887" spans="1:27" x14ac:dyDescent="0.25">
      <c r="A887" s="125" t="s">
        <v>1076</v>
      </c>
      <c r="B887" s="128" t="s">
        <v>1100</v>
      </c>
      <c r="C887" s="27"/>
      <c r="D887" s="19"/>
      <c r="E887" s="19"/>
      <c r="F887" s="18"/>
      <c r="G887" s="64"/>
      <c r="H887" s="18"/>
      <c r="I887" s="85"/>
      <c r="J887" s="18"/>
      <c r="K887" s="100"/>
      <c r="L887" s="18"/>
      <c r="M887" s="120"/>
      <c r="N887" s="18"/>
      <c r="O887" s="84">
        <f>O888</f>
        <v>292</v>
      </c>
      <c r="P887" s="18">
        <f t="shared" si="259"/>
        <v>292</v>
      </c>
      <c r="Q887" s="84">
        <f>Q888</f>
        <v>-175.2</v>
      </c>
      <c r="R887" s="18">
        <f t="shared" si="256"/>
        <v>116.80000000000001</v>
      </c>
      <c r="S887" s="84">
        <f>S888</f>
        <v>0</v>
      </c>
      <c r="T887" s="18">
        <f t="shared" si="186"/>
        <v>116.80000000000001</v>
      </c>
      <c r="U887" s="84">
        <f>U888</f>
        <v>0</v>
      </c>
      <c r="V887" s="18">
        <f t="shared" si="184"/>
        <v>116.80000000000001</v>
      </c>
      <c r="W887" s="84">
        <f>W888</f>
        <v>0</v>
      </c>
      <c r="X887" s="18">
        <f t="shared" si="180"/>
        <v>116.80000000000001</v>
      </c>
    </row>
    <row r="888" spans="1:27" x14ac:dyDescent="0.25">
      <c r="A888" s="7" t="s">
        <v>54</v>
      </c>
      <c r="B888" s="130" t="s">
        <v>1100</v>
      </c>
      <c r="C888" s="86" t="s">
        <v>34</v>
      </c>
      <c r="D888" s="19"/>
      <c r="E888" s="19"/>
      <c r="F888" s="18"/>
      <c r="G888" s="64"/>
      <c r="H888" s="18"/>
      <c r="I888" s="85"/>
      <c r="J888" s="18"/>
      <c r="K888" s="100"/>
      <c r="L888" s="18"/>
      <c r="M888" s="120"/>
      <c r="N888" s="18"/>
      <c r="O888" s="100">
        <v>292</v>
      </c>
      <c r="P888" s="18">
        <f t="shared" si="259"/>
        <v>292</v>
      </c>
      <c r="Q888" s="85">
        <v>-175.2</v>
      </c>
      <c r="R888" s="18">
        <f t="shared" si="256"/>
        <v>116.80000000000001</v>
      </c>
      <c r="S888" s="121"/>
      <c r="T888" s="18">
        <f t="shared" si="186"/>
        <v>116.80000000000001</v>
      </c>
      <c r="U888" s="121"/>
      <c r="V888" s="18">
        <f t="shared" si="184"/>
        <v>116.80000000000001</v>
      </c>
      <c r="W888" s="121"/>
      <c r="X888" s="18">
        <f t="shared" si="180"/>
        <v>116.80000000000001</v>
      </c>
      <c r="Z888" s="43">
        <f>X888+Y888</f>
        <v>116.80000000000001</v>
      </c>
      <c r="AA888" s="43"/>
    </row>
    <row r="889" spans="1:27" ht="24" x14ac:dyDescent="0.25">
      <c r="A889" s="125" t="s">
        <v>1077</v>
      </c>
      <c r="B889" s="128" t="s">
        <v>1101</v>
      </c>
      <c r="C889" s="27"/>
      <c r="D889" s="19"/>
      <c r="E889" s="19"/>
      <c r="F889" s="18"/>
      <c r="G889" s="64"/>
      <c r="H889" s="18"/>
      <c r="I889" s="85"/>
      <c r="J889" s="18"/>
      <c r="K889" s="100"/>
      <c r="L889" s="18"/>
      <c r="M889" s="120"/>
      <c r="N889" s="18"/>
      <c r="O889" s="84">
        <f>O890</f>
        <v>765</v>
      </c>
      <c r="P889" s="18">
        <f t="shared" si="259"/>
        <v>765</v>
      </c>
      <c r="Q889" s="84">
        <f>Q890</f>
        <v>-459</v>
      </c>
      <c r="R889" s="18">
        <f t="shared" si="256"/>
        <v>306</v>
      </c>
      <c r="S889" s="84">
        <f>S890</f>
        <v>0</v>
      </c>
      <c r="T889" s="18">
        <f t="shared" si="186"/>
        <v>306</v>
      </c>
      <c r="U889" s="84">
        <f>U890</f>
        <v>0</v>
      </c>
      <c r="V889" s="18">
        <f t="shared" si="184"/>
        <v>306</v>
      </c>
      <c r="W889" s="84">
        <f>W890</f>
        <v>0</v>
      </c>
      <c r="X889" s="18">
        <f t="shared" si="180"/>
        <v>306</v>
      </c>
    </row>
    <row r="890" spans="1:27" x14ac:dyDescent="0.25">
      <c r="A890" s="7" t="s">
        <v>54</v>
      </c>
      <c r="B890" s="130" t="s">
        <v>1101</v>
      </c>
      <c r="C890" s="86" t="s">
        <v>34</v>
      </c>
      <c r="D890" s="19"/>
      <c r="E890" s="19"/>
      <c r="F890" s="18"/>
      <c r="G890" s="64"/>
      <c r="H890" s="18"/>
      <c r="I890" s="85"/>
      <c r="J890" s="18"/>
      <c r="K890" s="100"/>
      <c r="L890" s="18"/>
      <c r="M890" s="120"/>
      <c r="N890" s="18"/>
      <c r="O890" s="100">
        <v>765</v>
      </c>
      <c r="P890" s="18">
        <f t="shared" si="259"/>
        <v>765</v>
      </c>
      <c r="Q890" s="85">
        <v>-459</v>
      </c>
      <c r="R890" s="18">
        <f t="shared" si="256"/>
        <v>306</v>
      </c>
      <c r="S890" s="121"/>
      <c r="T890" s="18">
        <f t="shared" si="186"/>
        <v>306</v>
      </c>
      <c r="U890" s="121"/>
      <c r="V890" s="18">
        <f t="shared" si="184"/>
        <v>306</v>
      </c>
      <c r="W890" s="121"/>
      <c r="X890" s="18">
        <f t="shared" si="180"/>
        <v>306</v>
      </c>
      <c r="Z890" s="43">
        <f>X890+Y890</f>
        <v>306</v>
      </c>
      <c r="AA890" s="43"/>
    </row>
    <row r="891" spans="1:27" x14ac:dyDescent="0.25">
      <c r="A891" s="125" t="s">
        <v>1078</v>
      </c>
      <c r="B891" s="128" t="s">
        <v>1102</v>
      </c>
      <c r="C891" s="27"/>
      <c r="D891" s="19"/>
      <c r="E891" s="19"/>
      <c r="F891" s="18"/>
      <c r="G891" s="64"/>
      <c r="H891" s="18"/>
      <c r="I891" s="85"/>
      <c r="J891" s="18"/>
      <c r="K891" s="100"/>
      <c r="L891" s="18"/>
      <c r="M891" s="120"/>
      <c r="N891" s="18"/>
      <c r="O891" s="84">
        <f>O892</f>
        <v>355</v>
      </c>
      <c r="P891" s="18">
        <f t="shared" si="259"/>
        <v>355</v>
      </c>
      <c r="Q891" s="84">
        <f>Q892</f>
        <v>-213</v>
      </c>
      <c r="R891" s="18">
        <f t="shared" si="256"/>
        <v>142</v>
      </c>
      <c r="S891" s="84">
        <f>S892</f>
        <v>0</v>
      </c>
      <c r="T891" s="18">
        <f t="shared" si="186"/>
        <v>142</v>
      </c>
      <c r="U891" s="84">
        <f>U892</f>
        <v>0</v>
      </c>
      <c r="V891" s="18">
        <f t="shared" si="184"/>
        <v>142</v>
      </c>
      <c r="W891" s="84">
        <f>W892</f>
        <v>0</v>
      </c>
      <c r="X891" s="18">
        <f t="shared" si="180"/>
        <v>142</v>
      </c>
    </row>
    <row r="892" spans="1:27" x14ac:dyDescent="0.25">
      <c r="A892" s="7" t="s">
        <v>54</v>
      </c>
      <c r="B892" s="130" t="s">
        <v>1102</v>
      </c>
      <c r="C892" s="86" t="s">
        <v>34</v>
      </c>
      <c r="D892" s="19"/>
      <c r="E892" s="19"/>
      <c r="F892" s="18"/>
      <c r="G892" s="64"/>
      <c r="H892" s="18"/>
      <c r="I892" s="85"/>
      <c r="J892" s="18"/>
      <c r="K892" s="100"/>
      <c r="L892" s="18"/>
      <c r="M892" s="120"/>
      <c r="N892" s="18"/>
      <c r="O892" s="100">
        <v>355</v>
      </c>
      <c r="P892" s="18">
        <f t="shared" si="259"/>
        <v>355</v>
      </c>
      <c r="Q892" s="85">
        <v>-213</v>
      </c>
      <c r="R892" s="18">
        <f t="shared" ref="R892:R1110" si="270">P892+Q892</f>
        <v>142</v>
      </c>
      <c r="S892" s="121"/>
      <c r="T892" s="18">
        <f t="shared" si="186"/>
        <v>142</v>
      </c>
      <c r="U892" s="121"/>
      <c r="V892" s="18">
        <f t="shared" si="184"/>
        <v>142</v>
      </c>
      <c r="W892" s="121"/>
      <c r="X892" s="18">
        <f t="shared" si="180"/>
        <v>142</v>
      </c>
      <c r="Z892" s="43">
        <f>X892+Y892</f>
        <v>142</v>
      </c>
      <c r="AA892" s="43"/>
    </row>
    <row r="893" spans="1:27" x14ac:dyDescent="0.25">
      <c r="A893" s="125" t="s">
        <v>1079</v>
      </c>
      <c r="B893" s="128" t="s">
        <v>1103</v>
      </c>
      <c r="C893" s="27"/>
      <c r="D893" s="19"/>
      <c r="E893" s="19"/>
      <c r="F893" s="18"/>
      <c r="G893" s="64"/>
      <c r="H893" s="18"/>
      <c r="I893" s="85"/>
      <c r="J893" s="18"/>
      <c r="K893" s="100"/>
      <c r="L893" s="18"/>
      <c r="M893" s="120"/>
      <c r="N893" s="18"/>
      <c r="O893" s="84">
        <f>O894</f>
        <v>295</v>
      </c>
      <c r="P893" s="18">
        <f t="shared" si="259"/>
        <v>295</v>
      </c>
      <c r="Q893" s="84">
        <f>Q894</f>
        <v>-177</v>
      </c>
      <c r="R893" s="18">
        <f t="shared" si="270"/>
        <v>118</v>
      </c>
      <c r="S893" s="84">
        <f>S894</f>
        <v>0</v>
      </c>
      <c r="T893" s="18">
        <f t="shared" si="186"/>
        <v>118</v>
      </c>
      <c r="U893" s="84">
        <f>U894</f>
        <v>0</v>
      </c>
      <c r="V893" s="18">
        <f t="shared" si="184"/>
        <v>118</v>
      </c>
      <c r="W893" s="84">
        <f>W894</f>
        <v>0</v>
      </c>
      <c r="X893" s="18">
        <f t="shared" si="180"/>
        <v>118</v>
      </c>
    </row>
    <row r="894" spans="1:27" x14ac:dyDescent="0.25">
      <c r="A894" s="7" t="s">
        <v>54</v>
      </c>
      <c r="B894" s="130" t="s">
        <v>1103</v>
      </c>
      <c r="C894" s="86" t="s">
        <v>34</v>
      </c>
      <c r="D894" s="19"/>
      <c r="E894" s="19"/>
      <c r="F894" s="18"/>
      <c r="G894" s="64"/>
      <c r="H894" s="18"/>
      <c r="I894" s="85"/>
      <c r="J894" s="18"/>
      <c r="K894" s="100"/>
      <c r="L894" s="18"/>
      <c r="M894" s="120"/>
      <c r="N894" s="18"/>
      <c r="O894" s="100">
        <v>295</v>
      </c>
      <c r="P894" s="18">
        <f t="shared" si="259"/>
        <v>295</v>
      </c>
      <c r="Q894" s="85">
        <v>-177</v>
      </c>
      <c r="R894" s="18">
        <f t="shared" si="270"/>
        <v>118</v>
      </c>
      <c r="S894" s="121"/>
      <c r="T894" s="18">
        <f t="shared" si="186"/>
        <v>118</v>
      </c>
      <c r="U894" s="121"/>
      <c r="V894" s="18">
        <f t="shared" si="184"/>
        <v>118</v>
      </c>
      <c r="W894" s="121"/>
      <c r="X894" s="18">
        <f t="shared" si="180"/>
        <v>118</v>
      </c>
      <c r="Z894" s="43">
        <f>X894+Y894</f>
        <v>118</v>
      </c>
      <c r="AA894" s="43"/>
    </row>
    <row r="895" spans="1:27" x14ac:dyDescent="0.25">
      <c r="A895" s="125" t="s">
        <v>1080</v>
      </c>
      <c r="B895" s="128" t="s">
        <v>1104</v>
      </c>
      <c r="C895" s="27"/>
      <c r="D895" s="19"/>
      <c r="E895" s="19"/>
      <c r="F895" s="18"/>
      <c r="G895" s="64"/>
      <c r="H895" s="18"/>
      <c r="I895" s="85"/>
      <c r="J895" s="18"/>
      <c r="K895" s="100"/>
      <c r="L895" s="18"/>
      <c r="M895" s="120"/>
      <c r="N895" s="18"/>
      <c r="O895" s="84">
        <f>O896</f>
        <v>247.5</v>
      </c>
      <c r="P895" s="18">
        <f t="shared" ref="P895:P912" si="271">N895+O895</f>
        <v>247.5</v>
      </c>
      <c r="Q895" s="84">
        <f>Q896</f>
        <v>-148.5</v>
      </c>
      <c r="R895" s="18">
        <f t="shared" si="270"/>
        <v>99</v>
      </c>
      <c r="S895" s="84">
        <f>S896</f>
        <v>0</v>
      </c>
      <c r="T895" s="18">
        <f t="shared" si="186"/>
        <v>99</v>
      </c>
      <c r="U895" s="84">
        <f>U896</f>
        <v>0</v>
      </c>
      <c r="V895" s="18">
        <f t="shared" si="184"/>
        <v>99</v>
      </c>
      <c r="W895" s="84">
        <f>W896</f>
        <v>0</v>
      </c>
      <c r="X895" s="18">
        <f t="shared" si="180"/>
        <v>99</v>
      </c>
    </row>
    <row r="896" spans="1:27" x14ac:dyDescent="0.25">
      <c r="A896" s="7" t="s">
        <v>54</v>
      </c>
      <c r="B896" s="130" t="s">
        <v>1104</v>
      </c>
      <c r="C896" s="86" t="s">
        <v>34</v>
      </c>
      <c r="D896" s="19"/>
      <c r="E896" s="19"/>
      <c r="F896" s="18"/>
      <c r="G896" s="64"/>
      <c r="H896" s="18"/>
      <c r="I896" s="85"/>
      <c r="J896" s="18"/>
      <c r="K896" s="100"/>
      <c r="L896" s="18"/>
      <c r="M896" s="120"/>
      <c r="N896" s="18"/>
      <c r="O896" s="100">
        <v>247.5</v>
      </c>
      <c r="P896" s="18">
        <f t="shared" si="271"/>
        <v>247.5</v>
      </c>
      <c r="Q896" s="85">
        <v>-148.5</v>
      </c>
      <c r="R896" s="18">
        <f t="shared" si="270"/>
        <v>99</v>
      </c>
      <c r="S896" s="121"/>
      <c r="T896" s="18">
        <f t="shared" si="186"/>
        <v>99</v>
      </c>
      <c r="U896" s="121"/>
      <c r="V896" s="18">
        <f t="shared" si="184"/>
        <v>99</v>
      </c>
      <c r="W896" s="121"/>
      <c r="X896" s="18">
        <f t="shared" si="180"/>
        <v>99</v>
      </c>
      <c r="Z896" s="43">
        <f>X896+Y896</f>
        <v>99</v>
      </c>
      <c r="AA896" s="43"/>
    </row>
    <row r="897" spans="1:27" x14ac:dyDescent="0.25">
      <c r="A897" s="125" t="s">
        <v>1081</v>
      </c>
      <c r="B897" s="128" t="s">
        <v>1105</v>
      </c>
      <c r="C897" s="27"/>
      <c r="D897" s="19"/>
      <c r="E897" s="19"/>
      <c r="F897" s="18"/>
      <c r="G897" s="64"/>
      <c r="H897" s="18"/>
      <c r="I897" s="85"/>
      <c r="J897" s="18"/>
      <c r="K897" s="100"/>
      <c r="L897" s="18"/>
      <c r="M897" s="120"/>
      <c r="N897" s="18"/>
      <c r="O897" s="84">
        <f>O898</f>
        <v>120</v>
      </c>
      <c r="P897" s="18">
        <f t="shared" si="271"/>
        <v>120</v>
      </c>
      <c r="Q897" s="84">
        <f>Q898</f>
        <v>-72</v>
      </c>
      <c r="R897" s="18">
        <f t="shared" si="270"/>
        <v>48</v>
      </c>
      <c r="S897" s="84">
        <f>S898</f>
        <v>0</v>
      </c>
      <c r="T897" s="18">
        <f t="shared" si="186"/>
        <v>48</v>
      </c>
      <c r="U897" s="84">
        <f>U898</f>
        <v>0</v>
      </c>
      <c r="V897" s="18">
        <f t="shared" si="184"/>
        <v>48</v>
      </c>
      <c r="W897" s="84">
        <f>W898</f>
        <v>0</v>
      </c>
      <c r="X897" s="18">
        <f t="shared" si="180"/>
        <v>48</v>
      </c>
    </row>
    <row r="898" spans="1:27" x14ac:dyDescent="0.25">
      <c r="A898" s="7" t="s">
        <v>54</v>
      </c>
      <c r="B898" s="130" t="s">
        <v>1105</v>
      </c>
      <c r="C898" s="86" t="s">
        <v>34</v>
      </c>
      <c r="D898" s="19"/>
      <c r="E898" s="19"/>
      <c r="F898" s="18"/>
      <c r="G898" s="64"/>
      <c r="H898" s="18"/>
      <c r="I898" s="85"/>
      <c r="J898" s="18"/>
      <c r="K898" s="100"/>
      <c r="L898" s="18"/>
      <c r="M898" s="120"/>
      <c r="N898" s="18"/>
      <c r="O898" s="100">
        <v>120</v>
      </c>
      <c r="P898" s="18">
        <f t="shared" si="271"/>
        <v>120</v>
      </c>
      <c r="Q898" s="85">
        <v>-72</v>
      </c>
      <c r="R898" s="18">
        <f t="shared" si="270"/>
        <v>48</v>
      </c>
      <c r="S898" s="121"/>
      <c r="T898" s="18">
        <f t="shared" si="186"/>
        <v>48</v>
      </c>
      <c r="U898" s="121"/>
      <c r="V898" s="18">
        <f t="shared" si="184"/>
        <v>48</v>
      </c>
      <c r="W898" s="121"/>
      <c r="X898" s="18">
        <f t="shared" si="180"/>
        <v>48</v>
      </c>
      <c r="Z898" s="43">
        <f>X898+Y898</f>
        <v>48</v>
      </c>
      <c r="AA898" s="43"/>
    </row>
    <row r="899" spans="1:27" ht="24" x14ac:dyDescent="0.25">
      <c r="A899" s="125" t="s">
        <v>1082</v>
      </c>
      <c r="B899" s="128" t="s">
        <v>1106</v>
      </c>
      <c r="C899" s="27"/>
      <c r="D899" s="19"/>
      <c r="E899" s="19"/>
      <c r="F899" s="18"/>
      <c r="G899" s="64"/>
      <c r="H899" s="18"/>
      <c r="I899" s="85"/>
      <c r="J899" s="18"/>
      <c r="K899" s="100"/>
      <c r="L899" s="18"/>
      <c r="M899" s="120"/>
      <c r="N899" s="18"/>
      <c r="O899" s="84">
        <f t="shared" ref="O899:W899" si="272">O900</f>
        <v>139.4</v>
      </c>
      <c r="P899" s="18">
        <f t="shared" si="271"/>
        <v>139.4</v>
      </c>
      <c r="Q899" s="84">
        <f t="shared" si="272"/>
        <v>-83.6</v>
      </c>
      <c r="R899" s="18">
        <f t="shared" si="270"/>
        <v>55.800000000000011</v>
      </c>
      <c r="S899" s="84">
        <f t="shared" si="272"/>
        <v>0</v>
      </c>
      <c r="T899" s="18">
        <f t="shared" si="186"/>
        <v>55.800000000000011</v>
      </c>
      <c r="U899" s="84">
        <f t="shared" si="272"/>
        <v>0</v>
      </c>
      <c r="V899" s="18">
        <f t="shared" si="184"/>
        <v>55.800000000000011</v>
      </c>
      <c r="W899" s="84">
        <f t="shared" si="272"/>
        <v>0</v>
      </c>
      <c r="X899" s="18">
        <f t="shared" si="180"/>
        <v>55.800000000000011</v>
      </c>
    </row>
    <row r="900" spans="1:27" x14ac:dyDescent="0.25">
      <c r="A900" s="7" t="s">
        <v>54</v>
      </c>
      <c r="B900" s="130" t="s">
        <v>1106</v>
      </c>
      <c r="C900" s="86" t="s">
        <v>34</v>
      </c>
      <c r="D900" s="19"/>
      <c r="E900" s="19"/>
      <c r="F900" s="18"/>
      <c r="G900" s="64"/>
      <c r="H900" s="18"/>
      <c r="I900" s="85"/>
      <c r="J900" s="18"/>
      <c r="K900" s="100"/>
      <c r="L900" s="18"/>
      <c r="M900" s="120"/>
      <c r="N900" s="18"/>
      <c r="O900" s="100">
        <v>139.4</v>
      </c>
      <c r="P900" s="18">
        <f t="shared" si="271"/>
        <v>139.4</v>
      </c>
      <c r="Q900" s="85">
        <v>-83.6</v>
      </c>
      <c r="R900" s="18">
        <f t="shared" si="270"/>
        <v>55.800000000000011</v>
      </c>
      <c r="S900" s="121"/>
      <c r="T900" s="18">
        <f t="shared" si="186"/>
        <v>55.800000000000011</v>
      </c>
      <c r="U900" s="121"/>
      <c r="V900" s="18">
        <f t="shared" si="184"/>
        <v>55.800000000000011</v>
      </c>
      <c r="W900" s="121"/>
      <c r="X900" s="18">
        <f t="shared" si="180"/>
        <v>55.800000000000011</v>
      </c>
      <c r="Z900" s="43">
        <f>X900+Y900</f>
        <v>55.800000000000011</v>
      </c>
      <c r="AA900" s="43"/>
    </row>
    <row r="901" spans="1:27" ht="24" x14ac:dyDescent="0.25">
      <c r="A901" s="125" t="s">
        <v>1083</v>
      </c>
      <c r="B901" s="128" t="s">
        <v>1107</v>
      </c>
      <c r="C901" s="27"/>
      <c r="D901" s="19"/>
      <c r="E901" s="19"/>
      <c r="F901" s="18"/>
      <c r="G901" s="64"/>
      <c r="H901" s="18"/>
      <c r="I901" s="85"/>
      <c r="J901" s="18"/>
      <c r="K901" s="100"/>
      <c r="L901" s="18"/>
      <c r="M901" s="120"/>
      <c r="N901" s="18"/>
      <c r="O901" s="84">
        <f>O902</f>
        <v>685</v>
      </c>
      <c r="P901" s="18">
        <f t="shared" si="271"/>
        <v>685</v>
      </c>
      <c r="Q901" s="84">
        <f>Q902</f>
        <v>-411</v>
      </c>
      <c r="R901" s="18">
        <f t="shared" si="270"/>
        <v>274</v>
      </c>
      <c r="S901" s="84">
        <f>S902</f>
        <v>0</v>
      </c>
      <c r="T901" s="18">
        <f t="shared" si="186"/>
        <v>274</v>
      </c>
      <c r="U901" s="84">
        <f>U902</f>
        <v>0</v>
      </c>
      <c r="V901" s="18">
        <f t="shared" si="184"/>
        <v>274</v>
      </c>
      <c r="W901" s="84">
        <f>W902</f>
        <v>0</v>
      </c>
      <c r="X901" s="18">
        <f t="shared" si="180"/>
        <v>274</v>
      </c>
    </row>
    <row r="902" spans="1:27" x14ac:dyDescent="0.25">
      <c r="A902" s="7" t="s">
        <v>54</v>
      </c>
      <c r="B902" s="130" t="s">
        <v>1107</v>
      </c>
      <c r="C902" s="86" t="s">
        <v>34</v>
      </c>
      <c r="D902" s="19"/>
      <c r="E902" s="19"/>
      <c r="F902" s="18"/>
      <c r="G902" s="64"/>
      <c r="H902" s="18"/>
      <c r="I902" s="85"/>
      <c r="J902" s="18"/>
      <c r="K902" s="100"/>
      <c r="L902" s="18"/>
      <c r="M902" s="120"/>
      <c r="N902" s="18"/>
      <c r="O902" s="100">
        <v>685</v>
      </c>
      <c r="P902" s="18">
        <f t="shared" si="271"/>
        <v>685</v>
      </c>
      <c r="Q902" s="85">
        <v>-411</v>
      </c>
      <c r="R902" s="18">
        <f t="shared" si="270"/>
        <v>274</v>
      </c>
      <c r="S902" s="121"/>
      <c r="T902" s="18">
        <f t="shared" si="186"/>
        <v>274</v>
      </c>
      <c r="U902" s="121"/>
      <c r="V902" s="18">
        <f t="shared" si="184"/>
        <v>274</v>
      </c>
      <c r="W902" s="121"/>
      <c r="X902" s="18">
        <f t="shared" si="180"/>
        <v>274</v>
      </c>
      <c r="Z902" s="43">
        <f>X902+Y902</f>
        <v>274</v>
      </c>
      <c r="AA902" s="43"/>
    </row>
    <row r="903" spans="1:27" ht="24" x14ac:dyDescent="0.25">
      <c r="A903" s="125" t="s">
        <v>1084</v>
      </c>
      <c r="B903" s="128" t="s">
        <v>1108</v>
      </c>
      <c r="C903" s="27"/>
      <c r="D903" s="19"/>
      <c r="E903" s="19"/>
      <c r="F903" s="18"/>
      <c r="G903" s="64"/>
      <c r="H903" s="18"/>
      <c r="I903" s="85"/>
      <c r="J903" s="18"/>
      <c r="K903" s="100"/>
      <c r="L903" s="18"/>
      <c r="M903" s="120"/>
      <c r="N903" s="18"/>
      <c r="O903" s="84">
        <f>O904</f>
        <v>190</v>
      </c>
      <c r="P903" s="18">
        <f t="shared" si="271"/>
        <v>190</v>
      </c>
      <c r="Q903" s="84">
        <f>Q904</f>
        <v>-114</v>
      </c>
      <c r="R903" s="18">
        <f t="shared" si="270"/>
        <v>76</v>
      </c>
      <c r="S903" s="84">
        <f>S904</f>
        <v>0</v>
      </c>
      <c r="T903" s="18">
        <f t="shared" si="186"/>
        <v>76</v>
      </c>
      <c r="U903" s="84">
        <f>U904</f>
        <v>0</v>
      </c>
      <c r="V903" s="18">
        <f t="shared" si="184"/>
        <v>76</v>
      </c>
      <c r="W903" s="84">
        <f>W904</f>
        <v>0</v>
      </c>
      <c r="X903" s="18">
        <f t="shared" si="180"/>
        <v>76</v>
      </c>
    </row>
    <row r="904" spans="1:27" x14ac:dyDescent="0.25">
      <c r="A904" s="7" t="s">
        <v>54</v>
      </c>
      <c r="B904" s="130" t="s">
        <v>1108</v>
      </c>
      <c r="C904" s="86" t="s">
        <v>34</v>
      </c>
      <c r="D904" s="19"/>
      <c r="E904" s="19"/>
      <c r="F904" s="18"/>
      <c r="G904" s="64"/>
      <c r="H904" s="18"/>
      <c r="I904" s="85"/>
      <c r="J904" s="18"/>
      <c r="K904" s="100"/>
      <c r="L904" s="18"/>
      <c r="M904" s="120"/>
      <c r="N904" s="18"/>
      <c r="O904" s="100">
        <v>190</v>
      </c>
      <c r="P904" s="18">
        <f t="shared" si="271"/>
        <v>190</v>
      </c>
      <c r="Q904" s="85">
        <v>-114</v>
      </c>
      <c r="R904" s="18">
        <f t="shared" si="270"/>
        <v>76</v>
      </c>
      <c r="S904" s="121"/>
      <c r="T904" s="18">
        <f t="shared" si="186"/>
        <v>76</v>
      </c>
      <c r="U904" s="121"/>
      <c r="V904" s="18">
        <f t="shared" si="184"/>
        <v>76</v>
      </c>
      <c r="W904" s="121"/>
      <c r="X904" s="18">
        <f t="shared" si="180"/>
        <v>76</v>
      </c>
      <c r="Z904" s="43">
        <f>X904+Y904</f>
        <v>76</v>
      </c>
      <c r="AA904" s="43"/>
    </row>
    <row r="905" spans="1:27" ht="24" x14ac:dyDescent="0.25">
      <c r="A905" s="125" t="s">
        <v>1085</v>
      </c>
      <c r="B905" s="128" t="s">
        <v>1109</v>
      </c>
      <c r="C905" s="27"/>
      <c r="D905" s="19"/>
      <c r="E905" s="19"/>
      <c r="F905" s="18"/>
      <c r="G905" s="64"/>
      <c r="H905" s="18"/>
      <c r="I905" s="85"/>
      <c r="J905" s="18"/>
      <c r="K905" s="100"/>
      <c r="L905" s="18"/>
      <c r="M905" s="120"/>
      <c r="N905" s="18"/>
      <c r="O905" s="84">
        <f>O906</f>
        <v>710</v>
      </c>
      <c r="P905" s="18">
        <f t="shared" si="271"/>
        <v>710</v>
      </c>
      <c r="Q905" s="84">
        <f>Q906</f>
        <v>-426</v>
      </c>
      <c r="R905" s="18">
        <f t="shared" si="270"/>
        <v>284</v>
      </c>
      <c r="S905" s="84">
        <f>S906</f>
        <v>0</v>
      </c>
      <c r="T905" s="18">
        <f t="shared" si="186"/>
        <v>284</v>
      </c>
      <c r="U905" s="84">
        <f>U906</f>
        <v>0</v>
      </c>
      <c r="V905" s="18">
        <f t="shared" si="184"/>
        <v>284</v>
      </c>
      <c r="W905" s="84">
        <f>W906</f>
        <v>0</v>
      </c>
      <c r="X905" s="18">
        <f t="shared" si="180"/>
        <v>284</v>
      </c>
    </row>
    <row r="906" spans="1:27" x14ac:dyDescent="0.25">
      <c r="A906" s="7" t="s">
        <v>54</v>
      </c>
      <c r="B906" s="130" t="s">
        <v>1109</v>
      </c>
      <c r="C906" s="86" t="s">
        <v>34</v>
      </c>
      <c r="D906" s="19"/>
      <c r="E906" s="19"/>
      <c r="F906" s="18"/>
      <c r="G906" s="64"/>
      <c r="H906" s="18"/>
      <c r="I906" s="85"/>
      <c r="J906" s="18"/>
      <c r="K906" s="100"/>
      <c r="L906" s="18"/>
      <c r="M906" s="120"/>
      <c r="N906" s="18"/>
      <c r="O906" s="100">
        <v>710</v>
      </c>
      <c r="P906" s="18">
        <f t="shared" si="271"/>
        <v>710</v>
      </c>
      <c r="Q906" s="85">
        <v>-426</v>
      </c>
      <c r="R906" s="18">
        <f t="shared" si="270"/>
        <v>284</v>
      </c>
      <c r="S906" s="121"/>
      <c r="T906" s="18">
        <f t="shared" si="186"/>
        <v>284</v>
      </c>
      <c r="U906" s="121"/>
      <c r="V906" s="18">
        <f t="shared" si="184"/>
        <v>284</v>
      </c>
      <c r="W906" s="121"/>
      <c r="X906" s="18">
        <f t="shared" si="180"/>
        <v>284</v>
      </c>
      <c r="Z906" s="43">
        <f>X906+Y906</f>
        <v>284</v>
      </c>
      <c r="AA906" s="43"/>
    </row>
    <row r="907" spans="1:27" ht="24" x14ac:dyDescent="0.25">
      <c r="A907" s="125" t="s">
        <v>1086</v>
      </c>
      <c r="B907" s="128" t="s">
        <v>1110</v>
      </c>
      <c r="C907" s="27"/>
      <c r="D907" s="19"/>
      <c r="E907" s="19"/>
      <c r="F907" s="18"/>
      <c r="G907" s="64"/>
      <c r="H907" s="18"/>
      <c r="I907" s="85"/>
      <c r="J907" s="18"/>
      <c r="K907" s="100"/>
      <c r="L907" s="18"/>
      <c r="M907" s="120"/>
      <c r="N907" s="18"/>
      <c r="O907" s="84">
        <f>O908</f>
        <v>955</v>
      </c>
      <c r="P907" s="18">
        <f t="shared" si="271"/>
        <v>955</v>
      </c>
      <c r="Q907" s="84">
        <f>Q908</f>
        <v>-573</v>
      </c>
      <c r="R907" s="18">
        <f t="shared" si="270"/>
        <v>382</v>
      </c>
      <c r="S907" s="84">
        <f>S908</f>
        <v>0</v>
      </c>
      <c r="T907" s="18">
        <f t="shared" si="186"/>
        <v>382</v>
      </c>
      <c r="U907" s="84">
        <f>U908</f>
        <v>0</v>
      </c>
      <c r="V907" s="18">
        <f t="shared" si="184"/>
        <v>382</v>
      </c>
      <c r="W907" s="84">
        <f>W908</f>
        <v>0</v>
      </c>
      <c r="X907" s="18">
        <f t="shared" si="180"/>
        <v>382</v>
      </c>
    </row>
    <row r="908" spans="1:27" x14ac:dyDescent="0.25">
      <c r="A908" s="7" t="s">
        <v>54</v>
      </c>
      <c r="B908" s="130" t="s">
        <v>1110</v>
      </c>
      <c r="C908" s="86" t="s">
        <v>34</v>
      </c>
      <c r="D908" s="19"/>
      <c r="E908" s="19"/>
      <c r="F908" s="18"/>
      <c r="G908" s="64"/>
      <c r="H908" s="18"/>
      <c r="I908" s="85"/>
      <c r="J908" s="18"/>
      <c r="K908" s="100"/>
      <c r="L908" s="18"/>
      <c r="M908" s="120"/>
      <c r="N908" s="18"/>
      <c r="O908" s="100">
        <v>955</v>
      </c>
      <c r="P908" s="18">
        <f t="shared" si="271"/>
        <v>955</v>
      </c>
      <c r="Q908" s="85">
        <v>-573</v>
      </c>
      <c r="R908" s="18">
        <f t="shared" si="270"/>
        <v>382</v>
      </c>
      <c r="S908" s="121"/>
      <c r="T908" s="18">
        <f t="shared" si="186"/>
        <v>382</v>
      </c>
      <c r="U908" s="121"/>
      <c r="V908" s="18">
        <f t="shared" si="184"/>
        <v>382</v>
      </c>
      <c r="W908" s="121"/>
      <c r="X908" s="18">
        <f t="shared" si="180"/>
        <v>382</v>
      </c>
      <c r="Z908" s="43">
        <f>X908+Y908</f>
        <v>382</v>
      </c>
      <c r="AA908" s="43"/>
    </row>
    <row r="909" spans="1:27" x14ac:dyDescent="0.25">
      <c r="A909" s="125" t="s">
        <v>1087</v>
      </c>
      <c r="B909" s="128" t="s">
        <v>1111</v>
      </c>
      <c r="C909" s="27"/>
      <c r="D909" s="19"/>
      <c r="E909" s="19"/>
      <c r="F909" s="18"/>
      <c r="G909" s="64"/>
      <c r="H909" s="18"/>
      <c r="I909" s="85"/>
      <c r="J909" s="18"/>
      <c r="K909" s="100"/>
      <c r="L909" s="18"/>
      <c r="M909" s="120"/>
      <c r="N909" s="18"/>
      <c r="O909" s="84">
        <f>O910</f>
        <v>825</v>
      </c>
      <c r="P909" s="18">
        <f t="shared" si="271"/>
        <v>825</v>
      </c>
      <c r="Q909" s="84">
        <f>Q910</f>
        <v>-495</v>
      </c>
      <c r="R909" s="18">
        <f t="shared" si="270"/>
        <v>330</v>
      </c>
      <c r="S909" s="84">
        <f>S910</f>
        <v>0</v>
      </c>
      <c r="T909" s="18">
        <f t="shared" si="186"/>
        <v>330</v>
      </c>
      <c r="U909" s="84">
        <f>U910</f>
        <v>0</v>
      </c>
      <c r="V909" s="18">
        <f t="shared" si="184"/>
        <v>330</v>
      </c>
      <c r="W909" s="84">
        <f>W910</f>
        <v>0</v>
      </c>
      <c r="X909" s="18">
        <f t="shared" si="180"/>
        <v>330</v>
      </c>
    </row>
    <row r="910" spans="1:27" x14ac:dyDescent="0.25">
      <c r="A910" s="7" t="s">
        <v>54</v>
      </c>
      <c r="B910" s="130" t="s">
        <v>1111</v>
      </c>
      <c r="C910" s="86" t="s">
        <v>34</v>
      </c>
      <c r="D910" s="19"/>
      <c r="E910" s="19"/>
      <c r="F910" s="18"/>
      <c r="G910" s="64"/>
      <c r="H910" s="18"/>
      <c r="I910" s="85"/>
      <c r="J910" s="18"/>
      <c r="K910" s="100"/>
      <c r="L910" s="18"/>
      <c r="M910" s="120"/>
      <c r="N910" s="18"/>
      <c r="O910" s="100">
        <v>825</v>
      </c>
      <c r="P910" s="18">
        <f t="shared" si="271"/>
        <v>825</v>
      </c>
      <c r="Q910" s="85">
        <v>-495</v>
      </c>
      <c r="R910" s="18">
        <f t="shared" si="270"/>
        <v>330</v>
      </c>
      <c r="S910" s="121"/>
      <c r="T910" s="18">
        <f t="shared" si="186"/>
        <v>330</v>
      </c>
      <c r="U910" s="121"/>
      <c r="V910" s="18">
        <f t="shared" si="184"/>
        <v>330</v>
      </c>
      <c r="W910" s="121"/>
      <c r="X910" s="18">
        <f t="shared" si="180"/>
        <v>330</v>
      </c>
      <c r="Z910" s="43">
        <f>X910+Y910</f>
        <v>330</v>
      </c>
      <c r="AA910" s="43"/>
    </row>
    <row r="911" spans="1:27" x14ac:dyDescent="0.25">
      <c r="A911" s="125" t="s">
        <v>1088</v>
      </c>
      <c r="B911" s="128" t="s">
        <v>1112</v>
      </c>
      <c r="C911" s="27"/>
      <c r="D911" s="19"/>
      <c r="E911" s="19"/>
      <c r="F911" s="18"/>
      <c r="G911" s="64"/>
      <c r="H911" s="18"/>
      <c r="I911" s="85"/>
      <c r="J911" s="18"/>
      <c r="K911" s="100"/>
      <c r="L911" s="18"/>
      <c r="M911" s="120"/>
      <c r="N911" s="18"/>
      <c r="O911" s="84">
        <f>O912</f>
        <v>1345</v>
      </c>
      <c r="P911" s="18">
        <f t="shared" si="271"/>
        <v>1345</v>
      </c>
      <c r="Q911" s="84">
        <f>Q912</f>
        <v>-807</v>
      </c>
      <c r="R911" s="18">
        <f t="shared" si="270"/>
        <v>538</v>
      </c>
      <c r="S911" s="84">
        <f>S912</f>
        <v>0</v>
      </c>
      <c r="T911" s="18">
        <f t="shared" si="186"/>
        <v>538</v>
      </c>
      <c r="U911" s="84">
        <f>U912</f>
        <v>0</v>
      </c>
      <c r="V911" s="18">
        <f t="shared" si="184"/>
        <v>538</v>
      </c>
      <c r="W911" s="84">
        <f>W912</f>
        <v>0</v>
      </c>
      <c r="X911" s="18">
        <f t="shared" si="180"/>
        <v>538</v>
      </c>
    </row>
    <row r="912" spans="1:27" x14ac:dyDescent="0.25">
      <c r="A912" s="7" t="s">
        <v>54</v>
      </c>
      <c r="B912" s="130" t="s">
        <v>1112</v>
      </c>
      <c r="C912" s="86" t="s">
        <v>34</v>
      </c>
      <c r="D912" s="19"/>
      <c r="E912" s="19"/>
      <c r="F912" s="18"/>
      <c r="G912" s="64"/>
      <c r="H912" s="18"/>
      <c r="I912" s="85"/>
      <c r="J912" s="18"/>
      <c r="K912" s="100"/>
      <c r="L912" s="18"/>
      <c r="M912" s="120"/>
      <c r="N912" s="18"/>
      <c r="O912" s="100">
        <v>1345</v>
      </c>
      <c r="P912" s="18">
        <f t="shared" si="271"/>
        <v>1345</v>
      </c>
      <c r="Q912" s="85">
        <v>-807</v>
      </c>
      <c r="R912" s="18">
        <f t="shared" si="270"/>
        <v>538</v>
      </c>
      <c r="S912" s="121"/>
      <c r="T912" s="18">
        <f t="shared" si="186"/>
        <v>538</v>
      </c>
      <c r="U912" s="121"/>
      <c r="V912" s="18">
        <f t="shared" si="184"/>
        <v>538</v>
      </c>
      <c r="W912" s="121"/>
      <c r="X912" s="18">
        <f t="shared" si="180"/>
        <v>538</v>
      </c>
      <c r="Z912" s="43">
        <f>X912+Y912</f>
        <v>538</v>
      </c>
      <c r="AA912" s="43"/>
    </row>
    <row r="913" spans="1:27" ht="48" x14ac:dyDescent="0.25">
      <c r="A913" s="140" t="s">
        <v>1150</v>
      </c>
      <c r="B913" s="141" t="s">
        <v>1213</v>
      </c>
      <c r="C913" s="142"/>
      <c r="D913" s="19"/>
      <c r="E913" s="19"/>
      <c r="F913" s="18"/>
      <c r="G913" s="64"/>
      <c r="H913" s="18"/>
      <c r="I913" s="85"/>
      <c r="J913" s="18"/>
      <c r="K913" s="100"/>
      <c r="L913" s="18"/>
      <c r="M913" s="120"/>
      <c r="N913" s="18"/>
      <c r="O913" s="100"/>
      <c r="P913" s="18"/>
      <c r="Q913" s="85"/>
      <c r="R913" s="18"/>
      <c r="S913" s="84">
        <f t="shared" ref="S913:W913" si="273">S914</f>
        <v>0</v>
      </c>
      <c r="T913" s="18">
        <f t="shared" ref="T913:T976" si="274">R913+S913</f>
        <v>0</v>
      </c>
      <c r="U913" s="84">
        <f t="shared" si="273"/>
        <v>300</v>
      </c>
      <c r="V913" s="18">
        <f t="shared" si="184"/>
        <v>300</v>
      </c>
      <c r="W913" s="84">
        <f t="shared" si="273"/>
        <v>-180</v>
      </c>
      <c r="X913" s="18">
        <f t="shared" si="180"/>
        <v>120</v>
      </c>
    </row>
    <row r="914" spans="1:27" x14ac:dyDescent="0.25">
      <c r="A914" s="143" t="s">
        <v>54</v>
      </c>
      <c r="B914" s="142" t="s">
        <v>1213</v>
      </c>
      <c r="C914" s="142">
        <v>244</v>
      </c>
      <c r="D914" s="19"/>
      <c r="E914" s="19"/>
      <c r="F914" s="18"/>
      <c r="G914" s="64"/>
      <c r="H914" s="18"/>
      <c r="I914" s="85"/>
      <c r="J914" s="18"/>
      <c r="K914" s="100"/>
      <c r="L914" s="18"/>
      <c r="M914" s="120"/>
      <c r="N914" s="18"/>
      <c r="O914" s="100"/>
      <c r="P914" s="18"/>
      <c r="Q914" s="85"/>
      <c r="R914" s="18"/>
      <c r="S914" s="121"/>
      <c r="T914" s="18">
        <f t="shared" si="274"/>
        <v>0</v>
      </c>
      <c r="U914" s="44">
        <v>300</v>
      </c>
      <c r="V914" s="18">
        <f t="shared" si="184"/>
        <v>300</v>
      </c>
      <c r="W914" s="112">
        <v>-180</v>
      </c>
      <c r="X914" s="18">
        <f t="shared" si="180"/>
        <v>120</v>
      </c>
      <c r="Z914" s="43">
        <f>X914+Y914</f>
        <v>120</v>
      </c>
      <c r="AA914" s="43"/>
    </row>
    <row r="915" spans="1:27" x14ac:dyDescent="0.25">
      <c r="A915" s="140" t="s">
        <v>1151</v>
      </c>
      <c r="B915" s="141" t="s">
        <v>1214</v>
      </c>
      <c r="C915" s="142"/>
      <c r="D915" s="19"/>
      <c r="E915" s="19"/>
      <c r="F915" s="18"/>
      <c r="G915" s="64"/>
      <c r="H915" s="18"/>
      <c r="I915" s="85"/>
      <c r="J915" s="18"/>
      <c r="K915" s="100"/>
      <c r="L915" s="18"/>
      <c r="M915" s="120"/>
      <c r="N915" s="18"/>
      <c r="O915" s="100"/>
      <c r="P915" s="18"/>
      <c r="Q915" s="85"/>
      <c r="R915" s="18"/>
      <c r="S915" s="84">
        <f>S916</f>
        <v>0</v>
      </c>
      <c r="T915" s="18">
        <f t="shared" si="274"/>
        <v>0</v>
      </c>
      <c r="U915" s="84">
        <f>U916</f>
        <v>590.1</v>
      </c>
      <c r="V915" s="18">
        <f t="shared" si="184"/>
        <v>590.1</v>
      </c>
      <c r="W915" s="84">
        <f>W916</f>
        <v>-354.1</v>
      </c>
      <c r="X915" s="18">
        <f t="shared" si="180"/>
        <v>236</v>
      </c>
    </row>
    <row r="916" spans="1:27" x14ac:dyDescent="0.25">
      <c r="A916" s="143" t="s">
        <v>54</v>
      </c>
      <c r="B916" s="142" t="s">
        <v>1214</v>
      </c>
      <c r="C916" s="142">
        <v>244</v>
      </c>
      <c r="D916" s="19"/>
      <c r="E916" s="19"/>
      <c r="F916" s="18"/>
      <c r="G916" s="64"/>
      <c r="H916" s="18"/>
      <c r="I916" s="85"/>
      <c r="J916" s="18"/>
      <c r="K916" s="100"/>
      <c r="L916" s="18"/>
      <c r="M916" s="120"/>
      <c r="N916" s="18"/>
      <c r="O916" s="100"/>
      <c r="P916" s="18"/>
      <c r="Q916" s="85"/>
      <c r="R916" s="18"/>
      <c r="S916" s="121"/>
      <c r="T916" s="18">
        <f t="shared" si="274"/>
        <v>0</v>
      </c>
      <c r="U916" s="44">
        <v>590.1</v>
      </c>
      <c r="V916" s="18">
        <f t="shared" si="184"/>
        <v>590.1</v>
      </c>
      <c r="W916" s="112">
        <v>-354.1</v>
      </c>
      <c r="X916" s="18">
        <f t="shared" si="180"/>
        <v>236</v>
      </c>
      <c r="Z916" s="43">
        <f>X916+Y916</f>
        <v>236</v>
      </c>
      <c r="AA916" s="43"/>
    </row>
    <row r="917" spans="1:27" x14ac:dyDescent="0.25">
      <c r="A917" s="140" t="s">
        <v>1152</v>
      </c>
      <c r="B917" s="141" t="s">
        <v>1215</v>
      </c>
      <c r="C917" s="142"/>
      <c r="D917" s="19"/>
      <c r="E917" s="19"/>
      <c r="F917" s="18"/>
      <c r="G917" s="64"/>
      <c r="H917" s="18"/>
      <c r="I917" s="85"/>
      <c r="J917" s="18"/>
      <c r="K917" s="100"/>
      <c r="L917" s="18"/>
      <c r="M917" s="120"/>
      <c r="N917" s="18"/>
      <c r="O917" s="100"/>
      <c r="P917" s="18"/>
      <c r="Q917" s="85"/>
      <c r="R917" s="18"/>
      <c r="S917" s="84">
        <f>S918</f>
        <v>0</v>
      </c>
      <c r="T917" s="18">
        <f t="shared" si="274"/>
        <v>0</v>
      </c>
      <c r="U917" s="84">
        <f>U918</f>
        <v>500</v>
      </c>
      <c r="V917" s="18">
        <f t="shared" si="184"/>
        <v>500</v>
      </c>
      <c r="W917" s="84">
        <f>W918</f>
        <v>-300</v>
      </c>
      <c r="X917" s="18">
        <f t="shared" si="180"/>
        <v>200</v>
      </c>
    </row>
    <row r="918" spans="1:27" x14ac:dyDescent="0.25">
      <c r="A918" s="143" t="s">
        <v>54</v>
      </c>
      <c r="B918" s="142" t="s">
        <v>1215</v>
      </c>
      <c r="C918" s="142">
        <v>244</v>
      </c>
      <c r="D918" s="19"/>
      <c r="E918" s="19"/>
      <c r="F918" s="18"/>
      <c r="G918" s="64"/>
      <c r="H918" s="18"/>
      <c r="I918" s="85"/>
      <c r="J918" s="18"/>
      <c r="K918" s="100"/>
      <c r="L918" s="18"/>
      <c r="M918" s="120"/>
      <c r="N918" s="18"/>
      <c r="O918" s="100"/>
      <c r="P918" s="18"/>
      <c r="Q918" s="85"/>
      <c r="R918" s="18"/>
      <c r="S918" s="121"/>
      <c r="T918" s="18">
        <f t="shared" si="274"/>
        <v>0</v>
      </c>
      <c r="U918" s="44">
        <v>500</v>
      </c>
      <c r="V918" s="18">
        <f t="shared" si="184"/>
        <v>500</v>
      </c>
      <c r="W918" s="112">
        <v>-300</v>
      </c>
      <c r="X918" s="18">
        <f t="shared" si="180"/>
        <v>200</v>
      </c>
      <c r="Z918" s="43">
        <f>X918+Y918</f>
        <v>200</v>
      </c>
      <c r="AA918" s="43"/>
    </row>
    <row r="919" spans="1:27" ht="24" x14ac:dyDescent="0.25">
      <c r="A919" s="144" t="s">
        <v>1153</v>
      </c>
      <c r="B919" s="145" t="s">
        <v>1216</v>
      </c>
      <c r="C919" s="146"/>
      <c r="D919" s="19"/>
      <c r="E919" s="19"/>
      <c r="F919" s="18"/>
      <c r="G919" s="64"/>
      <c r="H919" s="18"/>
      <c r="I919" s="85"/>
      <c r="J919" s="18"/>
      <c r="K919" s="100"/>
      <c r="L919" s="18"/>
      <c r="M919" s="120"/>
      <c r="N919" s="18"/>
      <c r="O919" s="100"/>
      <c r="P919" s="18"/>
      <c r="Q919" s="85"/>
      <c r="R919" s="18"/>
      <c r="S919" s="84">
        <f>S920</f>
        <v>0</v>
      </c>
      <c r="T919" s="18">
        <f t="shared" si="274"/>
        <v>0</v>
      </c>
      <c r="U919" s="84">
        <f>U920</f>
        <v>660</v>
      </c>
      <c r="V919" s="18">
        <f t="shared" si="184"/>
        <v>660</v>
      </c>
      <c r="W919" s="84">
        <f>W920</f>
        <v>-396</v>
      </c>
      <c r="X919" s="18">
        <f t="shared" si="180"/>
        <v>264</v>
      </c>
    </row>
    <row r="920" spans="1:27" x14ac:dyDescent="0.25">
      <c r="A920" s="143" t="s">
        <v>54</v>
      </c>
      <c r="B920" s="146" t="s">
        <v>1216</v>
      </c>
      <c r="C920" s="142">
        <v>244</v>
      </c>
      <c r="D920" s="19"/>
      <c r="E920" s="19"/>
      <c r="F920" s="18"/>
      <c r="G920" s="64"/>
      <c r="H920" s="18"/>
      <c r="I920" s="85"/>
      <c r="J920" s="18"/>
      <c r="K920" s="100"/>
      <c r="L920" s="18"/>
      <c r="M920" s="120"/>
      <c r="N920" s="18"/>
      <c r="O920" s="100"/>
      <c r="P920" s="18"/>
      <c r="Q920" s="85"/>
      <c r="R920" s="18"/>
      <c r="S920" s="121"/>
      <c r="T920" s="18">
        <f t="shared" si="274"/>
        <v>0</v>
      </c>
      <c r="U920" s="44">
        <v>660</v>
      </c>
      <c r="V920" s="18">
        <f t="shared" si="184"/>
        <v>660</v>
      </c>
      <c r="W920" s="112">
        <v>-396</v>
      </c>
      <c r="X920" s="18">
        <f t="shared" si="180"/>
        <v>264</v>
      </c>
      <c r="Z920" s="43">
        <f>X920+Y920</f>
        <v>264</v>
      </c>
      <c r="AA920" s="43"/>
    </row>
    <row r="921" spans="1:27" ht="36" x14ac:dyDescent="0.25">
      <c r="A921" s="144" t="s">
        <v>1154</v>
      </c>
      <c r="B921" s="145" t="s">
        <v>1217</v>
      </c>
      <c r="C921" s="146"/>
      <c r="D921" s="19"/>
      <c r="E921" s="19"/>
      <c r="F921" s="18"/>
      <c r="G921" s="64"/>
      <c r="H921" s="18"/>
      <c r="I921" s="85"/>
      <c r="J921" s="18"/>
      <c r="K921" s="100"/>
      <c r="L921" s="18"/>
      <c r="M921" s="120"/>
      <c r="N921" s="18"/>
      <c r="O921" s="100"/>
      <c r="P921" s="18"/>
      <c r="Q921" s="85"/>
      <c r="R921" s="18"/>
      <c r="S921" s="84">
        <f>S922</f>
        <v>0</v>
      </c>
      <c r="T921" s="18">
        <f t="shared" si="274"/>
        <v>0</v>
      </c>
      <c r="U921" s="84">
        <f>U922</f>
        <v>851</v>
      </c>
      <c r="V921" s="18">
        <f t="shared" si="184"/>
        <v>851</v>
      </c>
      <c r="W921" s="84">
        <f>W922</f>
        <v>-510.6</v>
      </c>
      <c r="X921" s="18">
        <f t="shared" si="180"/>
        <v>340.4</v>
      </c>
    </row>
    <row r="922" spans="1:27" x14ac:dyDescent="0.25">
      <c r="A922" s="143" t="s">
        <v>54</v>
      </c>
      <c r="B922" s="146" t="s">
        <v>1217</v>
      </c>
      <c r="C922" s="142">
        <v>244</v>
      </c>
      <c r="D922" s="19"/>
      <c r="E922" s="19"/>
      <c r="F922" s="18"/>
      <c r="G922" s="64"/>
      <c r="H922" s="18"/>
      <c r="I922" s="85"/>
      <c r="J922" s="18"/>
      <c r="K922" s="100"/>
      <c r="L922" s="18"/>
      <c r="M922" s="120"/>
      <c r="N922" s="18"/>
      <c r="O922" s="100"/>
      <c r="P922" s="18"/>
      <c r="Q922" s="85"/>
      <c r="R922" s="18"/>
      <c r="S922" s="121"/>
      <c r="T922" s="18">
        <f t="shared" si="274"/>
        <v>0</v>
      </c>
      <c r="U922" s="44">
        <v>851</v>
      </c>
      <c r="V922" s="18">
        <f t="shared" si="184"/>
        <v>851</v>
      </c>
      <c r="W922" s="112">
        <v>-510.6</v>
      </c>
      <c r="X922" s="18">
        <f t="shared" si="180"/>
        <v>340.4</v>
      </c>
      <c r="Z922" s="43">
        <f>X922+Y922</f>
        <v>340.4</v>
      </c>
      <c r="AA922" s="43"/>
    </row>
    <row r="923" spans="1:27" ht="24" x14ac:dyDescent="0.25">
      <c r="A923" s="144" t="s">
        <v>1155</v>
      </c>
      <c r="B923" s="145" t="s">
        <v>1218</v>
      </c>
      <c r="C923" s="142"/>
      <c r="D923" s="19"/>
      <c r="E923" s="19"/>
      <c r="F923" s="18"/>
      <c r="G923" s="64"/>
      <c r="H923" s="18"/>
      <c r="I923" s="85"/>
      <c r="J923" s="18"/>
      <c r="K923" s="100"/>
      <c r="L923" s="18"/>
      <c r="M923" s="120"/>
      <c r="N923" s="18"/>
      <c r="O923" s="100"/>
      <c r="P923" s="18"/>
      <c r="Q923" s="85"/>
      <c r="R923" s="18"/>
      <c r="S923" s="84">
        <f>S924</f>
        <v>0</v>
      </c>
      <c r="T923" s="18">
        <f t="shared" si="274"/>
        <v>0</v>
      </c>
      <c r="U923" s="84">
        <f>U924</f>
        <v>193</v>
      </c>
      <c r="V923" s="18">
        <f t="shared" si="184"/>
        <v>193</v>
      </c>
      <c r="W923" s="84">
        <f>W924</f>
        <v>-115.8</v>
      </c>
      <c r="X923" s="18">
        <f t="shared" si="180"/>
        <v>77.2</v>
      </c>
    </row>
    <row r="924" spans="1:27" x14ac:dyDescent="0.25">
      <c r="A924" s="143" t="s">
        <v>54</v>
      </c>
      <c r="B924" s="146" t="s">
        <v>1218</v>
      </c>
      <c r="C924" s="142">
        <v>244</v>
      </c>
      <c r="D924" s="19"/>
      <c r="E924" s="19"/>
      <c r="F924" s="18"/>
      <c r="G924" s="64"/>
      <c r="H924" s="18"/>
      <c r="I924" s="85"/>
      <c r="J924" s="18"/>
      <c r="K924" s="100"/>
      <c r="L924" s="18"/>
      <c r="M924" s="120"/>
      <c r="N924" s="18"/>
      <c r="O924" s="100"/>
      <c r="P924" s="18"/>
      <c r="Q924" s="85"/>
      <c r="R924" s="18"/>
      <c r="S924" s="121"/>
      <c r="T924" s="18">
        <f t="shared" si="274"/>
        <v>0</v>
      </c>
      <c r="U924" s="44">
        <v>193</v>
      </c>
      <c r="V924" s="18">
        <f t="shared" si="184"/>
        <v>193</v>
      </c>
      <c r="W924" s="112">
        <v>-115.8</v>
      </c>
      <c r="X924" s="18">
        <f t="shared" si="180"/>
        <v>77.2</v>
      </c>
      <c r="Z924" s="43">
        <f>X924+Y924</f>
        <v>77.2</v>
      </c>
      <c r="AA924" s="43"/>
    </row>
    <row r="925" spans="1:27" ht="36" x14ac:dyDescent="0.25">
      <c r="A925" s="144" t="s">
        <v>1156</v>
      </c>
      <c r="B925" s="145" t="s">
        <v>1219</v>
      </c>
      <c r="C925" s="142"/>
      <c r="D925" s="19"/>
      <c r="E925" s="19"/>
      <c r="F925" s="18"/>
      <c r="G925" s="64"/>
      <c r="H925" s="18"/>
      <c r="I925" s="85"/>
      <c r="J925" s="18"/>
      <c r="K925" s="100"/>
      <c r="L925" s="18"/>
      <c r="M925" s="120"/>
      <c r="N925" s="18"/>
      <c r="O925" s="100"/>
      <c r="P925" s="18"/>
      <c r="Q925" s="85"/>
      <c r="R925" s="18"/>
      <c r="S925" s="84">
        <f>S926</f>
        <v>0</v>
      </c>
      <c r="T925" s="18">
        <f t="shared" si="274"/>
        <v>0</v>
      </c>
      <c r="U925" s="84">
        <f>U926</f>
        <v>110</v>
      </c>
      <c r="V925" s="18">
        <f t="shared" si="184"/>
        <v>110</v>
      </c>
      <c r="W925" s="84">
        <f>W926</f>
        <v>-66</v>
      </c>
      <c r="X925" s="18">
        <f t="shared" si="180"/>
        <v>44</v>
      </c>
    </row>
    <row r="926" spans="1:27" x14ac:dyDescent="0.25">
      <c r="A926" s="143" t="s">
        <v>54</v>
      </c>
      <c r="B926" s="146" t="s">
        <v>1219</v>
      </c>
      <c r="C926" s="142">
        <v>244</v>
      </c>
      <c r="D926" s="19"/>
      <c r="E926" s="19"/>
      <c r="F926" s="18"/>
      <c r="G926" s="64"/>
      <c r="H926" s="18"/>
      <c r="I926" s="85"/>
      <c r="J926" s="18"/>
      <c r="K926" s="100"/>
      <c r="L926" s="18"/>
      <c r="M926" s="120"/>
      <c r="N926" s="18"/>
      <c r="O926" s="100"/>
      <c r="P926" s="18"/>
      <c r="Q926" s="85"/>
      <c r="R926" s="18"/>
      <c r="S926" s="121"/>
      <c r="T926" s="18">
        <f t="shared" si="274"/>
        <v>0</v>
      </c>
      <c r="U926" s="44">
        <v>110</v>
      </c>
      <c r="V926" s="18">
        <f t="shared" si="184"/>
        <v>110</v>
      </c>
      <c r="W926" s="112">
        <v>-66</v>
      </c>
      <c r="X926" s="18">
        <f t="shared" si="180"/>
        <v>44</v>
      </c>
      <c r="Z926" s="43">
        <f>X926+Y926</f>
        <v>44</v>
      </c>
      <c r="AA926" s="43"/>
    </row>
    <row r="927" spans="1:27" x14ac:dyDescent="0.25">
      <c r="A927" s="144" t="s">
        <v>1157</v>
      </c>
      <c r="B927" s="145" t="s">
        <v>1220</v>
      </c>
      <c r="C927" s="146"/>
      <c r="D927" s="19"/>
      <c r="E927" s="19"/>
      <c r="F927" s="18"/>
      <c r="G927" s="64"/>
      <c r="H927" s="18"/>
      <c r="I927" s="85"/>
      <c r="J927" s="18"/>
      <c r="K927" s="100"/>
      <c r="L927" s="18"/>
      <c r="M927" s="120"/>
      <c r="N927" s="18"/>
      <c r="O927" s="100"/>
      <c r="P927" s="18"/>
      <c r="Q927" s="85"/>
      <c r="R927" s="18"/>
      <c r="S927" s="84">
        <f t="shared" ref="S927:W927" si="275">S928</f>
        <v>0</v>
      </c>
      <c r="T927" s="18">
        <f t="shared" si="274"/>
        <v>0</v>
      </c>
      <c r="U927" s="84">
        <f t="shared" si="275"/>
        <v>2810</v>
      </c>
      <c r="V927" s="18">
        <f t="shared" si="184"/>
        <v>2810</v>
      </c>
      <c r="W927" s="84">
        <f t="shared" si="275"/>
        <v>-1686</v>
      </c>
      <c r="X927" s="18">
        <f t="shared" si="180"/>
        <v>1124</v>
      </c>
    </row>
    <row r="928" spans="1:27" x14ac:dyDescent="0.25">
      <c r="A928" s="143" t="s">
        <v>54</v>
      </c>
      <c r="B928" s="146" t="s">
        <v>1220</v>
      </c>
      <c r="C928" s="142">
        <v>244</v>
      </c>
      <c r="D928" s="19"/>
      <c r="E928" s="19"/>
      <c r="F928" s="18"/>
      <c r="G928" s="64"/>
      <c r="H928" s="18"/>
      <c r="I928" s="85"/>
      <c r="J928" s="18"/>
      <c r="K928" s="100"/>
      <c r="L928" s="18"/>
      <c r="M928" s="120"/>
      <c r="N928" s="18"/>
      <c r="O928" s="100"/>
      <c r="P928" s="18"/>
      <c r="Q928" s="85"/>
      <c r="R928" s="18"/>
      <c r="S928" s="121"/>
      <c r="T928" s="18">
        <f t="shared" si="274"/>
        <v>0</v>
      </c>
      <c r="U928" s="44">
        <v>2810</v>
      </c>
      <c r="V928" s="18">
        <f t="shared" si="184"/>
        <v>2810</v>
      </c>
      <c r="W928" s="112">
        <v>-1686</v>
      </c>
      <c r="X928" s="18">
        <f t="shared" si="180"/>
        <v>1124</v>
      </c>
      <c r="Z928" s="43">
        <f>X928+Y928</f>
        <v>1124</v>
      </c>
      <c r="AA928" s="43"/>
    </row>
    <row r="929" spans="1:27" ht="36" x14ac:dyDescent="0.25">
      <c r="A929" s="144" t="s">
        <v>1158</v>
      </c>
      <c r="B929" s="145" t="s">
        <v>1221</v>
      </c>
      <c r="C929" s="146"/>
      <c r="D929" s="19"/>
      <c r="E929" s="19"/>
      <c r="F929" s="18"/>
      <c r="G929" s="64"/>
      <c r="H929" s="18"/>
      <c r="I929" s="85"/>
      <c r="J929" s="18"/>
      <c r="K929" s="100"/>
      <c r="L929" s="18"/>
      <c r="M929" s="120"/>
      <c r="N929" s="18"/>
      <c r="O929" s="100"/>
      <c r="P929" s="18"/>
      <c r="Q929" s="85"/>
      <c r="R929" s="18"/>
      <c r="S929" s="84">
        <f>S930</f>
        <v>0</v>
      </c>
      <c r="T929" s="18">
        <f t="shared" si="274"/>
        <v>0</v>
      </c>
      <c r="U929" s="84">
        <f>U930</f>
        <v>220</v>
      </c>
      <c r="V929" s="18">
        <f t="shared" si="184"/>
        <v>220</v>
      </c>
      <c r="W929" s="84">
        <f>W930</f>
        <v>-132</v>
      </c>
      <c r="X929" s="18">
        <f t="shared" si="180"/>
        <v>88</v>
      </c>
    </row>
    <row r="930" spans="1:27" x14ac:dyDescent="0.25">
      <c r="A930" s="143" t="s">
        <v>54</v>
      </c>
      <c r="B930" s="146" t="s">
        <v>1221</v>
      </c>
      <c r="C930" s="142">
        <v>244</v>
      </c>
      <c r="D930" s="19"/>
      <c r="E930" s="19"/>
      <c r="F930" s="18"/>
      <c r="G930" s="64"/>
      <c r="H930" s="18"/>
      <c r="I930" s="85"/>
      <c r="J930" s="18"/>
      <c r="K930" s="100"/>
      <c r="L930" s="18"/>
      <c r="M930" s="120"/>
      <c r="N930" s="18"/>
      <c r="O930" s="100"/>
      <c r="P930" s="18"/>
      <c r="Q930" s="85"/>
      <c r="R930" s="18"/>
      <c r="S930" s="121"/>
      <c r="T930" s="18">
        <f t="shared" si="274"/>
        <v>0</v>
      </c>
      <c r="U930" s="44">
        <v>220</v>
      </c>
      <c r="V930" s="18">
        <f t="shared" si="184"/>
        <v>220</v>
      </c>
      <c r="W930" s="112">
        <v>-132</v>
      </c>
      <c r="X930" s="18">
        <f t="shared" si="180"/>
        <v>88</v>
      </c>
      <c r="Z930" s="43">
        <f>X930+Y930</f>
        <v>88</v>
      </c>
      <c r="AA930" s="43"/>
    </row>
    <row r="931" spans="1:27" ht="24" x14ac:dyDescent="0.25">
      <c r="A931" s="144" t="s">
        <v>1159</v>
      </c>
      <c r="B931" s="145" t="s">
        <v>1222</v>
      </c>
      <c r="C931" s="142"/>
      <c r="D931" s="19"/>
      <c r="E931" s="19"/>
      <c r="F931" s="18"/>
      <c r="G931" s="64"/>
      <c r="H931" s="18"/>
      <c r="I931" s="85"/>
      <c r="J931" s="18"/>
      <c r="K931" s="100"/>
      <c r="L931" s="18"/>
      <c r="M931" s="120"/>
      <c r="N931" s="18"/>
      <c r="O931" s="100"/>
      <c r="P931" s="18"/>
      <c r="Q931" s="85"/>
      <c r="R931" s="18"/>
      <c r="S931" s="84">
        <f>S932</f>
        <v>0</v>
      </c>
      <c r="T931" s="18">
        <f t="shared" si="274"/>
        <v>0</v>
      </c>
      <c r="U931" s="84">
        <f>U932</f>
        <v>575</v>
      </c>
      <c r="V931" s="18">
        <f t="shared" si="184"/>
        <v>575</v>
      </c>
      <c r="W931" s="84">
        <f>W932</f>
        <v>-345</v>
      </c>
      <c r="X931" s="18">
        <f t="shared" si="180"/>
        <v>230</v>
      </c>
    </row>
    <row r="932" spans="1:27" x14ac:dyDescent="0.25">
      <c r="A932" s="143" t="s">
        <v>54</v>
      </c>
      <c r="B932" s="146" t="s">
        <v>1222</v>
      </c>
      <c r="C932" s="142">
        <v>244</v>
      </c>
      <c r="D932" s="19"/>
      <c r="E932" s="19"/>
      <c r="F932" s="18"/>
      <c r="G932" s="64"/>
      <c r="H932" s="18"/>
      <c r="I932" s="85"/>
      <c r="J932" s="18"/>
      <c r="K932" s="100"/>
      <c r="L932" s="18"/>
      <c r="M932" s="120"/>
      <c r="N932" s="18"/>
      <c r="O932" s="100"/>
      <c r="P932" s="18"/>
      <c r="Q932" s="85"/>
      <c r="R932" s="18"/>
      <c r="S932" s="121"/>
      <c r="T932" s="18">
        <f t="shared" si="274"/>
        <v>0</v>
      </c>
      <c r="U932" s="44">
        <v>575</v>
      </c>
      <c r="V932" s="18">
        <f t="shared" si="184"/>
        <v>575</v>
      </c>
      <c r="W932" s="112">
        <v>-345</v>
      </c>
      <c r="X932" s="18">
        <f t="shared" si="180"/>
        <v>230</v>
      </c>
      <c r="Z932" s="43">
        <f>X932+Y932</f>
        <v>230</v>
      </c>
      <c r="AA932" s="43"/>
    </row>
    <row r="933" spans="1:27" ht="24" x14ac:dyDescent="0.25">
      <c r="A933" s="144" t="s">
        <v>1160</v>
      </c>
      <c r="B933" s="145" t="s">
        <v>1223</v>
      </c>
      <c r="C933" s="142"/>
      <c r="D933" s="19"/>
      <c r="E933" s="19"/>
      <c r="F933" s="18"/>
      <c r="G933" s="64"/>
      <c r="H933" s="18"/>
      <c r="I933" s="85"/>
      <c r="J933" s="18"/>
      <c r="K933" s="100"/>
      <c r="L933" s="18"/>
      <c r="M933" s="120"/>
      <c r="N933" s="18"/>
      <c r="O933" s="100"/>
      <c r="P933" s="18"/>
      <c r="Q933" s="85"/>
      <c r="R933" s="18"/>
      <c r="S933" s="84">
        <f>S934</f>
        <v>0</v>
      </c>
      <c r="T933" s="18">
        <f t="shared" si="274"/>
        <v>0</v>
      </c>
      <c r="U933" s="84">
        <f>U934</f>
        <v>190</v>
      </c>
      <c r="V933" s="18">
        <f t="shared" si="184"/>
        <v>190</v>
      </c>
      <c r="W933" s="84">
        <f>W934</f>
        <v>-114</v>
      </c>
      <c r="X933" s="18">
        <f t="shared" si="180"/>
        <v>76</v>
      </c>
    </row>
    <row r="934" spans="1:27" x14ac:dyDescent="0.25">
      <c r="A934" s="143" t="s">
        <v>54</v>
      </c>
      <c r="B934" s="146" t="s">
        <v>1223</v>
      </c>
      <c r="C934" s="142">
        <v>244</v>
      </c>
      <c r="D934" s="19"/>
      <c r="E934" s="19"/>
      <c r="F934" s="18"/>
      <c r="G934" s="64"/>
      <c r="H934" s="18"/>
      <c r="I934" s="85"/>
      <c r="J934" s="18"/>
      <c r="K934" s="100"/>
      <c r="L934" s="18"/>
      <c r="M934" s="120"/>
      <c r="N934" s="18"/>
      <c r="O934" s="100"/>
      <c r="P934" s="18"/>
      <c r="Q934" s="85"/>
      <c r="R934" s="18"/>
      <c r="S934" s="121"/>
      <c r="T934" s="18">
        <f t="shared" si="274"/>
        <v>0</v>
      </c>
      <c r="U934" s="44">
        <v>190</v>
      </c>
      <c r="V934" s="18">
        <f t="shared" si="184"/>
        <v>190</v>
      </c>
      <c r="W934" s="112">
        <v>-114</v>
      </c>
      <c r="X934" s="18">
        <f t="shared" si="180"/>
        <v>76</v>
      </c>
      <c r="Z934" s="43">
        <f>X934+Y934</f>
        <v>76</v>
      </c>
      <c r="AA934" s="43"/>
    </row>
    <row r="935" spans="1:27" ht="24" x14ac:dyDescent="0.25">
      <c r="A935" s="144" t="s">
        <v>1161</v>
      </c>
      <c r="B935" s="145" t="s">
        <v>1224</v>
      </c>
      <c r="C935" s="146"/>
      <c r="D935" s="19"/>
      <c r="E935" s="19"/>
      <c r="F935" s="18"/>
      <c r="G935" s="64"/>
      <c r="H935" s="18"/>
      <c r="I935" s="85"/>
      <c r="J935" s="18"/>
      <c r="K935" s="100"/>
      <c r="L935" s="18"/>
      <c r="M935" s="120"/>
      <c r="N935" s="18"/>
      <c r="O935" s="100"/>
      <c r="P935" s="18"/>
      <c r="Q935" s="85"/>
      <c r="R935" s="18"/>
      <c r="S935" s="84">
        <f>S936</f>
        <v>0</v>
      </c>
      <c r="T935" s="18">
        <f t="shared" si="274"/>
        <v>0</v>
      </c>
      <c r="U935" s="84">
        <f>U936</f>
        <v>1310</v>
      </c>
      <c r="V935" s="18">
        <f t="shared" si="184"/>
        <v>1310</v>
      </c>
      <c r="W935" s="84">
        <f>W936</f>
        <v>-786</v>
      </c>
      <c r="X935" s="18">
        <f t="shared" si="180"/>
        <v>524</v>
      </c>
    </row>
    <row r="936" spans="1:27" x14ac:dyDescent="0.25">
      <c r="A936" s="143" t="s">
        <v>54</v>
      </c>
      <c r="B936" s="146" t="s">
        <v>1224</v>
      </c>
      <c r="C936" s="142">
        <v>244</v>
      </c>
      <c r="D936" s="19"/>
      <c r="E936" s="19"/>
      <c r="F936" s="18"/>
      <c r="G936" s="64"/>
      <c r="H936" s="18"/>
      <c r="I936" s="85"/>
      <c r="J936" s="18"/>
      <c r="K936" s="100"/>
      <c r="L936" s="18"/>
      <c r="M936" s="120"/>
      <c r="N936" s="18"/>
      <c r="O936" s="100"/>
      <c r="P936" s="18"/>
      <c r="Q936" s="85"/>
      <c r="R936" s="18"/>
      <c r="S936" s="121"/>
      <c r="T936" s="18">
        <f t="shared" si="274"/>
        <v>0</v>
      </c>
      <c r="U936" s="44">
        <v>1310</v>
      </c>
      <c r="V936" s="18">
        <f t="shared" si="184"/>
        <v>1310</v>
      </c>
      <c r="W936" s="112">
        <v>-786</v>
      </c>
      <c r="X936" s="18">
        <f t="shared" si="180"/>
        <v>524</v>
      </c>
      <c r="Z936" s="43">
        <f>X936+Y936</f>
        <v>524</v>
      </c>
      <c r="AA936" s="43"/>
    </row>
    <row r="937" spans="1:27" ht="24" x14ac:dyDescent="0.25">
      <c r="A937" s="144" t="s">
        <v>1162</v>
      </c>
      <c r="B937" s="145" t="s">
        <v>1225</v>
      </c>
      <c r="C937" s="146"/>
      <c r="D937" s="19"/>
      <c r="E937" s="19"/>
      <c r="F937" s="18"/>
      <c r="G937" s="64"/>
      <c r="H937" s="18"/>
      <c r="I937" s="85"/>
      <c r="J937" s="18"/>
      <c r="K937" s="100"/>
      <c r="L937" s="18"/>
      <c r="M937" s="120"/>
      <c r="N937" s="18"/>
      <c r="O937" s="100"/>
      <c r="P937" s="18"/>
      <c r="Q937" s="85"/>
      <c r="R937" s="18"/>
      <c r="S937" s="84">
        <f>S938</f>
        <v>0</v>
      </c>
      <c r="T937" s="18">
        <f t="shared" si="274"/>
        <v>0</v>
      </c>
      <c r="U937" s="84">
        <f>U938</f>
        <v>600</v>
      </c>
      <c r="V937" s="18">
        <f t="shared" si="184"/>
        <v>600</v>
      </c>
      <c r="W937" s="84">
        <f>W938</f>
        <v>-360</v>
      </c>
      <c r="X937" s="18">
        <f t="shared" si="180"/>
        <v>240</v>
      </c>
    </row>
    <row r="938" spans="1:27" x14ac:dyDescent="0.25">
      <c r="A938" s="143" t="s">
        <v>54</v>
      </c>
      <c r="B938" s="146" t="s">
        <v>1225</v>
      </c>
      <c r="C938" s="142">
        <v>244</v>
      </c>
      <c r="D938" s="19"/>
      <c r="E938" s="19"/>
      <c r="F938" s="18"/>
      <c r="G938" s="64"/>
      <c r="H938" s="18"/>
      <c r="I938" s="85"/>
      <c r="J938" s="18"/>
      <c r="K938" s="100"/>
      <c r="L938" s="18"/>
      <c r="M938" s="120"/>
      <c r="N938" s="18"/>
      <c r="O938" s="100"/>
      <c r="P938" s="18"/>
      <c r="Q938" s="85"/>
      <c r="R938" s="18"/>
      <c r="S938" s="121"/>
      <c r="T938" s="18">
        <f t="shared" si="274"/>
        <v>0</v>
      </c>
      <c r="U938" s="44">
        <v>600</v>
      </c>
      <c r="V938" s="18">
        <f t="shared" si="184"/>
        <v>600</v>
      </c>
      <c r="W938" s="112">
        <v>-360</v>
      </c>
      <c r="X938" s="18">
        <f t="shared" si="180"/>
        <v>240</v>
      </c>
      <c r="Z938" s="43">
        <f>X938+Y938</f>
        <v>240</v>
      </c>
      <c r="AA938" s="43"/>
    </row>
    <row r="939" spans="1:27" ht="24" x14ac:dyDescent="0.25">
      <c r="A939" s="140" t="s">
        <v>1163</v>
      </c>
      <c r="B939" s="145" t="s">
        <v>1226</v>
      </c>
      <c r="C939" s="142"/>
      <c r="D939" s="19"/>
      <c r="E939" s="19"/>
      <c r="F939" s="18"/>
      <c r="G939" s="64"/>
      <c r="H939" s="18"/>
      <c r="I939" s="85"/>
      <c r="J939" s="18"/>
      <c r="K939" s="100"/>
      <c r="L939" s="18"/>
      <c r="M939" s="120"/>
      <c r="N939" s="18"/>
      <c r="O939" s="100"/>
      <c r="P939" s="18"/>
      <c r="Q939" s="85"/>
      <c r="R939" s="18"/>
      <c r="S939" s="84">
        <f>S940</f>
        <v>0</v>
      </c>
      <c r="T939" s="18">
        <f t="shared" si="274"/>
        <v>0</v>
      </c>
      <c r="U939" s="84">
        <f>U940</f>
        <v>320</v>
      </c>
      <c r="V939" s="18">
        <f t="shared" si="184"/>
        <v>320</v>
      </c>
      <c r="W939" s="84">
        <f>W940</f>
        <v>-192</v>
      </c>
      <c r="X939" s="18">
        <f t="shared" si="180"/>
        <v>128</v>
      </c>
    </row>
    <row r="940" spans="1:27" x14ac:dyDescent="0.25">
      <c r="A940" s="143" t="s">
        <v>54</v>
      </c>
      <c r="B940" s="146" t="s">
        <v>1226</v>
      </c>
      <c r="C940" s="142">
        <v>244</v>
      </c>
      <c r="D940" s="19"/>
      <c r="E940" s="19"/>
      <c r="F940" s="18"/>
      <c r="G940" s="64"/>
      <c r="H940" s="18"/>
      <c r="I940" s="85"/>
      <c r="J940" s="18"/>
      <c r="K940" s="100"/>
      <c r="L940" s="18"/>
      <c r="M940" s="120"/>
      <c r="N940" s="18"/>
      <c r="O940" s="100"/>
      <c r="P940" s="18"/>
      <c r="Q940" s="85"/>
      <c r="R940" s="18"/>
      <c r="S940" s="121"/>
      <c r="T940" s="18">
        <f t="shared" si="274"/>
        <v>0</v>
      </c>
      <c r="U940" s="44">
        <v>320</v>
      </c>
      <c r="V940" s="18">
        <f t="shared" si="184"/>
        <v>320</v>
      </c>
      <c r="W940" s="112">
        <v>-192</v>
      </c>
      <c r="X940" s="18">
        <f t="shared" si="180"/>
        <v>128</v>
      </c>
      <c r="Z940" s="43">
        <f>X940+Y940</f>
        <v>128</v>
      </c>
      <c r="AA940" s="43"/>
    </row>
    <row r="941" spans="1:27" ht="24" x14ac:dyDescent="0.25">
      <c r="A941" s="140" t="s">
        <v>1164</v>
      </c>
      <c r="B941" s="145" t="s">
        <v>1227</v>
      </c>
      <c r="C941" s="142"/>
      <c r="D941" s="19"/>
      <c r="E941" s="19"/>
      <c r="F941" s="18"/>
      <c r="G941" s="64"/>
      <c r="H941" s="18"/>
      <c r="I941" s="85"/>
      <c r="J941" s="18"/>
      <c r="K941" s="100"/>
      <c r="L941" s="18"/>
      <c r="M941" s="120"/>
      <c r="N941" s="18"/>
      <c r="O941" s="100"/>
      <c r="P941" s="18"/>
      <c r="Q941" s="85"/>
      <c r="R941" s="18"/>
      <c r="S941" s="84">
        <f t="shared" ref="S941:W941" si="276">S942</f>
        <v>0</v>
      </c>
      <c r="T941" s="18">
        <f t="shared" si="274"/>
        <v>0</v>
      </c>
      <c r="U941" s="84">
        <f t="shared" si="276"/>
        <v>140</v>
      </c>
      <c r="V941" s="18">
        <f t="shared" si="184"/>
        <v>140</v>
      </c>
      <c r="W941" s="84">
        <f t="shared" si="276"/>
        <v>-84</v>
      </c>
      <c r="X941" s="18">
        <f t="shared" si="180"/>
        <v>56</v>
      </c>
    </row>
    <row r="942" spans="1:27" x14ac:dyDescent="0.25">
      <c r="A942" s="143" t="s">
        <v>54</v>
      </c>
      <c r="B942" s="146" t="s">
        <v>1227</v>
      </c>
      <c r="C942" s="142">
        <v>244</v>
      </c>
      <c r="D942" s="19"/>
      <c r="E942" s="19"/>
      <c r="F942" s="18"/>
      <c r="G942" s="64"/>
      <c r="H942" s="18"/>
      <c r="I942" s="85"/>
      <c r="J942" s="18"/>
      <c r="K942" s="100"/>
      <c r="L942" s="18"/>
      <c r="M942" s="120"/>
      <c r="N942" s="18"/>
      <c r="O942" s="100"/>
      <c r="P942" s="18"/>
      <c r="Q942" s="85"/>
      <c r="R942" s="18"/>
      <c r="S942" s="121"/>
      <c r="T942" s="18">
        <f t="shared" si="274"/>
        <v>0</v>
      </c>
      <c r="U942" s="44">
        <v>140</v>
      </c>
      <c r="V942" s="18">
        <f t="shared" si="184"/>
        <v>140</v>
      </c>
      <c r="W942" s="112">
        <v>-84</v>
      </c>
      <c r="X942" s="18">
        <f t="shared" ref="X942:X1199" si="277">V942+W942</f>
        <v>56</v>
      </c>
      <c r="Z942" s="43">
        <f>X942+Y942</f>
        <v>56</v>
      </c>
      <c r="AA942" s="43"/>
    </row>
    <row r="943" spans="1:27" ht="24" x14ac:dyDescent="0.25">
      <c r="A943" s="140" t="s">
        <v>1165</v>
      </c>
      <c r="B943" s="145" t="s">
        <v>1228</v>
      </c>
      <c r="C943" s="146"/>
      <c r="D943" s="19"/>
      <c r="E943" s="19"/>
      <c r="F943" s="18"/>
      <c r="G943" s="64"/>
      <c r="H943" s="18"/>
      <c r="I943" s="85"/>
      <c r="J943" s="18"/>
      <c r="K943" s="100"/>
      <c r="L943" s="18"/>
      <c r="M943" s="120"/>
      <c r="N943" s="18"/>
      <c r="O943" s="100"/>
      <c r="P943" s="18"/>
      <c r="Q943" s="85"/>
      <c r="R943" s="18"/>
      <c r="S943" s="84">
        <f>S944</f>
        <v>0</v>
      </c>
      <c r="T943" s="18">
        <f t="shared" si="274"/>
        <v>0</v>
      </c>
      <c r="U943" s="84">
        <f>U944</f>
        <v>400</v>
      </c>
      <c r="V943" s="18">
        <f t="shared" si="184"/>
        <v>400</v>
      </c>
      <c r="W943" s="84">
        <f>W944</f>
        <v>-240</v>
      </c>
      <c r="X943" s="18">
        <f t="shared" si="277"/>
        <v>160</v>
      </c>
    </row>
    <row r="944" spans="1:27" x14ac:dyDescent="0.25">
      <c r="A944" s="143" t="s">
        <v>54</v>
      </c>
      <c r="B944" s="146" t="s">
        <v>1228</v>
      </c>
      <c r="C944" s="142">
        <v>244</v>
      </c>
      <c r="D944" s="19"/>
      <c r="E944" s="19"/>
      <c r="F944" s="18"/>
      <c r="G944" s="64"/>
      <c r="H944" s="18"/>
      <c r="I944" s="85"/>
      <c r="J944" s="18"/>
      <c r="K944" s="100"/>
      <c r="L944" s="18"/>
      <c r="M944" s="120"/>
      <c r="N944" s="18"/>
      <c r="O944" s="100"/>
      <c r="P944" s="18"/>
      <c r="Q944" s="85"/>
      <c r="R944" s="18"/>
      <c r="S944" s="121"/>
      <c r="T944" s="18">
        <f t="shared" si="274"/>
        <v>0</v>
      </c>
      <c r="U944" s="44">
        <v>400</v>
      </c>
      <c r="V944" s="18">
        <f t="shared" si="184"/>
        <v>400</v>
      </c>
      <c r="W944" s="112">
        <v>-240</v>
      </c>
      <c r="X944" s="18">
        <f t="shared" si="277"/>
        <v>160</v>
      </c>
      <c r="Z944" s="43">
        <f>X944+Y944</f>
        <v>160</v>
      </c>
      <c r="AA944" s="43"/>
    </row>
    <row r="945" spans="1:27" ht="60" x14ac:dyDescent="0.25">
      <c r="A945" s="140" t="s">
        <v>1166</v>
      </c>
      <c r="B945" s="145" t="s">
        <v>1229</v>
      </c>
      <c r="C945" s="146"/>
      <c r="D945" s="19"/>
      <c r="E945" s="19"/>
      <c r="F945" s="18"/>
      <c r="G945" s="64"/>
      <c r="H945" s="18"/>
      <c r="I945" s="85"/>
      <c r="J945" s="18"/>
      <c r="K945" s="100"/>
      <c r="L945" s="18"/>
      <c r="M945" s="120"/>
      <c r="N945" s="18"/>
      <c r="O945" s="100"/>
      <c r="P945" s="18"/>
      <c r="Q945" s="85"/>
      <c r="R945" s="18"/>
      <c r="S945" s="84">
        <f>S946</f>
        <v>0</v>
      </c>
      <c r="T945" s="18">
        <f t="shared" si="274"/>
        <v>0</v>
      </c>
      <c r="U945" s="84">
        <f>U946</f>
        <v>775</v>
      </c>
      <c r="V945" s="18">
        <f t="shared" si="184"/>
        <v>775</v>
      </c>
      <c r="W945" s="84">
        <f>W946</f>
        <v>-465</v>
      </c>
      <c r="X945" s="18">
        <f t="shared" si="277"/>
        <v>310</v>
      </c>
    </row>
    <row r="946" spans="1:27" x14ac:dyDescent="0.25">
      <c r="A946" s="143" t="s">
        <v>511</v>
      </c>
      <c r="B946" s="146" t="s">
        <v>1229</v>
      </c>
      <c r="C946" s="142">
        <v>612</v>
      </c>
      <c r="D946" s="19"/>
      <c r="E946" s="19"/>
      <c r="F946" s="18"/>
      <c r="G946" s="64"/>
      <c r="H946" s="18"/>
      <c r="I946" s="85"/>
      <c r="J946" s="18"/>
      <c r="K946" s="100"/>
      <c r="L946" s="18"/>
      <c r="M946" s="120"/>
      <c r="N946" s="18"/>
      <c r="O946" s="100"/>
      <c r="P946" s="18"/>
      <c r="Q946" s="85"/>
      <c r="R946" s="18"/>
      <c r="S946" s="121"/>
      <c r="T946" s="18">
        <f t="shared" si="274"/>
        <v>0</v>
      </c>
      <c r="U946" s="44">
        <v>775</v>
      </c>
      <c r="V946" s="18">
        <f t="shared" si="184"/>
        <v>775</v>
      </c>
      <c r="W946" s="112">
        <v>-465</v>
      </c>
      <c r="X946" s="18">
        <f t="shared" si="277"/>
        <v>310</v>
      </c>
      <c r="Z946" s="43">
        <f>X946+Y946</f>
        <v>310</v>
      </c>
      <c r="AA946" s="43"/>
    </row>
    <row r="947" spans="1:27" x14ac:dyDescent="0.25">
      <c r="A947" s="140" t="s">
        <v>1167</v>
      </c>
      <c r="B947" s="145" t="s">
        <v>1230</v>
      </c>
      <c r="C947" s="142"/>
      <c r="D947" s="19"/>
      <c r="E947" s="19"/>
      <c r="F947" s="18"/>
      <c r="G947" s="64"/>
      <c r="H947" s="18"/>
      <c r="I947" s="85"/>
      <c r="J947" s="18"/>
      <c r="K947" s="100"/>
      <c r="L947" s="18"/>
      <c r="M947" s="120"/>
      <c r="N947" s="18"/>
      <c r="O947" s="100"/>
      <c r="P947" s="18"/>
      <c r="Q947" s="85"/>
      <c r="R947" s="18"/>
      <c r="S947" s="84">
        <f>S948</f>
        <v>0</v>
      </c>
      <c r="T947" s="18">
        <f t="shared" si="274"/>
        <v>0</v>
      </c>
      <c r="U947" s="84">
        <f>U948</f>
        <v>1200</v>
      </c>
      <c r="V947" s="18">
        <f t="shared" si="184"/>
        <v>1200</v>
      </c>
      <c r="W947" s="84">
        <f>W948</f>
        <v>-720</v>
      </c>
      <c r="X947" s="18">
        <f t="shared" si="277"/>
        <v>480</v>
      </c>
    </row>
    <row r="948" spans="1:27" x14ac:dyDescent="0.25">
      <c r="A948" s="143" t="s">
        <v>54</v>
      </c>
      <c r="B948" s="146" t="s">
        <v>1230</v>
      </c>
      <c r="C948" s="142">
        <v>244</v>
      </c>
      <c r="D948" s="19"/>
      <c r="E948" s="19"/>
      <c r="F948" s="18"/>
      <c r="G948" s="64"/>
      <c r="H948" s="18"/>
      <c r="I948" s="85"/>
      <c r="J948" s="18"/>
      <c r="K948" s="100"/>
      <c r="L948" s="18"/>
      <c r="M948" s="120"/>
      <c r="N948" s="18"/>
      <c r="O948" s="100"/>
      <c r="P948" s="18"/>
      <c r="Q948" s="85"/>
      <c r="R948" s="18"/>
      <c r="S948" s="121"/>
      <c r="T948" s="18">
        <f t="shared" si="274"/>
        <v>0</v>
      </c>
      <c r="U948" s="44">
        <v>1200</v>
      </c>
      <c r="V948" s="18">
        <f t="shared" si="184"/>
        <v>1200</v>
      </c>
      <c r="W948" s="112">
        <v>-720</v>
      </c>
      <c r="X948" s="18">
        <f t="shared" si="277"/>
        <v>480</v>
      </c>
      <c r="Z948" s="43">
        <f>X948+Y948</f>
        <v>480</v>
      </c>
      <c r="AA948" s="43"/>
    </row>
    <row r="949" spans="1:27" ht="24" x14ac:dyDescent="0.25">
      <c r="A949" s="140" t="s">
        <v>1168</v>
      </c>
      <c r="B949" s="145" t="s">
        <v>1231</v>
      </c>
      <c r="C949" s="142"/>
      <c r="D949" s="19"/>
      <c r="E949" s="19"/>
      <c r="F949" s="18"/>
      <c r="G949" s="64"/>
      <c r="H949" s="18"/>
      <c r="I949" s="85"/>
      <c r="J949" s="18"/>
      <c r="K949" s="100"/>
      <c r="L949" s="18"/>
      <c r="M949" s="120"/>
      <c r="N949" s="18"/>
      <c r="O949" s="100"/>
      <c r="P949" s="18"/>
      <c r="Q949" s="85"/>
      <c r="R949" s="18"/>
      <c r="S949" s="84">
        <f>S950</f>
        <v>0</v>
      </c>
      <c r="T949" s="18">
        <f t="shared" si="274"/>
        <v>0</v>
      </c>
      <c r="U949" s="84">
        <f>U950</f>
        <v>550</v>
      </c>
      <c r="V949" s="18">
        <f t="shared" ref="V949:V1012" si="278">T949+U949</f>
        <v>550</v>
      </c>
      <c r="W949" s="84">
        <f>W950</f>
        <v>-330</v>
      </c>
      <c r="X949" s="18">
        <f t="shared" si="277"/>
        <v>220</v>
      </c>
    </row>
    <row r="950" spans="1:27" x14ac:dyDescent="0.25">
      <c r="A950" s="143" t="s">
        <v>54</v>
      </c>
      <c r="B950" s="146" t="s">
        <v>1231</v>
      </c>
      <c r="C950" s="142">
        <v>244</v>
      </c>
      <c r="D950" s="19"/>
      <c r="E950" s="19"/>
      <c r="F950" s="18"/>
      <c r="G950" s="64"/>
      <c r="H950" s="18"/>
      <c r="I950" s="85"/>
      <c r="J950" s="18"/>
      <c r="K950" s="100"/>
      <c r="L950" s="18"/>
      <c r="M950" s="120"/>
      <c r="N950" s="18"/>
      <c r="O950" s="100"/>
      <c r="P950" s="18"/>
      <c r="Q950" s="85"/>
      <c r="R950" s="18"/>
      <c r="S950" s="121"/>
      <c r="T950" s="18">
        <f t="shared" si="274"/>
        <v>0</v>
      </c>
      <c r="U950" s="44">
        <v>550</v>
      </c>
      <c r="V950" s="18">
        <f t="shared" si="278"/>
        <v>550</v>
      </c>
      <c r="W950" s="112">
        <v>-330</v>
      </c>
      <c r="X950" s="18">
        <f t="shared" si="277"/>
        <v>220</v>
      </c>
      <c r="Z950" s="43">
        <f>X950+Y950</f>
        <v>220</v>
      </c>
      <c r="AA950" s="43"/>
    </row>
    <row r="951" spans="1:27" ht="24" x14ac:dyDescent="0.25">
      <c r="A951" s="140" t="s">
        <v>1169</v>
      </c>
      <c r="B951" s="145" t="s">
        <v>1232</v>
      </c>
      <c r="C951" s="146"/>
      <c r="D951" s="19"/>
      <c r="E951" s="19"/>
      <c r="F951" s="18"/>
      <c r="G951" s="64"/>
      <c r="H951" s="18"/>
      <c r="I951" s="85"/>
      <c r="J951" s="18"/>
      <c r="K951" s="100"/>
      <c r="L951" s="18"/>
      <c r="M951" s="120"/>
      <c r="N951" s="18"/>
      <c r="O951" s="100"/>
      <c r="P951" s="18"/>
      <c r="Q951" s="85"/>
      <c r="R951" s="18"/>
      <c r="S951" s="84">
        <f>S952</f>
        <v>0</v>
      </c>
      <c r="T951" s="18">
        <f t="shared" si="274"/>
        <v>0</v>
      </c>
      <c r="U951" s="84">
        <f>U952</f>
        <v>400</v>
      </c>
      <c r="V951" s="18">
        <f t="shared" si="278"/>
        <v>400</v>
      </c>
      <c r="W951" s="84">
        <f>W952</f>
        <v>-240</v>
      </c>
      <c r="X951" s="18">
        <f t="shared" si="277"/>
        <v>160</v>
      </c>
    </row>
    <row r="952" spans="1:27" x14ac:dyDescent="0.25">
      <c r="A952" s="143" t="s">
        <v>54</v>
      </c>
      <c r="B952" s="146" t="s">
        <v>1232</v>
      </c>
      <c r="C952" s="142">
        <v>244</v>
      </c>
      <c r="D952" s="19"/>
      <c r="E952" s="19"/>
      <c r="F952" s="18"/>
      <c r="G952" s="64"/>
      <c r="H952" s="18"/>
      <c r="I952" s="85"/>
      <c r="J952" s="18"/>
      <c r="K952" s="100"/>
      <c r="L952" s="18"/>
      <c r="M952" s="120"/>
      <c r="N952" s="18"/>
      <c r="O952" s="100"/>
      <c r="P952" s="18"/>
      <c r="Q952" s="85"/>
      <c r="R952" s="18"/>
      <c r="S952" s="121"/>
      <c r="T952" s="18">
        <f t="shared" si="274"/>
        <v>0</v>
      </c>
      <c r="U952" s="44">
        <v>400</v>
      </c>
      <c r="V952" s="18">
        <f t="shared" si="278"/>
        <v>400</v>
      </c>
      <c r="W952" s="112">
        <v>-240</v>
      </c>
      <c r="X952" s="18">
        <f t="shared" si="277"/>
        <v>160</v>
      </c>
      <c r="Z952" s="43">
        <f>X952+Y952</f>
        <v>160</v>
      </c>
      <c r="AA952" s="43"/>
    </row>
    <row r="953" spans="1:27" ht="24" x14ac:dyDescent="0.25">
      <c r="A953" s="140" t="s">
        <v>1170</v>
      </c>
      <c r="B953" s="145" t="s">
        <v>1233</v>
      </c>
      <c r="C953" s="146"/>
      <c r="D953" s="19"/>
      <c r="E953" s="19"/>
      <c r="F953" s="18"/>
      <c r="G953" s="64"/>
      <c r="H953" s="18"/>
      <c r="I953" s="85"/>
      <c r="J953" s="18"/>
      <c r="K953" s="100"/>
      <c r="L953" s="18"/>
      <c r="M953" s="120"/>
      <c r="N953" s="18"/>
      <c r="O953" s="100"/>
      <c r="P953" s="18"/>
      <c r="Q953" s="85"/>
      <c r="R953" s="18"/>
      <c r="S953" s="84">
        <f>S954</f>
        <v>0</v>
      </c>
      <c r="T953" s="18">
        <f t="shared" si="274"/>
        <v>0</v>
      </c>
      <c r="U953" s="84">
        <f>U954</f>
        <v>1487.5</v>
      </c>
      <c r="V953" s="18">
        <f t="shared" si="278"/>
        <v>1487.5</v>
      </c>
      <c r="W953" s="84">
        <f>W954</f>
        <v>-892.5</v>
      </c>
      <c r="X953" s="18">
        <f t="shared" si="277"/>
        <v>595</v>
      </c>
    </row>
    <row r="954" spans="1:27" x14ac:dyDescent="0.25">
      <c r="A954" s="143" t="s">
        <v>54</v>
      </c>
      <c r="B954" s="146" t="s">
        <v>1233</v>
      </c>
      <c r="C954" s="142">
        <v>244</v>
      </c>
      <c r="D954" s="19"/>
      <c r="E954" s="19"/>
      <c r="F954" s="18"/>
      <c r="G954" s="64"/>
      <c r="H954" s="18"/>
      <c r="I954" s="85"/>
      <c r="J954" s="18"/>
      <c r="K954" s="100"/>
      <c r="L954" s="18"/>
      <c r="M954" s="120"/>
      <c r="N954" s="18"/>
      <c r="O954" s="100"/>
      <c r="P954" s="18"/>
      <c r="Q954" s="85"/>
      <c r="R954" s="18"/>
      <c r="S954" s="121"/>
      <c r="T954" s="18">
        <f t="shared" si="274"/>
        <v>0</v>
      </c>
      <c r="U954" s="44">
        <v>1487.5</v>
      </c>
      <c r="V954" s="18">
        <f t="shared" si="278"/>
        <v>1487.5</v>
      </c>
      <c r="W954" s="112">
        <v>-892.5</v>
      </c>
      <c r="X954" s="18">
        <f t="shared" si="277"/>
        <v>595</v>
      </c>
      <c r="Z954" s="43">
        <f>X954+Y954</f>
        <v>595</v>
      </c>
      <c r="AA954" s="43"/>
    </row>
    <row r="955" spans="1:27" x14ac:dyDescent="0.25">
      <c r="A955" s="140" t="s">
        <v>1171</v>
      </c>
      <c r="B955" s="145" t="s">
        <v>1234</v>
      </c>
      <c r="C955" s="142"/>
      <c r="D955" s="19"/>
      <c r="E955" s="19"/>
      <c r="F955" s="18"/>
      <c r="G955" s="64"/>
      <c r="H955" s="18"/>
      <c r="I955" s="85"/>
      <c r="J955" s="18"/>
      <c r="K955" s="100"/>
      <c r="L955" s="18"/>
      <c r="M955" s="120"/>
      <c r="N955" s="18"/>
      <c r="O955" s="100"/>
      <c r="P955" s="18"/>
      <c r="Q955" s="85"/>
      <c r="R955" s="18"/>
      <c r="S955" s="84">
        <f t="shared" ref="S955:W955" si="279">S956</f>
        <v>0</v>
      </c>
      <c r="T955" s="18">
        <f t="shared" si="274"/>
        <v>0</v>
      </c>
      <c r="U955" s="84">
        <f t="shared" si="279"/>
        <v>1269</v>
      </c>
      <c r="V955" s="18">
        <f t="shared" si="278"/>
        <v>1269</v>
      </c>
      <c r="W955" s="84">
        <f t="shared" si="279"/>
        <v>-761.4</v>
      </c>
      <c r="X955" s="18">
        <f t="shared" si="277"/>
        <v>507.6</v>
      </c>
    </row>
    <row r="956" spans="1:27" x14ac:dyDescent="0.25">
      <c r="A956" s="143" t="s">
        <v>54</v>
      </c>
      <c r="B956" s="146" t="s">
        <v>1234</v>
      </c>
      <c r="C956" s="142">
        <v>244</v>
      </c>
      <c r="D956" s="19"/>
      <c r="E956" s="19"/>
      <c r="F956" s="18"/>
      <c r="G956" s="64"/>
      <c r="H956" s="18"/>
      <c r="I956" s="85"/>
      <c r="J956" s="18"/>
      <c r="K956" s="100"/>
      <c r="L956" s="18"/>
      <c r="M956" s="120"/>
      <c r="N956" s="18"/>
      <c r="O956" s="100"/>
      <c r="P956" s="18"/>
      <c r="Q956" s="85"/>
      <c r="R956" s="18"/>
      <c r="S956" s="121"/>
      <c r="T956" s="18">
        <f t="shared" si="274"/>
        <v>0</v>
      </c>
      <c r="U956" s="44">
        <v>1269</v>
      </c>
      <c r="V956" s="18">
        <f t="shared" si="278"/>
        <v>1269</v>
      </c>
      <c r="W956" s="112">
        <v>-761.4</v>
      </c>
      <c r="X956" s="18">
        <f t="shared" si="277"/>
        <v>507.6</v>
      </c>
      <c r="Z956" s="43">
        <f>X956+Y956</f>
        <v>507.6</v>
      </c>
      <c r="AA956" s="43"/>
    </row>
    <row r="957" spans="1:27" ht="24" x14ac:dyDescent="0.25">
      <c r="A957" s="140" t="s">
        <v>1172</v>
      </c>
      <c r="B957" s="145" t="s">
        <v>1235</v>
      </c>
      <c r="C957" s="142"/>
      <c r="D957" s="19"/>
      <c r="E957" s="19"/>
      <c r="F957" s="18"/>
      <c r="G957" s="64"/>
      <c r="H957" s="18"/>
      <c r="I957" s="85"/>
      <c r="J957" s="18"/>
      <c r="K957" s="100"/>
      <c r="L957" s="18"/>
      <c r="M957" s="120"/>
      <c r="N957" s="18"/>
      <c r="O957" s="100"/>
      <c r="P957" s="18"/>
      <c r="Q957" s="85"/>
      <c r="R957" s="18"/>
      <c r="S957" s="84">
        <f>S958</f>
        <v>0</v>
      </c>
      <c r="T957" s="18">
        <f t="shared" si="274"/>
        <v>0</v>
      </c>
      <c r="U957" s="84">
        <f>U958</f>
        <v>783.7</v>
      </c>
      <c r="V957" s="18">
        <f t="shared" si="278"/>
        <v>783.7</v>
      </c>
      <c r="W957" s="84">
        <f>W958</f>
        <v>-470.2</v>
      </c>
      <c r="X957" s="18">
        <f t="shared" si="277"/>
        <v>313.50000000000006</v>
      </c>
    </row>
    <row r="958" spans="1:27" x14ac:dyDescent="0.25">
      <c r="A958" s="143" t="s">
        <v>54</v>
      </c>
      <c r="B958" s="146" t="s">
        <v>1235</v>
      </c>
      <c r="C958" s="142">
        <v>244</v>
      </c>
      <c r="D958" s="19"/>
      <c r="E958" s="19"/>
      <c r="F958" s="18"/>
      <c r="G958" s="64"/>
      <c r="H958" s="18"/>
      <c r="I958" s="85"/>
      <c r="J958" s="18"/>
      <c r="K958" s="100"/>
      <c r="L958" s="18"/>
      <c r="M958" s="120"/>
      <c r="N958" s="18"/>
      <c r="O958" s="100"/>
      <c r="P958" s="18"/>
      <c r="Q958" s="85"/>
      <c r="R958" s="18"/>
      <c r="S958" s="121"/>
      <c r="T958" s="18">
        <f t="shared" si="274"/>
        <v>0</v>
      </c>
      <c r="U958" s="44">
        <v>783.7</v>
      </c>
      <c r="V958" s="18">
        <f t="shared" si="278"/>
        <v>783.7</v>
      </c>
      <c r="W958" s="112">
        <v>-470.2</v>
      </c>
      <c r="X958" s="18">
        <f t="shared" si="277"/>
        <v>313.50000000000006</v>
      </c>
      <c r="Z958" s="43">
        <f>X958+Y958</f>
        <v>313.50000000000006</v>
      </c>
      <c r="AA958" s="43"/>
    </row>
    <row r="959" spans="1:27" ht="24" x14ac:dyDescent="0.25">
      <c r="A959" s="140" t="s">
        <v>1173</v>
      </c>
      <c r="B959" s="145" t="s">
        <v>1236</v>
      </c>
      <c r="C959" s="146"/>
      <c r="D959" s="19"/>
      <c r="E959" s="19"/>
      <c r="F959" s="18"/>
      <c r="G959" s="64"/>
      <c r="H959" s="18"/>
      <c r="I959" s="85"/>
      <c r="J959" s="18"/>
      <c r="K959" s="100"/>
      <c r="L959" s="18"/>
      <c r="M959" s="120"/>
      <c r="N959" s="18"/>
      <c r="O959" s="100"/>
      <c r="P959" s="18"/>
      <c r="Q959" s="85"/>
      <c r="R959" s="18"/>
      <c r="S959" s="84">
        <f>S960</f>
        <v>0</v>
      </c>
      <c r="T959" s="18">
        <f t="shared" si="274"/>
        <v>0</v>
      </c>
      <c r="U959" s="84">
        <f>U960</f>
        <v>110</v>
      </c>
      <c r="V959" s="18">
        <f t="shared" si="278"/>
        <v>110</v>
      </c>
      <c r="W959" s="84">
        <f>W960</f>
        <v>-66</v>
      </c>
      <c r="X959" s="18">
        <f t="shared" si="277"/>
        <v>44</v>
      </c>
    </row>
    <row r="960" spans="1:27" x14ac:dyDescent="0.25">
      <c r="A960" s="143" t="s">
        <v>54</v>
      </c>
      <c r="B960" s="146" t="s">
        <v>1236</v>
      </c>
      <c r="C960" s="142">
        <v>244</v>
      </c>
      <c r="D960" s="19"/>
      <c r="E960" s="19"/>
      <c r="F960" s="18"/>
      <c r="G960" s="64"/>
      <c r="H960" s="18"/>
      <c r="I960" s="85"/>
      <c r="J960" s="18"/>
      <c r="K960" s="100"/>
      <c r="L960" s="18"/>
      <c r="M960" s="120"/>
      <c r="N960" s="18"/>
      <c r="O960" s="100"/>
      <c r="P960" s="18"/>
      <c r="Q960" s="85"/>
      <c r="R960" s="18"/>
      <c r="S960" s="121"/>
      <c r="T960" s="18">
        <f t="shared" si="274"/>
        <v>0</v>
      </c>
      <c r="U960" s="44">
        <v>110</v>
      </c>
      <c r="V960" s="18">
        <f t="shared" si="278"/>
        <v>110</v>
      </c>
      <c r="W960" s="112">
        <v>-66</v>
      </c>
      <c r="X960" s="18">
        <f t="shared" si="277"/>
        <v>44</v>
      </c>
      <c r="Z960" s="43">
        <f>X960+Y960</f>
        <v>44</v>
      </c>
      <c r="AA960" s="43"/>
    </row>
    <row r="961" spans="1:27" ht="72" x14ac:dyDescent="0.25">
      <c r="A961" s="140" t="s">
        <v>1174</v>
      </c>
      <c r="B961" s="145" t="s">
        <v>1237</v>
      </c>
      <c r="C961" s="146"/>
      <c r="D961" s="19"/>
      <c r="E961" s="19"/>
      <c r="F961" s="18"/>
      <c r="G961" s="64"/>
      <c r="H961" s="18"/>
      <c r="I961" s="85"/>
      <c r="J961" s="18"/>
      <c r="K961" s="100"/>
      <c r="L961" s="18"/>
      <c r="M961" s="120"/>
      <c r="N961" s="18"/>
      <c r="O961" s="100"/>
      <c r="P961" s="18"/>
      <c r="Q961" s="85"/>
      <c r="R961" s="18"/>
      <c r="S961" s="84">
        <f>S962</f>
        <v>0</v>
      </c>
      <c r="T961" s="18">
        <f t="shared" si="274"/>
        <v>0</v>
      </c>
      <c r="U961" s="84">
        <f>U962</f>
        <v>115.5</v>
      </c>
      <c r="V961" s="18">
        <f t="shared" si="278"/>
        <v>115.5</v>
      </c>
      <c r="W961" s="84">
        <f>W962</f>
        <v>-69.3</v>
      </c>
      <c r="X961" s="18">
        <f t="shared" si="277"/>
        <v>46.2</v>
      </c>
    </row>
    <row r="962" spans="1:27" x14ac:dyDescent="0.25">
      <c r="A962" s="143" t="s">
        <v>511</v>
      </c>
      <c r="B962" s="146" t="s">
        <v>1237</v>
      </c>
      <c r="C962" s="142">
        <v>612</v>
      </c>
      <c r="D962" s="19"/>
      <c r="E962" s="19"/>
      <c r="F962" s="18"/>
      <c r="G962" s="64"/>
      <c r="H962" s="18"/>
      <c r="I962" s="85"/>
      <c r="J962" s="18"/>
      <c r="K962" s="100"/>
      <c r="L962" s="18"/>
      <c r="M962" s="120"/>
      <c r="N962" s="18"/>
      <c r="O962" s="100"/>
      <c r="P962" s="18"/>
      <c r="Q962" s="85"/>
      <c r="R962" s="18"/>
      <c r="S962" s="121"/>
      <c r="T962" s="18">
        <f t="shared" si="274"/>
        <v>0</v>
      </c>
      <c r="U962" s="44">
        <v>115.5</v>
      </c>
      <c r="V962" s="18">
        <f t="shared" si="278"/>
        <v>115.5</v>
      </c>
      <c r="W962" s="112">
        <v>-69.3</v>
      </c>
      <c r="X962" s="18">
        <f t="shared" si="277"/>
        <v>46.2</v>
      </c>
      <c r="Z962" s="43">
        <f>X962+Y962</f>
        <v>46.2</v>
      </c>
      <c r="AA962" s="43"/>
    </row>
    <row r="963" spans="1:27" x14ac:dyDescent="0.25">
      <c r="A963" s="140" t="s">
        <v>1175</v>
      </c>
      <c r="B963" s="145" t="s">
        <v>1238</v>
      </c>
      <c r="C963" s="142"/>
      <c r="D963" s="19"/>
      <c r="E963" s="19"/>
      <c r="F963" s="18"/>
      <c r="G963" s="64"/>
      <c r="H963" s="18"/>
      <c r="I963" s="85"/>
      <c r="J963" s="18"/>
      <c r="K963" s="100"/>
      <c r="L963" s="18"/>
      <c r="M963" s="120"/>
      <c r="N963" s="18"/>
      <c r="O963" s="100"/>
      <c r="P963" s="18"/>
      <c r="Q963" s="85"/>
      <c r="R963" s="18"/>
      <c r="S963" s="84">
        <f>S964</f>
        <v>0</v>
      </c>
      <c r="T963" s="18">
        <f t="shared" si="274"/>
        <v>0</v>
      </c>
      <c r="U963" s="84">
        <f>U964</f>
        <v>600</v>
      </c>
      <c r="V963" s="18">
        <f t="shared" si="278"/>
        <v>600</v>
      </c>
      <c r="W963" s="84">
        <f>W964</f>
        <v>-360</v>
      </c>
      <c r="X963" s="18">
        <f t="shared" si="277"/>
        <v>240</v>
      </c>
    </row>
    <row r="964" spans="1:27" x14ac:dyDescent="0.25">
      <c r="A964" s="143" t="s">
        <v>54</v>
      </c>
      <c r="B964" s="146" t="s">
        <v>1238</v>
      </c>
      <c r="C964" s="142">
        <v>244</v>
      </c>
      <c r="D964" s="19"/>
      <c r="E964" s="19"/>
      <c r="F964" s="18"/>
      <c r="G964" s="64"/>
      <c r="H964" s="18"/>
      <c r="I964" s="85"/>
      <c r="J964" s="18"/>
      <c r="K964" s="100"/>
      <c r="L964" s="18"/>
      <c r="M964" s="120"/>
      <c r="N964" s="18"/>
      <c r="O964" s="100"/>
      <c r="P964" s="18"/>
      <c r="Q964" s="85"/>
      <c r="R964" s="18"/>
      <c r="S964" s="121"/>
      <c r="T964" s="18">
        <f t="shared" si="274"/>
        <v>0</v>
      </c>
      <c r="U964" s="44">
        <v>600</v>
      </c>
      <c r="V964" s="18">
        <f t="shared" si="278"/>
        <v>600</v>
      </c>
      <c r="W964" s="112">
        <v>-360</v>
      </c>
      <c r="X964" s="18">
        <f t="shared" si="277"/>
        <v>240</v>
      </c>
      <c r="Z964" s="43">
        <f>X964+Y964</f>
        <v>240</v>
      </c>
      <c r="AA964" s="43"/>
    </row>
    <row r="965" spans="1:27" x14ac:dyDescent="0.25">
      <c r="A965" s="140" t="s">
        <v>1176</v>
      </c>
      <c r="B965" s="145" t="s">
        <v>1239</v>
      </c>
      <c r="C965" s="142"/>
      <c r="D965" s="19"/>
      <c r="E965" s="19"/>
      <c r="F965" s="18"/>
      <c r="G965" s="64"/>
      <c r="H965" s="18"/>
      <c r="I965" s="85"/>
      <c r="J965" s="18"/>
      <c r="K965" s="100"/>
      <c r="L965" s="18"/>
      <c r="M965" s="120"/>
      <c r="N965" s="18"/>
      <c r="O965" s="100"/>
      <c r="P965" s="18"/>
      <c r="Q965" s="85"/>
      <c r="R965" s="18"/>
      <c r="S965" s="84">
        <f>S966</f>
        <v>0</v>
      </c>
      <c r="T965" s="18">
        <f t="shared" si="274"/>
        <v>0</v>
      </c>
      <c r="U965" s="84">
        <f>U966</f>
        <v>2400</v>
      </c>
      <c r="V965" s="18">
        <f t="shared" si="278"/>
        <v>2400</v>
      </c>
      <c r="W965" s="84">
        <f>W966</f>
        <v>-1440</v>
      </c>
      <c r="X965" s="18">
        <f t="shared" si="277"/>
        <v>960</v>
      </c>
    </row>
    <row r="966" spans="1:27" x14ac:dyDescent="0.25">
      <c r="A966" s="143" t="s">
        <v>54</v>
      </c>
      <c r="B966" s="146" t="s">
        <v>1239</v>
      </c>
      <c r="C966" s="142">
        <v>244</v>
      </c>
      <c r="D966" s="19"/>
      <c r="E966" s="19"/>
      <c r="F966" s="18"/>
      <c r="G966" s="64"/>
      <c r="H966" s="18"/>
      <c r="I966" s="85"/>
      <c r="J966" s="18"/>
      <c r="K966" s="100"/>
      <c r="L966" s="18"/>
      <c r="M966" s="120"/>
      <c r="N966" s="18"/>
      <c r="O966" s="100"/>
      <c r="P966" s="18"/>
      <c r="Q966" s="85"/>
      <c r="R966" s="18"/>
      <c r="S966" s="121"/>
      <c r="T966" s="18">
        <f t="shared" si="274"/>
        <v>0</v>
      </c>
      <c r="U966" s="44">
        <v>2400</v>
      </c>
      <c r="V966" s="18">
        <f t="shared" si="278"/>
        <v>2400</v>
      </c>
      <c r="W966" s="112">
        <v>-1440</v>
      </c>
      <c r="X966" s="18">
        <f t="shared" si="277"/>
        <v>960</v>
      </c>
      <c r="Z966" s="43">
        <f>X966+Y966</f>
        <v>960</v>
      </c>
      <c r="AA966" s="43"/>
    </row>
    <row r="967" spans="1:27" x14ac:dyDescent="0.25">
      <c r="A967" s="140" t="s">
        <v>1177</v>
      </c>
      <c r="B967" s="145" t="s">
        <v>1240</v>
      </c>
      <c r="C967" s="146"/>
      <c r="D967" s="19"/>
      <c r="E967" s="19"/>
      <c r="F967" s="18"/>
      <c r="G967" s="64"/>
      <c r="H967" s="18"/>
      <c r="I967" s="85"/>
      <c r="J967" s="18"/>
      <c r="K967" s="100"/>
      <c r="L967" s="18"/>
      <c r="M967" s="120"/>
      <c r="N967" s="18"/>
      <c r="O967" s="100"/>
      <c r="P967" s="18"/>
      <c r="Q967" s="85"/>
      <c r="R967" s="18"/>
      <c r="S967" s="84">
        <f>S968</f>
        <v>0</v>
      </c>
      <c r="T967" s="18">
        <f t="shared" si="274"/>
        <v>0</v>
      </c>
      <c r="U967" s="84">
        <f>U968</f>
        <v>1895</v>
      </c>
      <c r="V967" s="18">
        <f t="shared" si="278"/>
        <v>1895</v>
      </c>
      <c r="W967" s="84">
        <f>W968</f>
        <v>-1137</v>
      </c>
      <c r="X967" s="18">
        <f t="shared" si="277"/>
        <v>758</v>
      </c>
    </row>
    <row r="968" spans="1:27" x14ac:dyDescent="0.25">
      <c r="A968" s="143" t="s">
        <v>54</v>
      </c>
      <c r="B968" s="146" t="s">
        <v>1240</v>
      </c>
      <c r="C968" s="142">
        <v>244</v>
      </c>
      <c r="D968" s="19"/>
      <c r="E968" s="19"/>
      <c r="F968" s="18"/>
      <c r="G968" s="64"/>
      <c r="H968" s="18"/>
      <c r="I968" s="85"/>
      <c r="J968" s="18"/>
      <c r="K968" s="100"/>
      <c r="L968" s="18"/>
      <c r="M968" s="120"/>
      <c r="N968" s="18"/>
      <c r="O968" s="100"/>
      <c r="P968" s="18"/>
      <c r="Q968" s="85"/>
      <c r="R968" s="18"/>
      <c r="S968" s="121"/>
      <c r="T968" s="18">
        <f t="shared" si="274"/>
        <v>0</v>
      </c>
      <c r="U968" s="44">
        <v>1895</v>
      </c>
      <c r="V968" s="18">
        <f t="shared" si="278"/>
        <v>1895</v>
      </c>
      <c r="W968" s="112">
        <v>-1137</v>
      </c>
      <c r="X968" s="18">
        <f t="shared" si="277"/>
        <v>758</v>
      </c>
      <c r="Z968" s="43">
        <f>X968+Y968</f>
        <v>758</v>
      </c>
      <c r="AA968" s="43"/>
    </row>
    <row r="969" spans="1:27" x14ac:dyDescent="0.25">
      <c r="A969" s="140" t="s">
        <v>1178</v>
      </c>
      <c r="B969" s="145" t="s">
        <v>1241</v>
      </c>
      <c r="C969" s="146"/>
      <c r="D969" s="19"/>
      <c r="E969" s="19"/>
      <c r="F969" s="18"/>
      <c r="G969" s="64"/>
      <c r="H969" s="18"/>
      <c r="I969" s="85"/>
      <c r="J969" s="18"/>
      <c r="K969" s="100"/>
      <c r="L969" s="18"/>
      <c r="M969" s="120"/>
      <c r="N969" s="18"/>
      <c r="O969" s="100"/>
      <c r="P969" s="18"/>
      <c r="Q969" s="85"/>
      <c r="R969" s="18"/>
      <c r="S969" s="84">
        <f t="shared" ref="S969:W969" si="280">S970</f>
        <v>0</v>
      </c>
      <c r="T969" s="18">
        <f t="shared" si="274"/>
        <v>0</v>
      </c>
      <c r="U969" s="84">
        <f t="shared" si="280"/>
        <v>730</v>
      </c>
      <c r="V969" s="18">
        <f t="shared" si="278"/>
        <v>730</v>
      </c>
      <c r="W969" s="84">
        <f t="shared" si="280"/>
        <v>-438</v>
      </c>
      <c r="X969" s="18">
        <f t="shared" si="277"/>
        <v>292</v>
      </c>
    </row>
    <row r="970" spans="1:27" x14ac:dyDescent="0.25">
      <c r="A970" s="143" t="s">
        <v>54</v>
      </c>
      <c r="B970" s="146" t="s">
        <v>1241</v>
      </c>
      <c r="C970" s="142">
        <v>244</v>
      </c>
      <c r="D970" s="19"/>
      <c r="E970" s="19"/>
      <c r="F970" s="18"/>
      <c r="G970" s="64"/>
      <c r="H970" s="18"/>
      <c r="I970" s="85"/>
      <c r="J970" s="18"/>
      <c r="K970" s="100"/>
      <c r="L970" s="18"/>
      <c r="M970" s="120"/>
      <c r="N970" s="18"/>
      <c r="O970" s="100"/>
      <c r="P970" s="18"/>
      <c r="Q970" s="85"/>
      <c r="R970" s="18"/>
      <c r="S970" s="121"/>
      <c r="T970" s="18">
        <f t="shared" si="274"/>
        <v>0</v>
      </c>
      <c r="U970" s="44">
        <v>730</v>
      </c>
      <c r="V970" s="18">
        <f t="shared" si="278"/>
        <v>730</v>
      </c>
      <c r="W970" s="112">
        <v>-438</v>
      </c>
      <c r="X970" s="18">
        <f t="shared" si="277"/>
        <v>292</v>
      </c>
      <c r="Z970" s="43">
        <f>X970+Y970</f>
        <v>292</v>
      </c>
      <c r="AA970" s="43"/>
    </row>
    <row r="971" spans="1:27" ht="36" x14ac:dyDescent="0.25">
      <c r="A971" s="140" t="s">
        <v>1179</v>
      </c>
      <c r="B971" s="145" t="s">
        <v>1242</v>
      </c>
      <c r="C971" s="142"/>
      <c r="D971" s="19"/>
      <c r="E971" s="19"/>
      <c r="F971" s="18"/>
      <c r="G971" s="64"/>
      <c r="H971" s="18"/>
      <c r="I971" s="85"/>
      <c r="J971" s="18"/>
      <c r="K971" s="100"/>
      <c r="L971" s="18"/>
      <c r="M971" s="120"/>
      <c r="N971" s="18"/>
      <c r="O971" s="100"/>
      <c r="P971" s="18"/>
      <c r="Q971" s="85"/>
      <c r="R971" s="18"/>
      <c r="S971" s="84">
        <f>S972</f>
        <v>0</v>
      </c>
      <c r="T971" s="18">
        <f t="shared" si="274"/>
        <v>0</v>
      </c>
      <c r="U971" s="84">
        <f>U972</f>
        <v>900</v>
      </c>
      <c r="V971" s="18">
        <f t="shared" si="278"/>
        <v>900</v>
      </c>
      <c r="W971" s="84">
        <f>W972</f>
        <v>-540</v>
      </c>
      <c r="X971" s="18">
        <f t="shared" si="277"/>
        <v>360</v>
      </c>
    </row>
    <row r="972" spans="1:27" x14ac:dyDescent="0.25">
      <c r="A972" s="143" t="s">
        <v>54</v>
      </c>
      <c r="B972" s="146" t="s">
        <v>1242</v>
      </c>
      <c r="C972" s="142">
        <v>244</v>
      </c>
      <c r="D972" s="19"/>
      <c r="E972" s="19"/>
      <c r="F972" s="18"/>
      <c r="G972" s="64"/>
      <c r="H972" s="18"/>
      <c r="I972" s="85"/>
      <c r="J972" s="18"/>
      <c r="K972" s="100"/>
      <c r="L972" s="18"/>
      <c r="M972" s="120"/>
      <c r="N972" s="18"/>
      <c r="O972" s="100"/>
      <c r="P972" s="18"/>
      <c r="Q972" s="85"/>
      <c r="R972" s="18"/>
      <c r="S972" s="121"/>
      <c r="T972" s="18">
        <f t="shared" si="274"/>
        <v>0</v>
      </c>
      <c r="U972" s="44">
        <v>900</v>
      </c>
      <c r="V972" s="18">
        <f t="shared" si="278"/>
        <v>900</v>
      </c>
      <c r="W972" s="112">
        <v>-540</v>
      </c>
      <c r="X972" s="18">
        <f t="shared" si="277"/>
        <v>360</v>
      </c>
      <c r="Z972" s="43">
        <f>X972+Y972</f>
        <v>360</v>
      </c>
      <c r="AA972" s="43"/>
    </row>
    <row r="973" spans="1:27" x14ac:dyDescent="0.25">
      <c r="A973" s="140" t="s">
        <v>1180</v>
      </c>
      <c r="B973" s="145" t="s">
        <v>1243</v>
      </c>
      <c r="C973" s="142"/>
      <c r="D973" s="19"/>
      <c r="E973" s="19"/>
      <c r="F973" s="18"/>
      <c r="G973" s="64"/>
      <c r="H973" s="18"/>
      <c r="I973" s="85"/>
      <c r="J973" s="18"/>
      <c r="K973" s="100"/>
      <c r="L973" s="18"/>
      <c r="M973" s="120"/>
      <c r="N973" s="18"/>
      <c r="O973" s="100"/>
      <c r="P973" s="18"/>
      <c r="Q973" s="85"/>
      <c r="R973" s="18"/>
      <c r="S973" s="84">
        <f>S974</f>
        <v>0</v>
      </c>
      <c r="T973" s="18">
        <f t="shared" si="274"/>
        <v>0</v>
      </c>
      <c r="U973" s="84">
        <f>U974</f>
        <v>460</v>
      </c>
      <c r="V973" s="18">
        <f t="shared" si="278"/>
        <v>460</v>
      </c>
      <c r="W973" s="84">
        <f>W974</f>
        <v>-276</v>
      </c>
      <c r="X973" s="18">
        <f t="shared" si="277"/>
        <v>184</v>
      </c>
    </row>
    <row r="974" spans="1:27" x14ac:dyDescent="0.25">
      <c r="A974" s="143" t="s">
        <v>54</v>
      </c>
      <c r="B974" s="146" t="s">
        <v>1243</v>
      </c>
      <c r="C974" s="142">
        <v>244</v>
      </c>
      <c r="D974" s="19"/>
      <c r="E974" s="19"/>
      <c r="F974" s="18"/>
      <c r="G974" s="64"/>
      <c r="H974" s="18"/>
      <c r="I974" s="85"/>
      <c r="J974" s="18"/>
      <c r="K974" s="100"/>
      <c r="L974" s="18"/>
      <c r="M974" s="120"/>
      <c r="N974" s="18"/>
      <c r="O974" s="100"/>
      <c r="P974" s="18"/>
      <c r="Q974" s="85"/>
      <c r="R974" s="18"/>
      <c r="S974" s="121"/>
      <c r="T974" s="18">
        <f t="shared" si="274"/>
        <v>0</v>
      </c>
      <c r="U974" s="44">
        <v>460</v>
      </c>
      <c r="V974" s="18">
        <f t="shared" si="278"/>
        <v>460</v>
      </c>
      <c r="W974" s="112">
        <v>-276</v>
      </c>
      <c r="X974" s="18">
        <f t="shared" si="277"/>
        <v>184</v>
      </c>
      <c r="Z974" s="43">
        <f>X974+Y974</f>
        <v>184</v>
      </c>
      <c r="AA974" s="43"/>
    </row>
    <row r="975" spans="1:27" ht="24" x14ac:dyDescent="0.25">
      <c r="A975" s="140" t="s">
        <v>1181</v>
      </c>
      <c r="B975" s="145" t="s">
        <v>1244</v>
      </c>
      <c r="C975" s="146"/>
      <c r="D975" s="19"/>
      <c r="E975" s="19"/>
      <c r="F975" s="18"/>
      <c r="G975" s="64"/>
      <c r="H975" s="18"/>
      <c r="I975" s="85"/>
      <c r="J975" s="18"/>
      <c r="K975" s="100"/>
      <c r="L975" s="18"/>
      <c r="M975" s="120"/>
      <c r="N975" s="18"/>
      <c r="O975" s="100"/>
      <c r="P975" s="18"/>
      <c r="Q975" s="85"/>
      <c r="R975" s="18"/>
      <c r="S975" s="84">
        <f>S976</f>
        <v>0</v>
      </c>
      <c r="T975" s="18">
        <f t="shared" si="274"/>
        <v>0</v>
      </c>
      <c r="U975" s="84">
        <f>U976</f>
        <v>100</v>
      </c>
      <c r="V975" s="18">
        <f t="shared" si="278"/>
        <v>100</v>
      </c>
      <c r="W975" s="84">
        <f>W976</f>
        <v>-60</v>
      </c>
      <c r="X975" s="18">
        <f t="shared" si="277"/>
        <v>40</v>
      </c>
    </row>
    <row r="976" spans="1:27" x14ac:dyDescent="0.25">
      <c r="A976" s="143" t="s">
        <v>54</v>
      </c>
      <c r="B976" s="146" t="s">
        <v>1244</v>
      </c>
      <c r="C976" s="142">
        <v>244</v>
      </c>
      <c r="D976" s="19"/>
      <c r="E976" s="19"/>
      <c r="F976" s="18"/>
      <c r="G976" s="64"/>
      <c r="H976" s="18"/>
      <c r="I976" s="85"/>
      <c r="J976" s="18"/>
      <c r="K976" s="100"/>
      <c r="L976" s="18"/>
      <c r="M976" s="120"/>
      <c r="N976" s="18"/>
      <c r="O976" s="100"/>
      <c r="P976" s="18"/>
      <c r="Q976" s="85"/>
      <c r="R976" s="18"/>
      <c r="S976" s="121"/>
      <c r="T976" s="18">
        <f t="shared" si="274"/>
        <v>0</v>
      </c>
      <c r="U976" s="44">
        <v>100</v>
      </c>
      <c r="V976" s="18">
        <f t="shared" si="278"/>
        <v>100</v>
      </c>
      <c r="W976" s="112">
        <v>-60</v>
      </c>
      <c r="X976" s="18">
        <f t="shared" si="277"/>
        <v>40</v>
      </c>
      <c r="Z976" s="43">
        <f>X976+Y976</f>
        <v>40</v>
      </c>
      <c r="AA976" s="43"/>
    </row>
    <row r="977" spans="1:27" ht="24" x14ac:dyDescent="0.25">
      <c r="A977" s="140" t="s">
        <v>1182</v>
      </c>
      <c r="B977" s="145" t="s">
        <v>1245</v>
      </c>
      <c r="C977" s="146"/>
      <c r="D977" s="19"/>
      <c r="E977" s="19"/>
      <c r="F977" s="18"/>
      <c r="G977" s="64"/>
      <c r="H977" s="18"/>
      <c r="I977" s="85"/>
      <c r="J977" s="18"/>
      <c r="K977" s="100"/>
      <c r="L977" s="18"/>
      <c r="M977" s="120"/>
      <c r="N977" s="18"/>
      <c r="O977" s="100"/>
      <c r="P977" s="18"/>
      <c r="Q977" s="85"/>
      <c r="R977" s="18"/>
      <c r="S977" s="84">
        <f>S978</f>
        <v>0</v>
      </c>
      <c r="T977" s="18">
        <f t="shared" ref="T977:T1038" si="281">R977+S977</f>
        <v>0</v>
      </c>
      <c r="U977" s="84">
        <f>U978</f>
        <v>315</v>
      </c>
      <c r="V977" s="18">
        <f t="shared" si="278"/>
        <v>315</v>
      </c>
      <c r="W977" s="84">
        <f>W978</f>
        <v>-189</v>
      </c>
      <c r="X977" s="18">
        <f t="shared" si="277"/>
        <v>126</v>
      </c>
    </row>
    <row r="978" spans="1:27" x14ac:dyDescent="0.25">
      <c r="A978" s="143" t="s">
        <v>54</v>
      </c>
      <c r="B978" s="146" t="s">
        <v>1245</v>
      </c>
      <c r="C978" s="142">
        <v>244</v>
      </c>
      <c r="D978" s="19"/>
      <c r="E978" s="19"/>
      <c r="F978" s="18"/>
      <c r="G978" s="64"/>
      <c r="H978" s="18"/>
      <c r="I978" s="85"/>
      <c r="J978" s="18"/>
      <c r="K978" s="100"/>
      <c r="L978" s="18"/>
      <c r="M978" s="120"/>
      <c r="N978" s="18"/>
      <c r="O978" s="100"/>
      <c r="P978" s="18"/>
      <c r="Q978" s="85"/>
      <c r="R978" s="18"/>
      <c r="S978" s="121"/>
      <c r="T978" s="18">
        <f t="shared" si="281"/>
        <v>0</v>
      </c>
      <c r="U978" s="44">
        <v>315</v>
      </c>
      <c r="V978" s="18">
        <f t="shared" si="278"/>
        <v>315</v>
      </c>
      <c r="W978" s="112">
        <v>-189</v>
      </c>
      <c r="X978" s="18">
        <f t="shared" si="277"/>
        <v>126</v>
      </c>
      <c r="Z978" s="43">
        <f>X978+Y978</f>
        <v>126</v>
      </c>
      <c r="AA978" s="43"/>
    </row>
    <row r="979" spans="1:27" x14ac:dyDescent="0.25">
      <c r="A979" s="140" t="s">
        <v>1183</v>
      </c>
      <c r="B979" s="145" t="s">
        <v>1246</v>
      </c>
      <c r="C979" s="142"/>
      <c r="D979" s="19"/>
      <c r="E979" s="19"/>
      <c r="F979" s="18"/>
      <c r="G979" s="64"/>
      <c r="H979" s="18"/>
      <c r="I979" s="85"/>
      <c r="J979" s="18"/>
      <c r="K979" s="100"/>
      <c r="L979" s="18"/>
      <c r="M979" s="120"/>
      <c r="N979" s="18"/>
      <c r="O979" s="100"/>
      <c r="P979" s="18"/>
      <c r="Q979" s="85"/>
      <c r="R979" s="18"/>
      <c r="S979" s="84">
        <f>S980</f>
        <v>0</v>
      </c>
      <c r="T979" s="18">
        <f t="shared" si="281"/>
        <v>0</v>
      </c>
      <c r="U979" s="84">
        <f>U980</f>
        <v>883</v>
      </c>
      <c r="V979" s="18">
        <f t="shared" si="278"/>
        <v>883</v>
      </c>
      <c r="W979" s="84">
        <f>W980</f>
        <v>-529.79999999999995</v>
      </c>
      <c r="X979" s="18">
        <f t="shared" si="277"/>
        <v>353.20000000000005</v>
      </c>
    </row>
    <row r="980" spans="1:27" x14ac:dyDescent="0.25">
      <c r="A980" s="143" t="s">
        <v>54</v>
      </c>
      <c r="B980" s="146" t="s">
        <v>1246</v>
      </c>
      <c r="C980" s="142">
        <v>244</v>
      </c>
      <c r="D980" s="19"/>
      <c r="E980" s="19"/>
      <c r="F980" s="18"/>
      <c r="G980" s="64"/>
      <c r="H980" s="18"/>
      <c r="I980" s="85"/>
      <c r="J980" s="18"/>
      <c r="K980" s="100"/>
      <c r="L980" s="18"/>
      <c r="M980" s="120"/>
      <c r="N980" s="18"/>
      <c r="O980" s="100"/>
      <c r="P980" s="18"/>
      <c r="Q980" s="85"/>
      <c r="R980" s="18"/>
      <c r="S980" s="121"/>
      <c r="T980" s="18">
        <f t="shared" si="281"/>
        <v>0</v>
      </c>
      <c r="U980" s="44">
        <v>883</v>
      </c>
      <c r="V980" s="18">
        <f t="shared" si="278"/>
        <v>883</v>
      </c>
      <c r="W980" s="112">
        <v>-529.79999999999995</v>
      </c>
      <c r="X980" s="18">
        <f t="shared" si="277"/>
        <v>353.20000000000005</v>
      </c>
      <c r="Z980" s="43">
        <f>X980+Y980</f>
        <v>353.20000000000005</v>
      </c>
      <c r="AA980" s="43"/>
    </row>
    <row r="981" spans="1:27" x14ac:dyDescent="0.25">
      <c r="A981" s="140" t="s">
        <v>1184</v>
      </c>
      <c r="B981" s="145" t="s">
        <v>1247</v>
      </c>
      <c r="C981" s="142"/>
      <c r="D981" s="19"/>
      <c r="E981" s="19"/>
      <c r="F981" s="18"/>
      <c r="G981" s="64"/>
      <c r="H981" s="18"/>
      <c r="I981" s="85"/>
      <c r="J981" s="18"/>
      <c r="K981" s="100"/>
      <c r="L981" s="18"/>
      <c r="M981" s="120"/>
      <c r="N981" s="18"/>
      <c r="O981" s="100"/>
      <c r="P981" s="18"/>
      <c r="Q981" s="85"/>
      <c r="R981" s="18"/>
      <c r="S981" s="84">
        <f>S982</f>
        <v>0</v>
      </c>
      <c r="T981" s="18">
        <f t="shared" si="281"/>
        <v>0</v>
      </c>
      <c r="U981" s="84">
        <f>U982</f>
        <v>479.5</v>
      </c>
      <c r="V981" s="18">
        <f t="shared" si="278"/>
        <v>479.5</v>
      </c>
      <c r="W981" s="84">
        <f>W982</f>
        <v>-287.7</v>
      </c>
      <c r="X981" s="18">
        <f t="shared" si="277"/>
        <v>191.8</v>
      </c>
    </row>
    <row r="982" spans="1:27" x14ac:dyDescent="0.25">
      <c r="A982" s="143" t="s">
        <v>54</v>
      </c>
      <c r="B982" s="146" t="s">
        <v>1247</v>
      </c>
      <c r="C982" s="142">
        <v>244</v>
      </c>
      <c r="D982" s="19"/>
      <c r="E982" s="19"/>
      <c r="F982" s="18"/>
      <c r="G982" s="64"/>
      <c r="H982" s="18"/>
      <c r="I982" s="85"/>
      <c r="J982" s="18"/>
      <c r="K982" s="100"/>
      <c r="L982" s="18"/>
      <c r="M982" s="120"/>
      <c r="N982" s="18"/>
      <c r="O982" s="100"/>
      <c r="P982" s="18"/>
      <c r="Q982" s="85"/>
      <c r="R982" s="18"/>
      <c r="S982" s="121"/>
      <c r="T982" s="18">
        <f t="shared" si="281"/>
        <v>0</v>
      </c>
      <c r="U982" s="44">
        <v>479.5</v>
      </c>
      <c r="V982" s="18">
        <f t="shared" si="278"/>
        <v>479.5</v>
      </c>
      <c r="W982" s="112">
        <v>-287.7</v>
      </c>
      <c r="X982" s="18">
        <f t="shared" si="277"/>
        <v>191.8</v>
      </c>
      <c r="Z982" s="43">
        <f>X982+Y982</f>
        <v>191.8</v>
      </c>
      <c r="AA982" s="43"/>
    </row>
    <row r="983" spans="1:27" x14ac:dyDescent="0.25">
      <c r="A983" s="140" t="s">
        <v>1185</v>
      </c>
      <c r="B983" s="145" t="s">
        <v>1248</v>
      </c>
      <c r="C983" s="146"/>
      <c r="D983" s="19"/>
      <c r="E983" s="19"/>
      <c r="F983" s="18"/>
      <c r="G983" s="64"/>
      <c r="H983" s="18"/>
      <c r="I983" s="85"/>
      <c r="J983" s="18"/>
      <c r="K983" s="100"/>
      <c r="L983" s="18"/>
      <c r="M983" s="120"/>
      <c r="N983" s="18"/>
      <c r="O983" s="100"/>
      <c r="P983" s="18"/>
      <c r="Q983" s="85"/>
      <c r="R983" s="18"/>
      <c r="S983" s="84">
        <f t="shared" ref="S983:W983" si="282">S984</f>
        <v>0</v>
      </c>
      <c r="T983" s="18">
        <f t="shared" si="281"/>
        <v>0</v>
      </c>
      <c r="U983" s="84">
        <f t="shared" si="282"/>
        <v>1113</v>
      </c>
      <c r="V983" s="18">
        <f t="shared" si="278"/>
        <v>1113</v>
      </c>
      <c r="W983" s="84">
        <f t="shared" si="282"/>
        <v>-667.8</v>
      </c>
      <c r="X983" s="18">
        <f t="shared" si="277"/>
        <v>445.20000000000005</v>
      </c>
    </row>
    <row r="984" spans="1:27" x14ac:dyDescent="0.25">
      <c r="A984" s="143" t="s">
        <v>54</v>
      </c>
      <c r="B984" s="146" t="s">
        <v>1248</v>
      </c>
      <c r="C984" s="142">
        <v>244</v>
      </c>
      <c r="D984" s="19"/>
      <c r="E984" s="19"/>
      <c r="F984" s="18"/>
      <c r="G984" s="64"/>
      <c r="H984" s="18"/>
      <c r="I984" s="85"/>
      <c r="J984" s="18"/>
      <c r="K984" s="100"/>
      <c r="L984" s="18"/>
      <c r="M984" s="120"/>
      <c r="N984" s="18"/>
      <c r="O984" s="100"/>
      <c r="P984" s="18"/>
      <c r="Q984" s="85"/>
      <c r="R984" s="18"/>
      <c r="S984" s="121"/>
      <c r="T984" s="18">
        <f t="shared" si="281"/>
        <v>0</v>
      </c>
      <c r="U984" s="44">
        <v>1113</v>
      </c>
      <c r="V984" s="18">
        <f t="shared" si="278"/>
        <v>1113</v>
      </c>
      <c r="W984" s="112">
        <v>-667.8</v>
      </c>
      <c r="X984" s="18">
        <f t="shared" si="277"/>
        <v>445.20000000000005</v>
      </c>
      <c r="Z984" s="43">
        <f>X984+Y984</f>
        <v>445.20000000000005</v>
      </c>
      <c r="AA984" s="43"/>
    </row>
    <row r="985" spans="1:27" x14ac:dyDescent="0.25">
      <c r="A985" s="140" t="s">
        <v>1186</v>
      </c>
      <c r="B985" s="145" t="s">
        <v>1249</v>
      </c>
      <c r="C985" s="146"/>
      <c r="D985" s="19"/>
      <c r="E985" s="19"/>
      <c r="F985" s="18"/>
      <c r="G985" s="64"/>
      <c r="H985" s="18"/>
      <c r="I985" s="85"/>
      <c r="J985" s="18"/>
      <c r="K985" s="100"/>
      <c r="L985" s="18"/>
      <c r="M985" s="120"/>
      <c r="N985" s="18"/>
      <c r="O985" s="100"/>
      <c r="P985" s="18"/>
      <c r="Q985" s="85"/>
      <c r="R985" s="18"/>
      <c r="S985" s="84">
        <f>S986</f>
        <v>0</v>
      </c>
      <c r="T985" s="18">
        <f t="shared" si="281"/>
        <v>0</v>
      </c>
      <c r="U985" s="84">
        <f>U986</f>
        <v>1233.2</v>
      </c>
      <c r="V985" s="18">
        <f t="shared" si="278"/>
        <v>1233.2</v>
      </c>
      <c r="W985" s="84">
        <f>W986</f>
        <v>-739.9</v>
      </c>
      <c r="X985" s="18">
        <f t="shared" si="277"/>
        <v>493.30000000000007</v>
      </c>
    </row>
    <row r="986" spans="1:27" x14ac:dyDescent="0.25">
      <c r="A986" s="143" t="s">
        <v>54</v>
      </c>
      <c r="B986" s="146" t="s">
        <v>1249</v>
      </c>
      <c r="C986" s="142">
        <v>244</v>
      </c>
      <c r="D986" s="19"/>
      <c r="E986" s="19"/>
      <c r="F986" s="18"/>
      <c r="G986" s="64"/>
      <c r="H986" s="18"/>
      <c r="I986" s="85"/>
      <c r="J986" s="18"/>
      <c r="K986" s="100"/>
      <c r="L986" s="18"/>
      <c r="M986" s="120"/>
      <c r="N986" s="18"/>
      <c r="O986" s="100"/>
      <c r="P986" s="18"/>
      <c r="Q986" s="85"/>
      <c r="R986" s="18"/>
      <c r="S986" s="121"/>
      <c r="T986" s="18">
        <f t="shared" si="281"/>
        <v>0</v>
      </c>
      <c r="U986" s="44">
        <v>1233.2</v>
      </c>
      <c r="V986" s="18">
        <f t="shared" si="278"/>
        <v>1233.2</v>
      </c>
      <c r="W986" s="112">
        <v>-739.9</v>
      </c>
      <c r="X986" s="18">
        <f t="shared" si="277"/>
        <v>493.30000000000007</v>
      </c>
      <c r="Z986" s="43">
        <f>X986+Y986</f>
        <v>493.30000000000007</v>
      </c>
      <c r="AA986" s="43"/>
    </row>
    <row r="987" spans="1:27" x14ac:dyDescent="0.25">
      <c r="A987" s="140" t="s">
        <v>1187</v>
      </c>
      <c r="B987" s="145" t="s">
        <v>1250</v>
      </c>
      <c r="C987" s="142"/>
      <c r="D987" s="19"/>
      <c r="E987" s="19"/>
      <c r="F987" s="18"/>
      <c r="G987" s="64"/>
      <c r="H987" s="18"/>
      <c r="I987" s="85"/>
      <c r="J987" s="18"/>
      <c r="K987" s="100"/>
      <c r="L987" s="18"/>
      <c r="M987" s="120"/>
      <c r="N987" s="18"/>
      <c r="O987" s="100"/>
      <c r="P987" s="18"/>
      <c r="Q987" s="85"/>
      <c r="R987" s="18"/>
      <c r="S987" s="84">
        <f>S988</f>
        <v>0</v>
      </c>
      <c r="T987" s="18">
        <f t="shared" si="281"/>
        <v>0</v>
      </c>
      <c r="U987" s="84">
        <f>U988</f>
        <v>1163.5</v>
      </c>
      <c r="V987" s="18">
        <f t="shared" si="278"/>
        <v>1163.5</v>
      </c>
      <c r="W987" s="84">
        <f>W988</f>
        <v>-698.1</v>
      </c>
      <c r="X987" s="18">
        <f t="shared" si="277"/>
        <v>465.4</v>
      </c>
    </row>
    <row r="988" spans="1:27" x14ac:dyDescent="0.25">
      <c r="A988" s="143" t="s">
        <v>54</v>
      </c>
      <c r="B988" s="146" t="s">
        <v>1250</v>
      </c>
      <c r="C988" s="142">
        <v>244</v>
      </c>
      <c r="D988" s="19"/>
      <c r="E988" s="19"/>
      <c r="F988" s="18"/>
      <c r="G988" s="64"/>
      <c r="H988" s="18"/>
      <c r="I988" s="85"/>
      <c r="J988" s="18"/>
      <c r="K988" s="100"/>
      <c r="L988" s="18"/>
      <c r="M988" s="120"/>
      <c r="N988" s="18"/>
      <c r="O988" s="100"/>
      <c r="P988" s="18"/>
      <c r="Q988" s="85"/>
      <c r="R988" s="18"/>
      <c r="S988" s="121"/>
      <c r="T988" s="18">
        <f t="shared" si="281"/>
        <v>0</v>
      </c>
      <c r="U988" s="44">
        <v>1163.5</v>
      </c>
      <c r="V988" s="18">
        <f t="shared" si="278"/>
        <v>1163.5</v>
      </c>
      <c r="W988" s="112">
        <v>-698.1</v>
      </c>
      <c r="X988" s="18">
        <f t="shared" si="277"/>
        <v>465.4</v>
      </c>
      <c r="Z988" s="43">
        <f>X988+Y988</f>
        <v>465.4</v>
      </c>
      <c r="AA988" s="43"/>
    </row>
    <row r="989" spans="1:27" x14ac:dyDescent="0.25">
      <c r="A989" s="140" t="s">
        <v>1188</v>
      </c>
      <c r="B989" s="145" t="s">
        <v>1251</v>
      </c>
      <c r="C989" s="142"/>
      <c r="D989" s="19"/>
      <c r="E989" s="19"/>
      <c r="F989" s="18"/>
      <c r="G989" s="64"/>
      <c r="H989" s="18"/>
      <c r="I989" s="85"/>
      <c r="J989" s="18"/>
      <c r="K989" s="100"/>
      <c r="L989" s="18"/>
      <c r="M989" s="120"/>
      <c r="N989" s="18"/>
      <c r="O989" s="100"/>
      <c r="P989" s="18"/>
      <c r="Q989" s="85"/>
      <c r="R989" s="18"/>
      <c r="S989" s="84">
        <f>S990</f>
        <v>0</v>
      </c>
      <c r="T989" s="18">
        <f t="shared" si="281"/>
        <v>0</v>
      </c>
      <c r="U989" s="84">
        <f>U990</f>
        <v>2431.1999999999998</v>
      </c>
      <c r="V989" s="18">
        <f t="shared" si="278"/>
        <v>2431.1999999999998</v>
      </c>
      <c r="W989" s="84">
        <f>W990</f>
        <v>-1458</v>
      </c>
      <c r="X989" s="18">
        <f t="shared" si="277"/>
        <v>973.19999999999982</v>
      </c>
    </row>
    <row r="990" spans="1:27" x14ac:dyDescent="0.25">
      <c r="A990" s="143" t="s">
        <v>54</v>
      </c>
      <c r="B990" s="146" t="s">
        <v>1251</v>
      </c>
      <c r="C990" s="142">
        <v>244</v>
      </c>
      <c r="D990" s="19"/>
      <c r="E990" s="19"/>
      <c r="F990" s="18"/>
      <c r="G990" s="64"/>
      <c r="H990" s="18"/>
      <c r="I990" s="85"/>
      <c r="J990" s="18"/>
      <c r="K990" s="100"/>
      <c r="L990" s="18"/>
      <c r="M990" s="120"/>
      <c r="N990" s="18"/>
      <c r="O990" s="100"/>
      <c r="P990" s="18"/>
      <c r="Q990" s="85"/>
      <c r="R990" s="18"/>
      <c r="S990" s="121"/>
      <c r="T990" s="18">
        <f t="shared" si="281"/>
        <v>0</v>
      </c>
      <c r="U990" s="44">
        <v>2431.1999999999998</v>
      </c>
      <c r="V990" s="18">
        <f t="shared" si="278"/>
        <v>2431.1999999999998</v>
      </c>
      <c r="W990" s="112">
        <v>-1458</v>
      </c>
      <c r="X990" s="18">
        <f t="shared" si="277"/>
        <v>973.19999999999982</v>
      </c>
      <c r="Z990" s="43">
        <f>X990+Y990</f>
        <v>973.19999999999982</v>
      </c>
      <c r="AA990" s="43"/>
    </row>
    <row r="991" spans="1:27" x14ac:dyDescent="0.25">
      <c r="A991" s="140" t="s">
        <v>1189</v>
      </c>
      <c r="B991" s="145" t="s">
        <v>1252</v>
      </c>
      <c r="C991" s="146"/>
      <c r="D991" s="19"/>
      <c r="E991" s="19"/>
      <c r="F991" s="18"/>
      <c r="G991" s="64"/>
      <c r="H991" s="18"/>
      <c r="I991" s="85"/>
      <c r="J991" s="18"/>
      <c r="K991" s="100"/>
      <c r="L991" s="18"/>
      <c r="M991" s="120"/>
      <c r="N991" s="18"/>
      <c r="O991" s="100"/>
      <c r="P991" s="18"/>
      <c r="Q991" s="85"/>
      <c r="R991" s="18"/>
      <c r="S991" s="84">
        <f>S992</f>
        <v>0</v>
      </c>
      <c r="T991" s="18">
        <f t="shared" si="281"/>
        <v>0</v>
      </c>
      <c r="U991" s="84">
        <f>U992</f>
        <v>513.9</v>
      </c>
      <c r="V991" s="18">
        <f t="shared" si="278"/>
        <v>513.9</v>
      </c>
      <c r="W991" s="84">
        <f>W992</f>
        <v>-308.39999999999998</v>
      </c>
      <c r="X991" s="18">
        <f t="shared" si="277"/>
        <v>205.5</v>
      </c>
    </row>
    <row r="992" spans="1:27" x14ac:dyDescent="0.25">
      <c r="A992" s="143" t="s">
        <v>54</v>
      </c>
      <c r="B992" s="146" t="s">
        <v>1252</v>
      </c>
      <c r="C992" s="142">
        <v>244</v>
      </c>
      <c r="D992" s="19"/>
      <c r="E992" s="19"/>
      <c r="F992" s="18"/>
      <c r="G992" s="64"/>
      <c r="H992" s="18"/>
      <c r="I992" s="85"/>
      <c r="J992" s="18"/>
      <c r="K992" s="100"/>
      <c r="L992" s="18"/>
      <c r="M992" s="120"/>
      <c r="N992" s="18"/>
      <c r="O992" s="100"/>
      <c r="P992" s="18"/>
      <c r="Q992" s="85"/>
      <c r="R992" s="18"/>
      <c r="S992" s="121"/>
      <c r="T992" s="18">
        <f t="shared" si="281"/>
        <v>0</v>
      </c>
      <c r="U992" s="44">
        <v>513.9</v>
      </c>
      <c r="V992" s="18">
        <f t="shared" si="278"/>
        <v>513.9</v>
      </c>
      <c r="W992" s="112">
        <v>-308.39999999999998</v>
      </c>
      <c r="X992" s="18">
        <f t="shared" si="277"/>
        <v>205.5</v>
      </c>
      <c r="Z992" s="43">
        <f>X992+Y992</f>
        <v>205.5</v>
      </c>
      <c r="AA992" s="43"/>
    </row>
    <row r="993" spans="1:27" x14ac:dyDescent="0.25">
      <c r="A993" s="140" t="s">
        <v>1190</v>
      </c>
      <c r="B993" s="145" t="s">
        <v>1253</v>
      </c>
      <c r="C993" s="146"/>
      <c r="D993" s="19"/>
      <c r="E993" s="19"/>
      <c r="F993" s="18"/>
      <c r="G993" s="64"/>
      <c r="H993" s="18"/>
      <c r="I993" s="85"/>
      <c r="J993" s="18"/>
      <c r="K993" s="100"/>
      <c r="L993" s="18"/>
      <c r="M993" s="120"/>
      <c r="N993" s="18"/>
      <c r="O993" s="100"/>
      <c r="P993" s="18"/>
      <c r="Q993" s="85"/>
      <c r="R993" s="18"/>
      <c r="S993" s="84">
        <f>S994</f>
        <v>0</v>
      </c>
      <c r="T993" s="18">
        <f t="shared" si="281"/>
        <v>0</v>
      </c>
      <c r="U993" s="84">
        <f>U994</f>
        <v>494.1</v>
      </c>
      <c r="V993" s="18">
        <f t="shared" si="278"/>
        <v>494.1</v>
      </c>
      <c r="W993" s="84">
        <f>W994</f>
        <v>-296.5</v>
      </c>
      <c r="X993" s="18">
        <f t="shared" si="277"/>
        <v>197.60000000000002</v>
      </c>
    </row>
    <row r="994" spans="1:27" x14ac:dyDescent="0.25">
      <c r="A994" s="143" t="s">
        <v>54</v>
      </c>
      <c r="B994" s="146" t="s">
        <v>1253</v>
      </c>
      <c r="C994" s="142">
        <v>244</v>
      </c>
      <c r="D994" s="19"/>
      <c r="E994" s="19"/>
      <c r="F994" s="18"/>
      <c r="G994" s="64"/>
      <c r="H994" s="18"/>
      <c r="I994" s="85"/>
      <c r="J994" s="18"/>
      <c r="K994" s="100"/>
      <c r="L994" s="18"/>
      <c r="M994" s="120"/>
      <c r="N994" s="18"/>
      <c r="O994" s="100"/>
      <c r="P994" s="18"/>
      <c r="Q994" s="85"/>
      <c r="R994" s="18"/>
      <c r="S994" s="121"/>
      <c r="T994" s="18">
        <f t="shared" si="281"/>
        <v>0</v>
      </c>
      <c r="U994" s="44">
        <v>494.1</v>
      </c>
      <c r="V994" s="18">
        <f t="shared" si="278"/>
        <v>494.1</v>
      </c>
      <c r="W994" s="112">
        <v>-296.5</v>
      </c>
      <c r="X994" s="18">
        <f t="shared" si="277"/>
        <v>197.60000000000002</v>
      </c>
      <c r="Z994" s="43">
        <f>X994+Y994</f>
        <v>197.60000000000002</v>
      </c>
      <c r="AA994" s="43"/>
    </row>
    <row r="995" spans="1:27" ht="24" x14ac:dyDescent="0.25">
      <c r="A995" s="140" t="s">
        <v>1191</v>
      </c>
      <c r="B995" s="145" t="s">
        <v>1254</v>
      </c>
      <c r="C995" s="142"/>
      <c r="D995" s="19"/>
      <c r="E995" s="19"/>
      <c r="F995" s="18"/>
      <c r="G995" s="64"/>
      <c r="H995" s="18"/>
      <c r="I995" s="85"/>
      <c r="J995" s="18"/>
      <c r="K995" s="100"/>
      <c r="L995" s="18"/>
      <c r="M995" s="120"/>
      <c r="N995" s="18"/>
      <c r="O995" s="100"/>
      <c r="P995" s="18"/>
      <c r="Q995" s="85"/>
      <c r="R995" s="18"/>
      <c r="S995" s="84">
        <f>S996</f>
        <v>0</v>
      </c>
      <c r="T995" s="18">
        <f t="shared" si="281"/>
        <v>0</v>
      </c>
      <c r="U995" s="84">
        <f>U996</f>
        <v>3793.4</v>
      </c>
      <c r="V995" s="18">
        <f t="shared" si="278"/>
        <v>3793.4</v>
      </c>
      <c r="W995" s="84">
        <f>W996</f>
        <v>-2276</v>
      </c>
      <c r="X995" s="18">
        <f t="shared" si="277"/>
        <v>1517.4</v>
      </c>
    </row>
    <row r="996" spans="1:27" x14ac:dyDescent="0.25">
      <c r="A996" s="143" t="s">
        <v>54</v>
      </c>
      <c r="B996" s="146" t="s">
        <v>1254</v>
      </c>
      <c r="C996" s="142">
        <v>244</v>
      </c>
      <c r="D996" s="19"/>
      <c r="E996" s="19"/>
      <c r="F996" s="18"/>
      <c r="G996" s="64"/>
      <c r="H996" s="18"/>
      <c r="I996" s="85"/>
      <c r="J996" s="18"/>
      <c r="K996" s="100"/>
      <c r="L996" s="18"/>
      <c r="M996" s="120"/>
      <c r="N996" s="18"/>
      <c r="O996" s="100"/>
      <c r="P996" s="18"/>
      <c r="Q996" s="85"/>
      <c r="R996" s="18"/>
      <c r="S996" s="121"/>
      <c r="T996" s="18">
        <f t="shared" si="281"/>
        <v>0</v>
      </c>
      <c r="U996" s="44">
        <v>3793.4</v>
      </c>
      <c r="V996" s="18">
        <f t="shared" si="278"/>
        <v>3793.4</v>
      </c>
      <c r="W996" s="112">
        <v>-2276</v>
      </c>
      <c r="X996" s="18">
        <f t="shared" si="277"/>
        <v>1517.4</v>
      </c>
      <c r="Z996" s="43">
        <f>X996+Y996</f>
        <v>1517.4</v>
      </c>
      <c r="AA996" s="43"/>
    </row>
    <row r="997" spans="1:27" x14ac:dyDescent="0.25">
      <c r="A997" s="140" t="s">
        <v>1192</v>
      </c>
      <c r="B997" s="145" t="s">
        <v>1255</v>
      </c>
      <c r="C997" s="142"/>
      <c r="D997" s="19"/>
      <c r="E997" s="19"/>
      <c r="F997" s="18"/>
      <c r="G997" s="64"/>
      <c r="H997" s="18"/>
      <c r="I997" s="85"/>
      <c r="J997" s="18"/>
      <c r="K997" s="100"/>
      <c r="L997" s="18"/>
      <c r="M997" s="120"/>
      <c r="N997" s="18"/>
      <c r="O997" s="100"/>
      <c r="P997" s="18"/>
      <c r="Q997" s="85"/>
      <c r="R997" s="18"/>
      <c r="S997" s="84">
        <f t="shared" ref="S997:W997" si="283">S998</f>
        <v>0</v>
      </c>
      <c r="T997" s="18">
        <f t="shared" si="281"/>
        <v>0</v>
      </c>
      <c r="U997" s="84">
        <f t="shared" si="283"/>
        <v>760</v>
      </c>
      <c r="V997" s="18">
        <f t="shared" si="278"/>
        <v>760</v>
      </c>
      <c r="W997" s="84">
        <f t="shared" si="283"/>
        <v>-456</v>
      </c>
      <c r="X997" s="18">
        <f t="shared" si="277"/>
        <v>304</v>
      </c>
    </row>
    <row r="998" spans="1:27" x14ac:dyDescent="0.25">
      <c r="A998" s="143" t="s">
        <v>54</v>
      </c>
      <c r="B998" s="146" t="s">
        <v>1255</v>
      </c>
      <c r="C998" s="142">
        <v>244</v>
      </c>
      <c r="D998" s="19"/>
      <c r="E998" s="19"/>
      <c r="F998" s="18"/>
      <c r="G998" s="64"/>
      <c r="H998" s="18"/>
      <c r="I998" s="85"/>
      <c r="J998" s="18"/>
      <c r="K998" s="100"/>
      <c r="L998" s="18"/>
      <c r="M998" s="120"/>
      <c r="N998" s="18"/>
      <c r="O998" s="100"/>
      <c r="P998" s="18"/>
      <c r="Q998" s="85"/>
      <c r="R998" s="18"/>
      <c r="S998" s="121"/>
      <c r="T998" s="18">
        <f t="shared" si="281"/>
        <v>0</v>
      </c>
      <c r="U998" s="44">
        <v>760</v>
      </c>
      <c r="V998" s="18">
        <f t="shared" si="278"/>
        <v>760</v>
      </c>
      <c r="W998" s="112">
        <v>-456</v>
      </c>
      <c r="X998" s="18">
        <f t="shared" si="277"/>
        <v>304</v>
      </c>
      <c r="Z998" s="43">
        <f>X998+Y998</f>
        <v>304</v>
      </c>
      <c r="AA998" s="43"/>
    </row>
    <row r="999" spans="1:27" x14ac:dyDescent="0.25">
      <c r="A999" s="140" t="s">
        <v>1193</v>
      </c>
      <c r="B999" s="145" t="s">
        <v>1256</v>
      </c>
      <c r="C999" s="146"/>
      <c r="D999" s="19"/>
      <c r="E999" s="19"/>
      <c r="F999" s="18"/>
      <c r="G999" s="64"/>
      <c r="H999" s="18"/>
      <c r="I999" s="85"/>
      <c r="J999" s="18"/>
      <c r="K999" s="100"/>
      <c r="L999" s="18"/>
      <c r="M999" s="120"/>
      <c r="N999" s="18"/>
      <c r="O999" s="100"/>
      <c r="P999" s="18"/>
      <c r="Q999" s="85"/>
      <c r="R999" s="18"/>
      <c r="S999" s="84">
        <f>S1000</f>
        <v>0</v>
      </c>
      <c r="T999" s="18">
        <f t="shared" si="281"/>
        <v>0</v>
      </c>
      <c r="U999" s="84">
        <f>U1000</f>
        <v>2187.6</v>
      </c>
      <c r="V999" s="18">
        <f t="shared" si="278"/>
        <v>2187.6</v>
      </c>
      <c r="W999" s="84">
        <f>W1000</f>
        <v>-1312.5</v>
      </c>
      <c r="X999" s="18">
        <f t="shared" si="277"/>
        <v>875.09999999999991</v>
      </c>
    </row>
    <row r="1000" spans="1:27" x14ac:dyDescent="0.25">
      <c r="A1000" s="143" t="s">
        <v>54</v>
      </c>
      <c r="B1000" s="146" t="s">
        <v>1256</v>
      </c>
      <c r="C1000" s="142">
        <v>244</v>
      </c>
      <c r="D1000" s="19"/>
      <c r="E1000" s="19"/>
      <c r="F1000" s="18"/>
      <c r="G1000" s="64"/>
      <c r="H1000" s="18"/>
      <c r="I1000" s="85"/>
      <c r="J1000" s="18"/>
      <c r="K1000" s="100"/>
      <c r="L1000" s="18"/>
      <c r="M1000" s="120"/>
      <c r="N1000" s="18"/>
      <c r="O1000" s="100"/>
      <c r="P1000" s="18"/>
      <c r="Q1000" s="85"/>
      <c r="R1000" s="18"/>
      <c r="S1000" s="121"/>
      <c r="T1000" s="18">
        <f t="shared" si="281"/>
        <v>0</v>
      </c>
      <c r="U1000" s="44">
        <v>2187.6</v>
      </c>
      <c r="V1000" s="18">
        <f t="shared" si="278"/>
        <v>2187.6</v>
      </c>
      <c r="W1000" s="112">
        <v>-1312.5</v>
      </c>
      <c r="X1000" s="18">
        <f t="shared" si="277"/>
        <v>875.09999999999991</v>
      </c>
      <c r="Z1000" s="43">
        <f>X1000+Y1000</f>
        <v>875.09999999999991</v>
      </c>
      <c r="AA1000" s="43"/>
    </row>
    <row r="1001" spans="1:27" x14ac:dyDescent="0.25">
      <c r="A1001" s="144" t="s">
        <v>1194</v>
      </c>
      <c r="B1001" s="145" t="s">
        <v>1257</v>
      </c>
      <c r="C1001" s="146"/>
      <c r="D1001" s="19"/>
      <c r="E1001" s="19"/>
      <c r="F1001" s="18"/>
      <c r="G1001" s="64"/>
      <c r="H1001" s="18"/>
      <c r="I1001" s="85"/>
      <c r="J1001" s="18"/>
      <c r="K1001" s="100"/>
      <c r="L1001" s="18"/>
      <c r="M1001" s="120"/>
      <c r="N1001" s="18"/>
      <c r="O1001" s="100"/>
      <c r="P1001" s="18"/>
      <c r="Q1001" s="85"/>
      <c r="R1001" s="18"/>
      <c r="S1001" s="84">
        <f>S1002</f>
        <v>0</v>
      </c>
      <c r="T1001" s="18">
        <f t="shared" si="281"/>
        <v>0</v>
      </c>
      <c r="U1001" s="84">
        <f>U1002</f>
        <v>572.79999999999995</v>
      </c>
      <c r="V1001" s="18">
        <f t="shared" si="278"/>
        <v>572.79999999999995</v>
      </c>
      <c r="W1001" s="84">
        <f>W1002</f>
        <v>-343.7</v>
      </c>
      <c r="X1001" s="18">
        <f t="shared" si="277"/>
        <v>229.09999999999997</v>
      </c>
    </row>
    <row r="1002" spans="1:27" x14ac:dyDescent="0.25">
      <c r="A1002" s="143" t="s">
        <v>54</v>
      </c>
      <c r="B1002" s="146" t="s">
        <v>1257</v>
      </c>
      <c r="C1002" s="142">
        <v>244</v>
      </c>
      <c r="D1002" s="19"/>
      <c r="E1002" s="19"/>
      <c r="F1002" s="18"/>
      <c r="G1002" s="64"/>
      <c r="H1002" s="18"/>
      <c r="I1002" s="85"/>
      <c r="J1002" s="18"/>
      <c r="K1002" s="100"/>
      <c r="L1002" s="18"/>
      <c r="M1002" s="120"/>
      <c r="N1002" s="18"/>
      <c r="O1002" s="100"/>
      <c r="P1002" s="18"/>
      <c r="Q1002" s="85"/>
      <c r="R1002" s="18"/>
      <c r="S1002" s="121"/>
      <c r="T1002" s="18">
        <f t="shared" si="281"/>
        <v>0</v>
      </c>
      <c r="U1002" s="44">
        <v>572.79999999999995</v>
      </c>
      <c r="V1002" s="18">
        <f t="shared" si="278"/>
        <v>572.79999999999995</v>
      </c>
      <c r="W1002" s="112">
        <v>-343.7</v>
      </c>
      <c r="X1002" s="18">
        <f t="shared" si="277"/>
        <v>229.09999999999997</v>
      </c>
      <c r="Z1002" s="43">
        <f>X1002+Y1002</f>
        <v>229.09999999999997</v>
      </c>
      <c r="AA1002" s="43"/>
    </row>
    <row r="1003" spans="1:27" ht="24" x14ac:dyDescent="0.25">
      <c r="A1003" s="144" t="s">
        <v>1195</v>
      </c>
      <c r="B1003" s="147" t="s">
        <v>1258</v>
      </c>
      <c r="C1003" s="142"/>
      <c r="D1003" s="19"/>
      <c r="E1003" s="19"/>
      <c r="F1003" s="18"/>
      <c r="G1003" s="64"/>
      <c r="H1003" s="18"/>
      <c r="I1003" s="85"/>
      <c r="J1003" s="18"/>
      <c r="K1003" s="100"/>
      <c r="L1003" s="18"/>
      <c r="M1003" s="120"/>
      <c r="N1003" s="18"/>
      <c r="O1003" s="100"/>
      <c r="P1003" s="18"/>
      <c r="Q1003" s="85"/>
      <c r="R1003" s="18"/>
      <c r="S1003" s="84">
        <f>S1004</f>
        <v>0</v>
      </c>
      <c r="T1003" s="18">
        <f t="shared" si="281"/>
        <v>0</v>
      </c>
      <c r="U1003" s="84">
        <f>U1004</f>
        <v>505</v>
      </c>
      <c r="V1003" s="18">
        <f t="shared" si="278"/>
        <v>505</v>
      </c>
      <c r="W1003" s="84">
        <f>W1004</f>
        <v>-303</v>
      </c>
      <c r="X1003" s="18">
        <f t="shared" si="277"/>
        <v>202</v>
      </c>
    </row>
    <row r="1004" spans="1:27" x14ac:dyDescent="0.25">
      <c r="A1004" s="143" t="s">
        <v>54</v>
      </c>
      <c r="B1004" s="148" t="s">
        <v>1258</v>
      </c>
      <c r="C1004" s="142">
        <v>244</v>
      </c>
      <c r="D1004" s="19"/>
      <c r="E1004" s="19"/>
      <c r="F1004" s="18"/>
      <c r="G1004" s="64"/>
      <c r="H1004" s="18"/>
      <c r="I1004" s="85"/>
      <c r="J1004" s="18"/>
      <c r="K1004" s="100"/>
      <c r="L1004" s="18"/>
      <c r="M1004" s="120"/>
      <c r="N1004" s="18"/>
      <c r="O1004" s="100"/>
      <c r="P1004" s="18"/>
      <c r="Q1004" s="85"/>
      <c r="R1004" s="18"/>
      <c r="S1004" s="121"/>
      <c r="T1004" s="18">
        <f t="shared" si="281"/>
        <v>0</v>
      </c>
      <c r="U1004" s="44">
        <v>505</v>
      </c>
      <c r="V1004" s="18">
        <f t="shared" si="278"/>
        <v>505</v>
      </c>
      <c r="W1004" s="112">
        <v>-303</v>
      </c>
      <c r="X1004" s="18">
        <f t="shared" si="277"/>
        <v>202</v>
      </c>
      <c r="Z1004" s="43">
        <f>X1004+Y1004</f>
        <v>202</v>
      </c>
      <c r="AA1004" s="43"/>
    </row>
    <row r="1005" spans="1:27" x14ac:dyDescent="0.25">
      <c r="A1005" s="144" t="s">
        <v>1196</v>
      </c>
      <c r="B1005" s="147" t="s">
        <v>1259</v>
      </c>
      <c r="C1005" s="142"/>
      <c r="D1005" s="19"/>
      <c r="E1005" s="19"/>
      <c r="F1005" s="18"/>
      <c r="G1005" s="64"/>
      <c r="H1005" s="18"/>
      <c r="I1005" s="85"/>
      <c r="J1005" s="18"/>
      <c r="K1005" s="100"/>
      <c r="L1005" s="18"/>
      <c r="M1005" s="120"/>
      <c r="N1005" s="18"/>
      <c r="O1005" s="100"/>
      <c r="P1005" s="18"/>
      <c r="Q1005" s="85"/>
      <c r="R1005" s="18"/>
      <c r="S1005" s="84">
        <f>S1006</f>
        <v>0</v>
      </c>
      <c r="T1005" s="18">
        <f t="shared" si="281"/>
        <v>0</v>
      </c>
      <c r="U1005" s="84">
        <f>U1006</f>
        <v>100</v>
      </c>
      <c r="V1005" s="18">
        <f t="shared" si="278"/>
        <v>100</v>
      </c>
      <c r="W1005" s="84">
        <f>W1006</f>
        <v>-60</v>
      </c>
      <c r="X1005" s="18">
        <f t="shared" si="277"/>
        <v>40</v>
      </c>
    </row>
    <row r="1006" spans="1:27" x14ac:dyDescent="0.25">
      <c r="A1006" s="143" t="s">
        <v>54</v>
      </c>
      <c r="B1006" s="148" t="s">
        <v>1259</v>
      </c>
      <c r="C1006" s="142">
        <v>244</v>
      </c>
      <c r="D1006" s="19"/>
      <c r="E1006" s="19"/>
      <c r="F1006" s="18"/>
      <c r="G1006" s="64"/>
      <c r="H1006" s="18"/>
      <c r="I1006" s="85"/>
      <c r="J1006" s="18"/>
      <c r="K1006" s="100"/>
      <c r="L1006" s="18"/>
      <c r="M1006" s="120"/>
      <c r="N1006" s="18"/>
      <c r="O1006" s="100"/>
      <c r="P1006" s="18"/>
      <c r="Q1006" s="85"/>
      <c r="R1006" s="18"/>
      <c r="S1006" s="121"/>
      <c r="T1006" s="18">
        <f t="shared" si="281"/>
        <v>0</v>
      </c>
      <c r="U1006" s="44">
        <v>100</v>
      </c>
      <c r="V1006" s="18">
        <f t="shared" si="278"/>
        <v>100</v>
      </c>
      <c r="W1006" s="112">
        <v>-60</v>
      </c>
      <c r="X1006" s="18">
        <f t="shared" si="277"/>
        <v>40</v>
      </c>
      <c r="Z1006" s="43">
        <f>X1006+Y1006</f>
        <v>40</v>
      </c>
      <c r="AA1006" s="43"/>
    </row>
    <row r="1007" spans="1:27" x14ac:dyDescent="0.25">
      <c r="A1007" s="144" t="s">
        <v>1197</v>
      </c>
      <c r="B1007" s="147" t="s">
        <v>1260</v>
      </c>
      <c r="C1007" s="146"/>
      <c r="D1007" s="19"/>
      <c r="E1007" s="19"/>
      <c r="F1007" s="18"/>
      <c r="G1007" s="64"/>
      <c r="H1007" s="18"/>
      <c r="I1007" s="85"/>
      <c r="J1007" s="18"/>
      <c r="K1007" s="100"/>
      <c r="L1007" s="18"/>
      <c r="M1007" s="120"/>
      <c r="N1007" s="18"/>
      <c r="O1007" s="100"/>
      <c r="P1007" s="18"/>
      <c r="Q1007" s="85"/>
      <c r="R1007" s="18"/>
      <c r="S1007" s="84">
        <f>S1008</f>
        <v>0</v>
      </c>
      <c r="T1007" s="18">
        <f t="shared" si="281"/>
        <v>0</v>
      </c>
      <c r="U1007" s="84">
        <f>U1008</f>
        <v>415</v>
      </c>
      <c r="V1007" s="18">
        <f t="shared" si="278"/>
        <v>415</v>
      </c>
      <c r="W1007" s="84">
        <f>W1008</f>
        <v>-249</v>
      </c>
      <c r="X1007" s="18">
        <f t="shared" si="277"/>
        <v>166</v>
      </c>
    </row>
    <row r="1008" spans="1:27" x14ac:dyDescent="0.25">
      <c r="A1008" s="143" t="s">
        <v>54</v>
      </c>
      <c r="B1008" s="148" t="s">
        <v>1260</v>
      </c>
      <c r="C1008" s="142">
        <v>244</v>
      </c>
      <c r="D1008" s="19"/>
      <c r="E1008" s="19"/>
      <c r="F1008" s="18"/>
      <c r="G1008" s="64"/>
      <c r="H1008" s="18"/>
      <c r="I1008" s="85"/>
      <c r="J1008" s="18"/>
      <c r="K1008" s="100"/>
      <c r="L1008" s="18"/>
      <c r="M1008" s="120"/>
      <c r="N1008" s="18"/>
      <c r="O1008" s="100"/>
      <c r="P1008" s="18"/>
      <c r="Q1008" s="85"/>
      <c r="R1008" s="18"/>
      <c r="S1008" s="121"/>
      <c r="T1008" s="18">
        <f t="shared" si="281"/>
        <v>0</v>
      </c>
      <c r="U1008" s="44">
        <v>415</v>
      </c>
      <c r="V1008" s="18">
        <f t="shared" si="278"/>
        <v>415</v>
      </c>
      <c r="W1008" s="112">
        <v>-249</v>
      </c>
      <c r="X1008" s="18">
        <f t="shared" si="277"/>
        <v>166</v>
      </c>
      <c r="Z1008" s="43">
        <f>X1008+Y1008</f>
        <v>166</v>
      </c>
      <c r="AA1008" s="43"/>
    </row>
    <row r="1009" spans="1:27" x14ac:dyDescent="0.25">
      <c r="A1009" s="144" t="s">
        <v>1198</v>
      </c>
      <c r="B1009" s="147" t="s">
        <v>1261</v>
      </c>
      <c r="C1009" s="148"/>
      <c r="D1009" s="19"/>
      <c r="E1009" s="19"/>
      <c r="F1009" s="18"/>
      <c r="G1009" s="64"/>
      <c r="H1009" s="18"/>
      <c r="I1009" s="85"/>
      <c r="J1009" s="18"/>
      <c r="K1009" s="100"/>
      <c r="L1009" s="18"/>
      <c r="M1009" s="120"/>
      <c r="N1009" s="18"/>
      <c r="O1009" s="100"/>
      <c r="P1009" s="18"/>
      <c r="Q1009" s="85"/>
      <c r="R1009" s="18"/>
      <c r="S1009" s="84">
        <f>S1010</f>
        <v>0</v>
      </c>
      <c r="T1009" s="18">
        <f t="shared" si="281"/>
        <v>0</v>
      </c>
      <c r="U1009" s="84">
        <f>U1010</f>
        <v>440</v>
      </c>
      <c r="V1009" s="18">
        <f t="shared" si="278"/>
        <v>440</v>
      </c>
      <c r="W1009" s="84">
        <f>W1010</f>
        <v>-264</v>
      </c>
      <c r="X1009" s="18">
        <f t="shared" si="277"/>
        <v>176</v>
      </c>
    </row>
    <row r="1010" spans="1:27" x14ac:dyDescent="0.25">
      <c r="A1010" s="143" t="s">
        <v>54</v>
      </c>
      <c r="B1010" s="148" t="s">
        <v>1261</v>
      </c>
      <c r="C1010" s="142">
        <v>244</v>
      </c>
      <c r="D1010" s="19"/>
      <c r="E1010" s="19"/>
      <c r="F1010" s="18"/>
      <c r="G1010" s="64"/>
      <c r="H1010" s="18"/>
      <c r="I1010" s="85"/>
      <c r="J1010" s="18"/>
      <c r="K1010" s="100"/>
      <c r="L1010" s="18"/>
      <c r="M1010" s="120"/>
      <c r="N1010" s="18"/>
      <c r="O1010" s="100"/>
      <c r="P1010" s="18"/>
      <c r="Q1010" s="85"/>
      <c r="R1010" s="18"/>
      <c r="S1010" s="121"/>
      <c r="T1010" s="18">
        <f t="shared" si="281"/>
        <v>0</v>
      </c>
      <c r="U1010" s="44">
        <v>440</v>
      </c>
      <c r="V1010" s="18">
        <f t="shared" si="278"/>
        <v>440</v>
      </c>
      <c r="W1010" s="112">
        <v>-264</v>
      </c>
      <c r="X1010" s="18">
        <f t="shared" si="277"/>
        <v>176</v>
      </c>
      <c r="Z1010" s="43">
        <f>X1010+Y1010</f>
        <v>176</v>
      </c>
      <c r="AA1010" s="43"/>
    </row>
    <row r="1011" spans="1:27" x14ac:dyDescent="0.25">
      <c r="A1011" s="144" t="s">
        <v>1199</v>
      </c>
      <c r="B1011" s="147" t="s">
        <v>1262</v>
      </c>
      <c r="C1011" s="142"/>
      <c r="D1011" s="19"/>
      <c r="E1011" s="19"/>
      <c r="F1011" s="18"/>
      <c r="G1011" s="64"/>
      <c r="H1011" s="18"/>
      <c r="I1011" s="85"/>
      <c r="J1011" s="18"/>
      <c r="K1011" s="100"/>
      <c r="L1011" s="18"/>
      <c r="M1011" s="120"/>
      <c r="N1011" s="18"/>
      <c r="O1011" s="100"/>
      <c r="P1011" s="18"/>
      <c r="Q1011" s="85"/>
      <c r="R1011" s="18"/>
      <c r="S1011" s="84">
        <f t="shared" ref="S1011:W1011" si="284">S1012</f>
        <v>0</v>
      </c>
      <c r="T1011" s="18">
        <f t="shared" si="281"/>
        <v>0</v>
      </c>
      <c r="U1011" s="84">
        <f t="shared" si="284"/>
        <v>800</v>
      </c>
      <c r="V1011" s="18">
        <f t="shared" si="278"/>
        <v>800</v>
      </c>
      <c r="W1011" s="84">
        <f t="shared" si="284"/>
        <v>-480</v>
      </c>
      <c r="X1011" s="18">
        <f t="shared" si="277"/>
        <v>320</v>
      </c>
    </row>
    <row r="1012" spans="1:27" x14ac:dyDescent="0.25">
      <c r="A1012" s="143" t="s">
        <v>54</v>
      </c>
      <c r="B1012" s="148" t="s">
        <v>1262</v>
      </c>
      <c r="C1012" s="142">
        <v>244</v>
      </c>
      <c r="D1012" s="19"/>
      <c r="E1012" s="19"/>
      <c r="F1012" s="18"/>
      <c r="G1012" s="64"/>
      <c r="H1012" s="18"/>
      <c r="I1012" s="85"/>
      <c r="J1012" s="18"/>
      <c r="K1012" s="100"/>
      <c r="L1012" s="18"/>
      <c r="M1012" s="120"/>
      <c r="N1012" s="18"/>
      <c r="O1012" s="100"/>
      <c r="P1012" s="18"/>
      <c r="Q1012" s="85"/>
      <c r="R1012" s="18"/>
      <c r="S1012" s="121"/>
      <c r="T1012" s="18">
        <f t="shared" si="281"/>
        <v>0</v>
      </c>
      <c r="U1012" s="44">
        <v>800</v>
      </c>
      <c r="V1012" s="18">
        <f t="shared" si="278"/>
        <v>800</v>
      </c>
      <c r="W1012" s="112">
        <v>-480</v>
      </c>
      <c r="X1012" s="18">
        <f t="shared" si="277"/>
        <v>320</v>
      </c>
      <c r="Z1012" s="43">
        <f>X1012+Y1012</f>
        <v>320</v>
      </c>
      <c r="AA1012" s="43"/>
    </row>
    <row r="1013" spans="1:27" ht="36" x14ac:dyDescent="0.25">
      <c r="A1013" s="144" t="s">
        <v>1200</v>
      </c>
      <c r="B1013" s="147" t="s">
        <v>1263</v>
      </c>
      <c r="C1013" s="142"/>
      <c r="D1013" s="19"/>
      <c r="E1013" s="19"/>
      <c r="F1013" s="18"/>
      <c r="G1013" s="64"/>
      <c r="H1013" s="18"/>
      <c r="I1013" s="85"/>
      <c r="J1013" s="18"/>
      <c r="K1013" s="100"/>
      <c r="L1013" s="18"/>
      <c r="M1013" s="120"/>
      <c r="N1013" s="18"/>
      <c r="O1013" s="100"/>
      <c r="P1013" s="18"/>
      <c r="Q1013" s="85"/>
      <c r="R1013" s="18"/>
      <c r="S1013" s="84">
        <f>S1014</f>
        <v>0</v>
      </c>
      <c r="T1013" s="18">
        <f t="shared" si="281"/>
        <v>0</v>
      </c>
      <c r="U1013" s="84">
        <f>U1014</f>
        <v>2869.5</v>
      </c>
      <c r="V1013" s="18">
        <f t="shared" ref="V1013:V1085" si="285">T1013+U1013</f>
        <v>2869.5</v>
      </c>
      <c r="W1013" s="84">
        <f>W1014</f>
        <v>-1721.7</v>
      </c>
      <c r="X1013" s="18">
        <f t="shared" si="277"/>
        <v>1147.8</v>
      </c>
    </row>
    <row r="1014" spans="1:27" x14ac:dyDescent="0.25">
      <c r="A1014" s="143" t="s">
        <v>54</v>
      </c>
      <c r="B1014" s="148" t="s">
        <v>1263</v>
      </c>
      <c r="C1014" s="142">
        <v>244</v>
      </c>
      <c r="D1014" s="19"/>
      <c r="E1014" s="19"/>
      <c r="F1014" s="18"/>
      <c r="G1014" s="64"/>
      <c r="H1014" s="18"/>
      <c r="I1014" s="85"/>
      <c r="J1014" s="18"/>
      <c r="K1014" s="100"/>
      <c r="L1014" s="18"/>
      <c r="M1014" s="120"/>
      <c r="N1014" s="18"/>
      <c r="O1014" s="100"/>
      <c r="P1014" s="18"/>
      <c r="Q1014" s="85"/>
      <c r="R1014" s="18"/>
      <c r="S1014" s="121"/>
      <c r="T1014" s="18">
        <f t="shared" si="281"/>
        <v>0</v>
      </c>
      <c r="U1014" s="44">
        <v>2869.5</v>
      </c>
      <c r="V1014" s="18">
        <f t="shared" si="285"/>
        <v>2869.5</v>
      </c>
      <c r="W1014" s="112">
        <v>-1721.7</v>
      </c>
      <c r="X1014" s="18">
        <f t="shared" si="277"/>
        <v>1147.8</v>
      </c>
      <c r="Z1014" s="43">
        <f>X1014+Y1014</f>
        <v>1147.8</v>
      </c>
      <c r="AA1014" s="43"/>
    </row>
    <row r="1015" spans="1:27" ht="24" x14ac:dyDescent="0.25">
      <c r="A1015" s="144" t="s">
        <v>1201</v>
      </c>
      <c r="B1015" s="147" t="s">
        <v>1264</v>
      </c>
      <c r="C1015" s="146"/>
      <c r="D1015" s="19"/>
      <c r="E1015" s="19"/>
      <c r="F1015" s="18"/>
      <c r="G1015" s="64"/>
      <c r="H1015" s="18"/>
      <c r="I1015" s="85"/>
      <c r="J1015" s="18"/>
      <c r="K1015" s="100"/>
      <c r="L1015" s="18"/>
      <c r="M1015" s="120"/>
      <c r="N1015" s="18"/>
      <c r="O1015" s="100"/>
      <c r="P1015" s="18"/>
      <c r="Q1015" s="85"/>
      <c r="R1015" s="18"/>
      <c r="S1015" s="84">
        <f>S1016</f>
        <v>0</v>
      </c>
      <c r="T1015" s="18">
        <f t="shared" si="281"/>
        <v>0</v>
      </c>
      <c r="U1015" s="84">
        <f>U1016</f>
        <v>435</v>
      </c>
      <c r="V1015" s="18">
        <f t="shared" si="285"/>
        <v>435</v>
      </c>
      <c r="W1015" s="84">
        <f>W1016</f>
        <v>-261</v>
      </c>
      <c r="X1015" s="18">
        <f t="shared" si="277"/>
        <v>174</v>
      </c>
    </row>
    <row r="1016" spans="1:27" x14ac:dyDescent="0.25">
      <c r="A1016" s="143" t="s">
        <v>54</v>
      </c>
      <c r="B1016" s="148" t="s">
        <v>1264</v>
      </c>
      <c r="C1016" s="142">
        <v>244</v>
      </c>
      <c r="D1016" s="19"/>
      <c r="E1016" s="19"/>
      <c r="F1016" s="18"/>
      <c r="G1016" s="64"/>
      <c r="H1016" s="18"/>
      <c r="I1016" s="85"/>
      <c r="J1016" s="18"/>
      <c r="K1016" s="100"/>
      <c r="L1016" s="18"/>
      <c r="M1016" s="120"/>
      <c r="N1016" s="18"/>
      <c r="O1016" s="100"/>
      <c r="P1016" s="18"/>
      <c r="Q1016" s="85"/>
      <c r="R1016" s="18"/>
      <c r="S1016" s="121"/>
      <c r="T1016" s="18">
        <f t="shared" si="281"/>
        <v>0</v>
      </c>
      <c r="U1016" s="44">
        <v>435</v>
      </c>
      <c r="V1016" s="18">
        <f t="shared" si="285"/>
        <v>435</v>
      </c>
      <c r="W1016" s="112">
        <v>-261</v>
      </c>
      <c r="X1016" s="18">
        <f t="shared" si="277"/>
        <v>174</v>
      </c>
      <c r="Z1016" s="43">
        <f>X1016+Y1016</f>
        <v>174</v>
      </c>
      <c r="AA1016" s="43"/>
    </row>
    <row r="1017" spans="1:27" x14ac:dyDescent="0.25">
      <c r="A1017" s="144" t="s">
        <v>1202</v>
      </c>
      <c r="B1017" s="147" t="s">
        <v>1265</v>
      </c>
      <c r="C1017" s="146"/>
      <c r="D1017" s="19"/>
      <c r="E1017" s="19"/>
      <c r="F1017" s="18"/>
      <c r="G1017" s="64"/>
      <c r="H1017" s="18"/>
      <c r="I1017" s="85"/>
      <c r="J1017" s="18"/>
      <c r="K1017" s="100"/>
      <c r="L1017" s="18"/>
      <c r="M1017" s="120"/>
      <c r="N1017" s="18"/>
      <c r="O1017" s="100"/>
      <c r="P1017" s="18"/>
      <c r="Q1017" s="85"/>
      <c r="R1017" s="18"/>
      <c r="S1017" s="84">
        <f>S1018</f>
        <v>0</v>
      </c>
      <c r="T1017" s="18">
        <f t="shared" si="281"/>
        <v>0</v>
      </c>
      <c r="U1017" s="84">
        <f>U1018</f>
        <v>200</v>
      </c>
      <c r="V1017" s="18">
        <f t="shared" si="285"/>
        <v>200</v>
      </c>
      <c r="W1017" s="84">
        <f>W1018</f>
        <v>-120</v>
      </c>
      <c r="X1017" s="18">
        <f t="shared" si="277"/>
        <v>80</v>
      </c>
    </row>
    <row r="1018" spans="1:27" x14ac:dyDescent="0.25">
      <c r="A1018" s="143" t="s">
        <v>54</v>
      </c>
      <c r="B1018" s="148" t="s">
        <v>1265</v>
      </c>
      <c r="C1018" s="142">
        <v>244</v>
      </c>
      <c r="D1018" s="19"/>
      <c r="E1018" s="19"/>
      <c r="F1018" s="18"/>
      <c r="G1018" s="64"/>
      <c r="H1018" s="18"/>
      <c r="I1018" s="85"/>
      <c r="J1018" s="18"/>
      <c r="K1018" s="100"/>
      <c r="L1018" s="18"/>
      <c r="M1018" s="120"/>
      <c r="N1018" s="18"/>
      <c r="O1018" s="100"/>
      <c r="P1018" s="18"/>
      <c r="Q1018" s="85"/>
      <c r="R1018" s="18"/>
      <c r="S1018" s="121"/>
      <c r="T1018" s="18">
        <f t="shared" si="281"/>
        <v>0</v>
      </c>
      <c r="U1018" s="44">
        <v>200</v>
      </c>
      <c r="V1018" s="18">
        <f t="shared" si="285"/>
        <v>200</v>
      </c>
      <c r="W1018" s="112">
        <v>-120</v>
      </c>
      <c r="X1018" s="18">
        <f t="shared" si="277"/>
        <v>80</v>
      </c>
      <c r="Z1018" s="43">
        <f>X1018+Y1018</f>
        <v>80</v>
      </c>
      <c r="AA1018" s="43"/>
    </row>
    <row r="1019" spans="1:27" x14ac:dyDescent="0.25">
      <c r="A1019" s="144" t="s">
        <v>1203</v>
      </c>
      <c r="B1019" s="147" t="s">
        <v>1266</v>
      </c>
      <c r="C1019" s="142"/>
      <c r="D1019" s="19"/>
      <c r="E1019" s="19"/>
      <c r="F1019" s="18"/>
      <c r="G1019" s="64"/>
      <c r="H1019" s="18"/>
      <c r="I1019" s="85"/>
      <c r="J1019" s="18"/>
      <c r="K1019" s="100"/>
      <c r="L1019" s="18"/>
      <c r="M1019" s="120"/>
      <c r="N1019" s="18"/>
      <c r="O1019" s="100"/>
      <c r="P1019" s="18"/>
      <c r="Q1019" s="85"/>
      <c r="R1019" s="18"/>
      <c r="S1019" s="84">
        <f>S1020</f>
        <v>0</v>
      </c>
      <c r="T1019" s="18">
        <f t="shared" si="281"/>
        <v>0</v>
      </c>
      <c r="U1019" s="84">
        <f>U1020</f>
        <v>2280</v>
      </c>
      <c r="V1019" s="18">
        <f t="shared" si="285"/>
        <v>2280</v>
      </c>
      <c r="W1019" s="84">
        <f>W1020</f>
        <v>-1368</v>
      </c>
      <c r="X1019" s="18">
        <f t="shared" si="277"/>
        <v>912</v>
      </c>
    </row>
    <row r="1020" spans="1:27" x14ac:dyDescent="0.25">
      <c r="A1020" s="143" t="s">
        <v>54</v>
      </c>
      <c r="B1020" s="148" t="s">
        <v>1266</v>
      </c>
      <c r="C1020" s="142">
        <v>244</v>
      </c>
      <c r="D1020" s="19"/>
      <c r="E1020" s="19"/>
      <c r="F1020" s="18"/>
      <c r="G1020" s="64"/>
      <c r="H1020" s="18"/>
      <c r="I1020" s="85"/>
      <c r="J1020" s="18"/>
      <c r="K1020" s="100"/>
      <c r="L1020" s="18"/>
      <c r="M1020" s="120"/>
      <c r="N1020" s="18"/>
      <c r="O1020" s="100"/>
      <c r="P1020" s="18"/>
      <c r="Q1020" s="85"/>
      <c r="R1020" s="18"/>
      <c r="S1020" s="121"/>
      <c r="T1020" s="18">
        <f t="shared" si="281"/>
        <v>0</v>
      </c>
      <c r="U1020" s="44">
        <v>2280</v>
      </c>
      <c r="V1020" s="18">
        <f t="shared" si="285"/>
        <v>2280</v>
      </c>
      <c r="W1020" s="112">
        <v>-1368</v>
      </c>
      <c r="X1020" s="18">
        <f t="shared" si="277"/>
        <v>912</v>
      </c>
      <c r="Z1020" s="43">
        <f>X1020+Y1020</f>
        <v>912</v>
      </c>
      <c r="AA1020" s="43"/>
    </row>
    <row r="1021" spans="1:27" x14ac:dyDescent="0.25">
      <c r="A1021" s="144" t="s">
        <v>1204</v>
      </c>
      <c r="B1021" s="147" t="s">
        <v>1267</v>
      </c>
      <c r="C1021" s="142"/>
      <c r="D1021" s="19"/>
      <c r="E1021" s="19"/>
      <c r="F1021" s="18"/>
      <c r="G1021" s="64"/>
      <c r="H1021" s="18"/>
      <c r="I1021" s="85"/>
      <c r="J1021" s="18"/>
      <c r="K1021" s="100"/>
      <c r="L1021" s="18"/>
      <c r="M1021" s="120"/>
      <c r="N1021" s="18"/>
      <c r="O1021" s="100"/>
      <c r="P1021" s="18"/>
      <c r="Q1021" s="85"/>
      <c r="R1021" s="18"/>
      <c r="S1021" s="84">
        <f>S1022</f>
        <v>0</v>
      </c>
      <c r="T1021" s="18">
        <f t="shared" si="281"/>
        <v>0</v>
      </c>
      <c r="U1021" s="84">
        <f>U1022</f>
        <v>3000</v>
      </c>
      <c r="V1021" s="18">
        <f t="shared" si="285"/>
        <v>3000</v>
      </c>
      <c r="W1021" s="84">
        <f>W1022</f>
        <v>-1800</v>
      </c>
      <c r="X1021" s="18">
        <f t="shared" si="277"/>
        <v>1200</v>
      </c>
    </row>
    <row r="1022" spans="1:27" x14ac:dyDescent="0.25">
      <c r="A1022" s="143" t="s">
        <v>54</v>
      </c>
      <c r="B1022" s="148" t="s">
        <v>1267</v>
      </c>
      <c r="C1022" s="142">
        <v>244</v>
      </c>
      <c r="D1022" s="19"/>
      <c r="E1022" s="19"/>
      <c r="F1022" s="18"/>
      <c r="G1022" s="64"/>
      <c r="H1022" s="18"/>
      <c r="I1022" s="85"/>
      <c r="J1022" s="18"/>
      <c r="K1022" s="100"/>
      <c r="L1022" s="18"/>
      <c r="M1022" s="120"/>
      <c r="N1022" s="18"/>
      <c r="O1022" s="100"/>
      <c r="P1022" s="18"/>
      <c r="Q1022" s="85"/>
      <c r="R1022" s="18"/>
      <c r="S1022" s="121"/>
      <c r="T1022" s="18">
        <f t="shared" si="281"/>
        <v>0</v>
      </c>
      <c r="U1022" s="44">
        <v>3000</v>
      </c>
      <c r="V1022" s="18">
        <f t="shared" si="285"/>
        <v>3000</v>
      </c>
      <c r="W1022" s="112">
        <v>-1800</v>
      </c>
      <c r="X1022" s="18">
        <f t="shared" si="277"/>
        <v>1200</v>
      </c>
      <c r="Z1022" s="43">
        <f>X1022+Y1022</f>
        <v>1200</v>
      </c>
      <c r="AA1022" s="43"/>
    </row>
    <row r="1023" spans="1:27" x14ac:dyDescent="0.25">
      <c r="A1023" s="144" t="s">
        <v>1205</v>
      </c>
      <c r="B1023" s="147" t="s">
        <v>1268</v>
      </c>
      <c r="C1023" s="146"/>
      <c r="D1023" s="19"/>
      <c r="E1023" s="19"/>
      <c r="F1023" s="18"/>
      <c r="G1023" s="64"/>
      <c r="H1023" s="18"/>
      <c r="I1023" s="85"/>
      <c r="J1023" s="18"/>
      <c r="K1023" s="100"/>
      <c r="L1023" s="18"/>
      <c r="M1023" s="120"/>
      <c r="N1023" s="18"/>
      <c r="O1023" s="100"/>
      <c r="P1023" s="18"/>
      <c r="Q1023" s="85"/>
      <c r="R1023" s="18"/>
      <c r="S1023" s="84">
        <f>S1024</f>
        <v>0</v>
      </c>
      <c r="T1023" s="18">
        <f t="shared" si="281"/>
        <v>0</v>
      </c>
      <c r="U1023" s="84">
        <f>U1024</f>
        <v>200</v>
      </c>
      <c r="V1023" s="18">
        <f t="shared" si="285"/>
        <v>200</v>
      </c>
      <c r="W1023" s="84">
        <f>W1024</f>
        <v>-120</v>
      </c>
      <c r="X1023" s="18">
        <f t="shared" si="277"/>
        <v>80</v>
      </c>
    </row>
    <row r="1024" spans="1:27" x14ac:dyDescent="0.25">
      <c r="A1024" s="143" t="s">
        <v>54</v>
      </c>
      <c r="B1024" s="148" t="s">
        <v>1268</v>
      </c>
      <c r="C1024" s="142">
        <v>244</v>
      </c>
      <c r="D1024" s="19"/>
      <c r="E1024" s="19"/>
      <c r="F1024" s="18"/>
      <c r="G1024" s="64"/>
      <c r="H1024" s="18"/>
      <c r="I1024" s="85"/>
      <c r="J1024" s="18"/>
      <c r="K1024" s="100"/>
      <c r="L1024" s="18"/>
      <c r="M1024" s="120"/>
      <c r="N1024" s="18"/>
      <c r="O1024" s="100"/>
      <c r="P1024" s="18"/>
      <c r="Q1024" s="85"/>
      <c r="R1024" s="18"/>
      <c r="S1024" s="121"/>
      <c r="T1024" s="18">
        <f t="shared" si="281"/>
        <v>0</v>
      </c>
      <c r="U1024" s="44">
        <v>200</v>
      </c>
      <c r="V1024" s="18">
        <f t="shared" si="285"/>
        <v>200</v>
      </c>
      <c r="W1024" s="112">
        <v>-120</v>
      </c>
      <c r="X1024" s="18">
        <f t="shared" si="277"/>
        <v>80</v>
      </c>
      <c r="Z1024" s="43">
        <f>X1024+Y1024</f>
        <v>80</v>
      </c>
      <c r="AA1024" s="43"/>
    </row>
    <row r="1025" spans="1:27" x14ac:dyDescent="0.25">
      <c r="A1025" s="144" t="s">
        <v>1206</v>
      </c>
      <c r="B1025" s="147" t="s">
        <v>1269</v>
      </c>
      <c r="C1025" s="148"/>
      <c r="D1025" s="19"/>
      <c r="E1025" s="19"/>
      <c r="F1025" s="18"/>
      <c r="G1025" s="64"/>
      <c r="H1025" s="18"/>
      <c r="I1025" s="85"/>
      <c r="J1025" s="18"/>
      <c r="K1025" s="100"/>
      <c r="L1025" s="18"/>
      <c r="M1025" s="120"/>
      <c r="N1025" s="18"/>
      <c r="O1025" s="100"/>
      <c r="P1025" s="18"/>
      <c r="Q1025" s="85"/>
      <c r="R1025" s="18"/>
      <c r="S1025" s="84">
        <f t="shared" ref="S1025:W1025" si="286">S1026</f>
        <v>0</v>
      </c>
      <c r="T1025" s="18">
        <f t="shared" si="281"/>
        <v>0</v>
      </c>
      <c r="U1025" s="84">
        <f t="shared" si="286"/>
        <v>3000</v>
      </c>
      <c r="V1025" s="18">
        <f t="shared" si="285"/>
        <v>3000</v>
      </c>
      <c r="W1025" s="84">
        <f t="shared" si="286"/>
        <v>-1800</v>
      </c>
      <c r="X1025" s="18">
        <f t="shared" si="277"/>
        <v>1200</v>
      </c>
    </row>
    <row r="1026" spans="1:27" x14ac:dyDescent="0.25">
      <c r="A1026" s="143" t="s">
        <v>54</v>
      </c>
      <c r="B1026" s="148" t="s">
        <v>1269</v>
      </c>
      <c r="C1026" s="142">
        <v>244</v>
      </c>
      <c r="D1026" s="19"/>
      <c r="E1026" s="19"/>
      <c r="F1026" s="18"/>
      <c r="G1026" s="64"/>
      <c r="H1026" s="18"/>
      <c r="I1026" s="85"/>
      <c r="J1026" s="18"/>
      <c r="K1026" s="100"/>
      <c r="L1026" s="18"/>
      <c r="M1026" s="120"/>
      <c r="N1026" s="18"/>
      <c r="O1026" s="100"/>
      <c r="P1026" s="18"/>
      <c r="Q1026" s="85"/>
      <c r="R1026" s="18"/>
      <c r="S1026" s="121"/>
      <c r="T1026" s="18">
        <f t="shared" si="281"/>
        <v>0</v>
      </c>
      <c r="U1026" s="44">
        <v>3000</v>
      </c>
      <c r="V1026" s="18">
        <f t="shared" si="285"/>
        <v>3000</v>
      </c>
      <c r="W1026" s="112">
        <v>-1800</v>
      </c>
      <c r="X1026" s="18">
        <f t="shared" si="277"/>
        <v>1200</v>
      </c>
      <c r="Z1026" s="43">
        <f>X1026+Y1026</f>
        <v>1200</v>
      </c>
      <c r="AA1026" s="43"/>
    </row>
    <row r="1027" spans="1:27" x14ac:dyDescent="0.25">
      <c r="A1027" s="144" t="s">
        <v>1207</v>
      </c>
      <c r="B1027" s="147" t="s">
        <v>1270</v>
      </c>
      <c r="C1027" s="142"/>
      <c r="D1027" s="19"/>
      <c r="E1027" s="19"/>
      <c r="F1027" s="18"/>
      <c r="G1027" s="64"/>
      <c r="H1027" s="18"/>
      <c r="I1027" s="85"/>
      <c r="J1027" s="18"/>
      <c r="K1027" s="100"/>
      <c r="L1027" s="18"/>
      <c r="M1027" s="120"/>
      <c r="N1027" s="18"/>
      <c r="O1027" s="100"/>
      <c r="P1027" s="18"/>
      <c r="Q1027" s="85"/>
      <c r="R1027" s="18"/>
      <c r="S1027" s="84">
        <f>S1028</f>
        <v>0</v>
      </c>
      <c r="T1027" s="18">
        <f t="shared" si="281"/>
        <v>0</v>
      </c>
      <c r="U1027" s="84">
        <f>U1028</f>
        <v>3000</v>
      </c>
      <c r="V1027" s="18">
        <f t="shared" si="285"/>
        <v>3000</v>
      </c>
      <c r="W1027" s="84">
        <f>W1028</f>
        <v>-1800</v>
      </c>
      <c r="X1027" s="18">
        <f t="shared" si="277"/>
        <v>1200</v>
      </c>
    </row>
    <row r="1028" spans="1:27" x14ac:dyDescent="0.25">
      <c r="A1028" s="143" t="s">
        <v>54</v>
      </c>
      <c r="B1028" s="148" t="s">
        <v>1270</v>
      </c>
      <c r="C1028" s="142">
        <v>244</v>
      </c>
      <c r="D1028" s="19"/>
      <c r="E1028" s="19"/>
      <c r="F1028" s="18"/>
      <c r="G1028" s="64"/>
      <c r="H1028" s="18"/>
      <c r="I1028" s="85"/>
      <c r="J1028" s="18"/>
      <c r="K1028" s="100"/>
      <c r="L1028" s="18"/>
      <c r="M1028" s="120"/>
      <c r="N1028" s="18"/>
      <c r="O1028" s="100"/>
      <c r="P1028" s="18"/>
      <c r="Q1028" s="85"/>
      <c r="R1028" s="18"/>
      <c r="S1028" s="121"/>
      <c r="T1028" s="18">
        <f t="shared" si="281"/>
        <v>0</v>
      </c>
      <c r="U1028" s="44">
        <v>3000</v>
      </c>
      <c r="V1028" s="18">
        <f t="shared" si="285"/>
        <v>3000</v>
      </c>
      <c r="W1028" s="112">
        <v>-1800</v>
      </c>
      <c r="X1028" s="18">
        <f t="shared" si="277"/>
        <v>1200</v>
      </c>
      <c r="Z1028" s="43">
        <f>X1028+Y1028</f>
        <v>1200</v>
      </c>
      <c r="AA1028" s="43"/>
    </row>
    <row r="1029" spans="1:27" x14ac:dyDescent="0.25">
      <c r="A1029" s="144" t="s">
        <v>1208</v>
      </c>
      <c r="B1029" s="147" t="s">
        <v>1271</v>
      </c>
      <c r="C1029" s="142"/>
      <c r="D1029" s="19"/>
      <c r="E1029" s="19"/>
      <c r="F1029" s="18"/>
      <c r="G1029" s="64"/>
      <c r="H1029" s="18"/>
      <c r="I1029" s="85"/>
      <c r="J1029" s="18"/>
      <c r="K1029" s="100"/>
      <c r="L1029" s="18"/>
      <c r="M1029" s="120"/>
      <c r="N1029" s="18"/>
      <c r="O1029" s="100"/>
      <c r="P1029" s="18"/>
      <c r="Q1029" s="85"/>
      <c r="R1029" s="18"/>
      <c r="S1029" s="84">
        <f>S1030</f>
        <v>0</v>
      </c>
      <c r="T1029" s="18">
        <f t="shared" si="281"/>
        <v>0</v>
      </c>
      <c r="U1029" s="84">
        <f>U1030</f>
        <v>285</v>
      </c>
      <c r="V1029" s="18">
        <f t="shared" si="285"/>
        <v>285</v>
      </c>
      <c r="W1029" s="84">
        <f>W1030</f>
        <v>-171</v>
      </c>
      <c r="X1029" s="18">
        <f t="shared" si="277"/>
        <v>114</v>
      </c>
    </row>
    <row r="1030" spans="1:27" x14ac:dyDescent="0.25">
      <c r="A1030" s="143" t="s">
        <v>54</v>
      </c>
      <c r="B1030" s="148" t="s">
        <v>1271</v>
      </c>
      <c r="C1030" s="142">
        <v>244</v>
      </c>
      <c r="D1030" s="19"/>
      <c r="E1030" s="19"/>
      <c r="F1030" s="18"/>
      <c r="G1030" s="64"/>
      <c r="H1030" s="18"/>
      <c r="I1030" s="85"/>
      <c r="J1030" s="18"/>
      <c r="K1030" s="100"/>
      <c r="L1030" s="18"/>
      <c r="M1030" s="120"/>
      <c r="N1030" s="18"/>
      <c r="O1030" s="100"/>
      <c r="P1030" s="18"/>
      <c r="Q1030" s="85"/>
      <c r="R1030" s="18"/>
      <c r="S1030" s="121"/>
      <c r="T1030" s="18">
        <f t="shared" si="281"/>
        <v>0</v>
      </c>
      <c r="U1030" s="44">
        <v>285</v>
      </c>
      <c r="V1030" s="18">
        <f t="shared" si="285"/>
        <v>285</v>
      </c>
      <c r="W1030" s="112">
        <v>-171</v>
      </c>
      <c r="X1030" s="18">
        <f t="shared" si="277"/>
        <v>114</v>
      </c>
      <c r="Z1030" s="43">
        <f>X1030+Y1030</f>
        <v>114</v>
      </c>
      <c r="AA1030" s="43"/>
    </row>
    <row r="1031" spans="1:27" x14ac:dyDescent="0.25">
      <c r="A1031" s="144" t="s">
        <v>1209</v>
      </c>
      <c r="B1031" s="147" t="s">
        <v>1272</v>
      </c>
      <c r="C1031" s="146"/>
      <c r="D1031" s="19"/>
      <c r="E1031" s="19"/>
      <c r="F1031" s="18"/>
      <c r="G1031" s="64"/>
      <c r="H1031" s="18"/>
      <c r="I1031" s="85"/>
      <c r="J1031" s="18"/>
      <c r="K1031" s="100"/>
      <c r="L1031" s="18"/>
      <c r="M1031" s="120"/>
      <c r="N1031" s="18"/>
      <c r="O1031" s="100"/>
      <c r="P1031" s="18"/>
      <c r="Q1031" s="85"/>
      <c r="R1031" s="18"/>
      <c r="S1031" s="84">
        <f>S1032</f>
        <v>0</v>
      </c>
      <c r="T1031" s="18">
        <f t="shared" si="281"/>
        <v>0</v>
      </c>
      <c r="U1031" s="84">
        <f>U1032</f>
        <v>1613.3</v>
      </c>
      <c r="V1031" s="18">
        <f t="shared" si="285"/>
        <v>1613.3</v>
      </c>
      <c r="W1031" s="84">
        <f>W1032</f>
        <v>-968</v>
      </c>
      <c r="X1031" s="18">
        <f t="shared" si="277"/>
        <v>645.29999999999995</v>
      </c>
    </row>
    <row r="1032" spans="1:27" x14ac:dyDescent="0.25">
      <c r="A1032" s="143" t="s">
        <v>54</v>
      </c>
      <c r="B1032" s="148" t="s">
        <v>1272</v>
      </c>
      <c r="C1032" s="142">
        <v>244</v>
      </c>
      <c r="D1032" s="19"/>
      <c r="E1032" s="19"/>
      <c r="F1032" s="18"/>
      <c r="G1032" s="64"/>
      <c r="H1032" s="18"/>
      <c r="I1032" s="85"/>
      <c r="J1032" s="18"/>
      <c r="K1032" s="100"/>
      <c r="L1032" s="18"/>
      <c r="M1032" s="120"/>
      <c r="N1032" s="18"/>
      <c r="O1032" s="100"/>
      <c r="P1032" s="18"/>
      <c r="Q1032" s="85"/>
      <c r="R1032" s="18"/>
      <c r="S1032" s="121"/>
      <c r="T1032" s="18">
        <f t="shared" si="281"/>
        <v>0</v>
      </c>
      <c r="U1032" s="44">
        <v>1613.3</v>
      </c>
      <c r="V1032" s="18">
        <f t="shared" si="285"/>
        <v>1613.3</v>
      </c>
      <c r="W1032" s="112">
        <v>-968</v>
      </c>
      <c r="X1032" s="18">
        <f t="shared" si="277"/>
        <v>645.29999999999995</v>
      </c>
      <c r="Z1032" s="43">
        <f>X1032+Y1032</f>
        <v>645.29999999999995</v>
      </c>
      <c r="AA1032" s="43"/>
    </row>
    <row r="1033" spans="1:27" x14ac:dyDescent="0.25">
      <c r="A1033" s="144" t="s">
        <v>1210</v>
      </c>
      <c r="B1033" s="147" t="s">
        <v>1273</v>
      </c>
      <c r="C1033" s="146"/>
      <c r="D1033" s="19"/>
      <c r="E1033" s="19"/>
      <c r="F1033" s="18"/>
      <c r="G1033" s="64"/>
      <c r="H1033" s="18"/>
      <c r="I1033" s="85"/>
      <c r="J1033" s="18"/>
      <c r="K1033" s="100"/>
      <c r="L1033" s="18"/>
      <c r="M1033" s="120"/>
      <c r="N1033" s="18"/>
      <c r="O1033" s="100"/>
      <c r="P1033" s="18"/>
      <c r="Q1033" s="85"/>
      <c r="R1033" s="18"/>
      <c r="S1033" s="84">
        <f>S1034</f>
        <v>0</v>
      </c>
      <c r="T1033" s="18">
        <f t="shared" si="281"/>
        <v>0</v>
      </c>
      <c r="U1033" s="84">
        <f>U1034</f>
        <v>300</v>
      </c>
      <c r="V1033" s="18">
        <f t="shared" si="285"/>
        <v>300</v>
      </c>
      <c r="W1033" s="84">
        <f>W1034</f>
        <v>-180</v>
      </c>
      <c r="X1033" s="18">
        <f t="shared" si="277"/>
        <v>120</v>
      </c>
    </row>
    <row r="1034" spans="1:27" x14ac:dyDescent="0.25">
      <c r="A1034" s="143" t="s">
        <v>54</v>
      </c>
      <c r="B1034" s="148" t="s">
        <v>1273</v>
      </c>
      <c r="C1034" s="142">
        <v>244</v>
      </c>
      <c r="D1034" s="19"/>
      <c r="E1034" s="19"/>
      <c r="F1034" s="18"/>
      <c r="G1034" s="64"/>
      <c r="H1034" s="18"/>
      <c r="I1034" s="85"/>
      <c r="J1034" s="18"/>
      <c r="K1034" s="100"/>
      <c r="L1034" s="18"/>
      <c r="M1034" s="120"/>
      <c r="N1034" s="18"/>
      <c r="O1034" s="100"/>
      <c r="P1034" s="18"/>
      <c r="Q1034" s="85"/>
      <c r="R1034" s="18"/>
      <c r="S1034" s="121"/>
      <c r="T1034" s="18">
        <f t="shared" si="281"/>
        <v>0</v>
      </c>
      <c r="U1034" s="44">
        <v>300</v>
      </c>
      <c r="V1034" s="18">
        <f t="shared" si="285"/>
        <v>300</v>
      </c>
      <c r="W1034" s="112">
        <v>-180</v>
      </c>
      <c r="X1034" s="18">
        <f t="shared" si="277"/>
        <v>120</v>
      </c>
      <c r="Z1034" s="43">
        <f>X1034+Y1034</f>
        <v>120</v>
      </c>
      <c r="AA1034" s="43"/>
    </row>
    <row r="1035" spans="1:27" ht="24" x14ac:dyDescent="0.25">
      <c r="A1035" s="140" t="s">
        <v>1211</v>
      </c>
      <c r="B1035" s="147" t="s">
        <v>1274</v>
      </c>
      <c r="C1035" s="142"/>
      <c r="D1035" s="19"/>
      <c r="E1035" s="19"/>
      <c r="F1035" s="18"/>
      <c r="G1035" s="64"/>
      <c r="H1035" s="18"/>
      <c r="I1035" s="85"/>
      <c r="J1035" s="18"/>
      <c r="K1035" s="100"/>
      <c r="L1035" s="18"/>
      <c r="M1035" s="120"/>
      <c r="N1035" s="18"/>
      <c r="O1035" s="100"/>
      <c r="P1035" s="18"/>
      <c r="Q1035" s="85"/>
      <c r="R1035" s="18"/>
      <c r="S1035" s="84">
        <f>S1036</f>
        <v>0</v>
      </c>
      <c r="T1035" s="18">
        <f t="shared" si="281"/>
        <v>0</v>
      </c>
      <c r="U1035" s="84">
        <f>U1036</f>
        <v>500</v>
      </c>
      <c r="V1035" s="18">
        <f t="shared" si="285"/>
        <v>500</v>
      </c>
      <c r="W1035" s="84">
        <f>W1036</f>
        <v>-300</v>
      </c>
      <c r="X1035" s="18">
        <f t="shared" si="277"/>
        <v>200</v>
      </c>
    </row>
    <row r="1036" spans="1:27" x14ac:dyDescent="0.25">
      <c r="A1036" s="143" t="s">
        <v>54</v>
      </c>
      <c r="B1036" s="148" t="s">
        <v>1274</v>
      </c>
      <c r="C1036" s="142">
        <v>244</v>
      </c>
      <c r="D1036" s="19"/>
      <c r="E1036" s="19"/>
      <c r="F1036" s="18"/>
      <c r="G1036" s="64"/>
      <c r="H1036" s="18"/>
      <c r="I1036" s="85"/>
      <c r="J1036" s="18"/>
      <c r="K1036" s="100"/>
      <c r="L1036" s="18"/>
      <c r="M1036" s="120"/>
      <c r="N1036" s="18"/>
      <c r="O1036" s="100"/>
      <c r="P1036" s="18"/>
      <c r="Q1036" s="85"/>
      <c r="R1036" s="18"/>
      <c r="S1036" s="121"/>
      <c r="T1036" s="18">
        <f t="shared" si="281"/>
        <v>0</v>
      </c>
      <c r="U1036" s="44">
        <v>500</v>
      </c>
      <c r="V1036" s="18">
        <f t="shared" si="285"/>
        <v>500</v>
      </c>
      <c r="W1036" s="112">
        <v>-300</v>
      </c>
      <c r="X1036" s="18">
        <f t="shared" si="277"/>
        <v>200</v>
      </c>
      <c r="Z1036" s="43">
        <f>X1036+Y1036</f>
        <v>200</v>
      </c>
      <c r="AA1036" s="43"/>
    </row>
    <row r="1037" spans="1:27" x14ac:dyDescent="0.25">
      <c r="A1037" s="140" t="s">
        <v>1212</v>
      </c>
      <c r="B1037" s="147" t="s">
        <v>1275</v>
      </c>
      <c r="C1037" s="142"/>
      <c r="D1037" s="19"/>
      <c r="E1037" s="19"/>
      <c r="F1037" s="18"/>
      <c r="G1037" s="64"/>
      <c r="H1037" s="18"/>
      <c r="I1037" s="85"/>
      <c r="J1037" s="18"/>
      <c r="K1037" s="100"/>
      <c r="L1037" s="18"/>
      <c r="M1037" s="120"/>
      <c r="N1037" s="18"/>
      <c r="O1037" s="100"/>
      <c r="P1037" s="18"/>
      <c r="Q1037" s="85"/>
      <c r="R1037" s="18"/>
      <c r="S1037" s="84">
        <f>S1038</f>
        <v>0</v>
      </c>
      <c r="T1037" s="18">
        <f t="shared" si="281"/>
        <v>0</v>
      </c>
      <c r="U1037" s="84">
        <f>U1038</f>
        <v>800</v>
      </c>
      <c r="V1037" s="18">
        <f t="shared" si="285"/>
        <v>800</v>
      </c>
      <c r="W1037" s="84">
        <f>W1038</f>
        <v>-480</v>
      </c>
      <c r="X1037" s="18">
        <f t="shared" si="277"/>
        <v>320</v>
      </c>
    </row>
    <row r="1038" spans="1:27" x14ac:dyDescent="0.25">
      <c r="A1038" s="143" t="s">
        <v>54</v>
      </c>
      <c r="B1038" s="148" t="s">
        <v>1275</v>
      </c>
      <c r="C1038" s="142">
        <v>244</v>
      </c>
      <c r="D1038" s="19"/>
      <c r="E1038" s="19"/>
      <c r="F1038" s="18"/>
      <c r="G1038" s="64"/>
      <c r="H1038" s="18"/>
      <c r="I1038" s="85"/>
      <c r="J1038" s="18"/>
      <c r="K1038" s="100"/>
      <c r="L1038" s="18"/>
      <c r="M1038" s="120"/>
      <c r="N1038" s="18"/>
      <c r="O1038" s="100"/>
      <c r="P1038" s="18"/>
      <c r="Q1038" s="85"/>
      <c r="R1038" s="18"/>
      <c r="S1038" s="121"/>
      <c r="T1038" s="18">
        <f t="shared" si="281"/>
        <v>0</v>
      </c>
      <c r="U1038" s="44">
        <v>800</v>
      </c>
      <c r="V1038" s="18">
        <f t="shared" si="285"/>
        <v>800</v>
      </c>
      <c r="W1038" s="112">
        <v>-480</v>
      </c>
      <c r="X1038" s="18">
        <f t="shared" si="277"/>
        <v>320</v>
      </c>
      <c r="Z1038" s="43">
        <f>X1038+Y1038</f>
        <v>320</v>
      </c>
      <c r="AA1038" s="43"/>
    </row>
    <row r="1039" spans="1:27" ht="24.75" x14ac:dyDescent="0.25">
      <c r="A1039" s="119" t="s">
        <v>785</v>
      </c>
      <c r="B1039" s="115" t="s">
        <v>786</v>
      </c>
      <c r="C1039" s="86"/>
      <c r="D1039" s="19"/>
      <c r="E1039" s="19"/>
      <c r="F1039" s="18"/>
      <c r="G1039" s="64"/>
      <c r="H1039" s="18"/>
      <c r="I1039" s="85"/>
      <c r="J1039" s="18"/>
      <c r="K1039" s="100"/>
      <c r="L1039" s="18"/>
      <c r="M1039" s="78">
        <f>M1040</f>
        <v>160</v>
      </c>
      <c r="N1039" s="18">
        <f t="shared" si="116"/>
        <v>160</v>
      </c>
      <c r="O1039" s="78">
        <f>O1040</f>
        <v>0</v>
      </c>
      <c r="P1039" s="18">
        <f t="shared" si="117"/>
        <v>160</v>
      </c>
      <c r="Q1039" s="78">
        <f>Q1040</f>
        <v>0</v>
      </c>
      <c r="R1039" s="18">
        <f t="shared" si="270"/>
        <v>160</v>
      </c>
      <c r="S1039" s="78">
        <f>S1040</f>
        <v>0</v>
      </c>
      <c r="T1039" s="18">
        <f t="shared" si="186"/>
        <v>160</v>
      </c>
      <c r="U1039" s="78">
        <f>U1040</f>
        <v>0</v>
      </c>
      <c r="V1039" s="18">
        <f t="shared" si="285"/>
        <v>160</v>
      </c>
      <c r="W1039" s="78">
        <f>W1040</f>
        <v>0</v>
      </c>
      <c r="X1039" s="18">
        <f t="shared" si="277"/>
        <v>160</v>
      </c>
    </row>
    <row r="1040" spans="1:27" x14ac:dyDescent="0.25">
      <c r="A1040" s="9" t="s">
        <v>511</v>
      </c>
      <c r="B1040" s="67" t="s">
        <v>786</v>
      </c>
      <c r="C1040" s="25" t="s">
        <v>66</v>
      </c>
      <c r="D1040" s="19"/>
      <c r="E1040" s="19"/>
      <c r="F1040" s="18"/>
      <c r="G1040" s="64"/>
      <c r="H1040" s="18"/>
      <c r="I1040" s="85"/>
      <c r="J1040" s="18"/>
      <c r="K1040" s="100"/>
      <c r="L1040" s="18"/>
      <c r="M1040" s="92">
        <v>160</v>
      </c>
      <c r="N1040" s="18">
        <f t="shared" si="116"/>
        <v>160</v>
      </c>
      <c r="O1040" s="77"/>
      <c r="P1040" s="18">
        <f t="shared" si="117"/>
        <v>160</v>
      </c>
      <c r="Q1040" s="77"/>
      <c r="R1040" s="18">
        <f t="shared" si="270"/>
        <v>160</v>
      </c>
      <c r="S1040" s="77"/>
      <c r="T1040" s="18">
        <f t="shared" si="186"/>
        <v>160</v>
      </c>
      <c r="U1040" s="77"/>
      <c r="V1040" s="18">
        <f t="shared" si="285"/>
        <v>160</v>
      </c>
      <c r="W1040" s="77"/>
      <c r="X1040" s="18">
        <f t="shared" si="277"/>
        <v>160</v>
      </c>
      <c r="Z1040" s="43">
        <f>X1040+Y1040</f>
        <v>160</v>
      </c>
      <c r="AA1040" s="43"/>
    </row>
    <row r="1041" spans="1:27" x14ac:dyDescent="0.25">
      <c r="A1041" s="16" t="s">
        <v>77</v>
      </c>
      <c r="B1041" s="22" t="s">
        <v>78</v>
      </c>
      <c r="C1041" s="22" t="s">
        <v>2</v>
      </c>
      <c r="D1041" s="17">
        <f>D1042+D1057</f>
        <v>16898.600000000002</v>
      </c>
      <c r="E1041" s="17">
        <f>E1042+E1057</f>
        <v>180</v>
      </c>
      <c r="F1041" s="17">
        <f t="shared" si="112"/>
        <v>17078.600000000002</v>
      </c>
      <c r="G1041" s="17">
        <f>G1042+G1057</f>
        <v>0</v>
      </c>
      <c r="H1041" s="17">
        <f t="shared" si="113"/>
        <v>17078.600000000002</v>
      </c>
      <c r="I1041" s="17">
        <f>I1042+I1057+I1077</f>
        <v>0</v>
      </c>
      <c r="J1041" s="17">
        <f t="shared" si="114"/>
        <v>17078.600000000002</v>
      </c>
      <c r="K1041" s="17">
        <f>K1042+K1057+K1077</f>
        <v>1027</v>
      </c>
      <c r="L1041" s="17">
        <f t="shared" si="115"/>
        <v>18105.600000000002</v>
      </c>
      <c r="M1041" s="17">
        <f>M1042+M1057+M1077</f>
        <v>0</v>
      </c>
      <c r="N1041" s="17">
        <f t="shared" si="116"/>
        <v>18105.600000000002</v>
      </c>
      <c r="O1041" s="17">
        <f>O1042+O1057+O1077</f>
        <v>1056.8</v>
      </c>
      <c r="P1041" s="17">
        <f t="shared" si="117"/>
        <v>19162.400000000001</v>
      </c>
      <c r="Q1041" s="17">
        <f>Q1042+Q1057+Q1077</f>
        <v>1336.5</v>
      </c>
      <c r="R1041" s="17">
        <f t="shared" si="270"/>
        <v>20498.900000000001</v>
      </c>
      <c r="S1041" s="17">
        <f>S1042+S1057+S1077</f>
        <v>-1.4210854715202004E-14</v>
      </c>
      <c r="T1041" s="17">
        <f t="shared" si="186"/>
        <v>20498.900000000001</v>
      </c>
      <c r="U1041" s="17">
        <f>U1042+U1057+U1077+U1074</f>
        <v>874.5</v>
      </c>
      <c r="V1041" s="17">
        <f t="shared" si="285"/>
        <v>21373.4</v>
      </c>
      <c r="W1041" s="17">
        <f>W1042+W1057+W1077+W1074</f>
        <v>477</v>
      </c>
      <c r="X1041" s="17">
        <f t="shared" si="277"/>
        <v>21850.400000000001</v>
      </c>
    </row>
    <row r="1042" spans="1:27" ht="24.75" x14ac:dyDescent="0.25">
      <c r="A1042" s="13" t="s">
        <v>79</v>
      </c>
      <c r="B1042" s="24" t="s">
        <v>80</v>
      </c>
      <c r="C1042" s="24" t="s">
        <v>2</v>
      </c>
      <c r="D1042" s="18">
        <f>D1046</f>
        <v>15383.7</v>
      </c>
      <c r="E1042" s="18">
        <f>E1046</f>
        <v>180</v>
      </c>
      <c r="F1042" s="18">
        <f t="shared" si="112"/>
        <v>15563.7</v>
      </c>
      <c r="G1042" s="18">
        <f>G1046</f>
        <v>0</v>
      </c>
      <c r="H1042" s="18">
        <f t="shared" si="113"/>
        <v>15563.7</v>
      </c>
      <c r="I1042" s="18">
        <f>I1046</f>
        <v>-4129.9000000000005</v>
      </c>
      <c r="J1042" s="18">
        <f t="shared" si="114"/>
        <v>11433.8</v>
      </c>
      <c r="K1042" s="18">
        <f>K1046</f>
        <v>0</v>
      </c>
      <c r="L1042" s="18">
        <f t="shared" si="115"/>
        <v>11433.8</v>
      </c>
      <c r="M1042" s="18">
        <f>M1046</f>
        <v>20</v>
      </c>
      <c r="N1042" s="18">
        <f t="shared" si="116"/>
        <v>11453.8</v>
      </c>
      <c r="O1042" s="18">
        <f>O1046</f>
        <v>0</v>
      </c>
      <c r="P1042" s="18">
        <f t="shared" si="117"/>
        <v>11453.8</v>
      </c>
      <c r="Q1042" s="18">
        <f>Q1046+Q1043</f>
        <v>193.9</v>
      </c>
      <c r="R1042" s="18">
        <f t="shared" si="270"/>
        <v>11647.699999999999</v>
      </c>
      <c r="S1042" s="18">
        <f>S1046+S1043</f>
        <v>32.299999999999997</v>
      </c>
      <c r="T1042" s="18">
        <f t="shared" si="186"/>
        <v>11679.999999999998</v>
      </c>
      <c r="U1042" s="18">
        <f>U1046+U1043+U1054</f>
        <v>808.8</v>
      </c>
      <c r="V1042" s="18">
        <f t="shared" si="285"/>
        <v>12488.799999999997</v>
      </c>
      <c r="W1042" s="18">
        <f>W1046+W1043+W1054</f>
        <v>5.5</v>
      </c>
      <c r="X1042" s="18">
        <f t="shared" si="277"/>
        <v>12494.299999999997</v>
      </c>
    </row>
    <row r="1043" spans="1:27" x14ac:dyDescent="0.25">
      <c r="A1043" s="33" t="s">
        <v>662</v>
      </c>
      <c r="B1043" s="26" t="s">
        <v>1133</v>
      </c>
      <c r="C1043" s="26" t="s">
        <v>2</v>
      </c>
      <c r="D1043" s="18"/>
      <c r="E1043" s="18"/>
      <c r="F1043" s="18"/>
      <c r="G1043" s="18"/>
      <c r="H1043" s="18"/>
      <c r="I1043" s="18"/>
      <c r="J1043" s="18"/>
      <c r="K1043" s="18"/>
      <c r="L1043" s="18"/>
      <c r="M1043" s="18"/>
      <c r="N1043" s="18"/>
      <c r="O1043" s="18"/>
      <c r="P1043" s="18"/>
      <c r="Q1043" s="20">
        <f>Q1044+Q1045</f>
        <v>243.6</v>
      </c>
      <c r="R1043" s="18">
        <f t="shared" si="270"/>
        <v>243.6</v>
      </c>
      <c r="S1043" s="20">
        <f>S1044+S1045</f>
        <v>0</v>
      </c>
      <c r="T1043" s="18">
        <f t="shared" si="186"/>
        <v>243.6</v>
      </c>
      <c r="U1043" s="20">
        <f>U1044+U1045</f>
        <v>0</v>
      </c>
      <c r="V1043" s="18">
        <f t="shared" si="285"/>
        <v>243.6</v>
      </c>
      <c r="W1043" s="20">
        <f>W1044+W1045</f>
        <v>0</v>
      </c>
      <c r="X1043" s="18">
        <f t="shared" si="277"/>
        <v>243.6</v>
      </c>
    </row>
    <row r="1044" spans="1:27" x14ac:dyDescent="0.25">
      <c r="A1044" s="8" t="s">
        <v>498</v>
      </c>
      <c r="B1044" s="27" t="s">
        <v>1133</v>
      </c>
      <c r="C1044" s="27" t="s">
        <v>8</v>
      </c>
      <c r="D1044" s="18"/>
      <c r="E1044" s="18"/>
      <c r="F1044" s="18"/>
      <c r="G1044" s="18"/>
      <c r="H1044" s="18"/>
      <c r="I1044" s="18"/>
      <c r="J1044" s="18"/>
      <c r="K1044" s="18"/>
      <c r="L1044" s="18"/>
      <c r="M1044" s="18"/>
      <c r="N1044" s="18"/>
      <c r="O1044" s="18"/>
      <c r="P1044" s="18"/>
      <c r="Q1044" s="45">
        <v>187.1</v>
      </c>
      <c r="R1044" s="18">
        <f t="shared" si="270"/>
        <v>187.1</v>
      </c>
      <c r="S1044" s="64"/>
      <c r="T1044" s="18">
        <f t="shared" si="186"/>
        <v>187.1</v>
      </c>
      <c r="U1044" s="64"/>
      <c r="V1044" s="18">
        <f t="shared" si="285"/>
        <v>187.1</v>
      </c>
      <c r="W1044" s="64"/>
      <c r="X1044" s="18">
        <f t="shared" si="277"/>
        <v>187.1</v>
      </c>
      <c r="Z1044" s="43">
        <f t="shared" ref="Z1044:Z1045" si="287">X1044+Y1044</f>
        <v>187.1</v>
      </c>
      <c r="AA1044" s="43"/>
    </row>
    <row r="1045" spans="1:27" ht="36.75" x14ac:dyDescent="0.25">
      <c r="A1045" s="8" t="s">
        <v>500</v>
      </c>
      <c r="B1045" s="27" t="s">
        <v>1133</v>
      </c>
      <c r="C1045" s="27" t="s">
        <v>9</v>
      </c>
      <c r="D1045" s="18"/>
      <c r="E1045" s="18"/>
      <c r="F1045" s="18"/>
      <c r="G1045" s="18"/>
      <c r="H1045" s="18"/>
      <c r="I1045" s="18"/>
      <c r="J1045" s="18"/>
      <c r="K1045" s="18"/>
      <c r="L1045" s="18"/>
      <c r="M1045" s="18"/>
      <c r="N1045" s="18"/>
      <c r="O1045" s="18"/>
      <c r="P1045" s="18"/>
      <c r="Q1045" s="45">
        <v>56.5</v>
      </c>
      <c r="R1045" s="18">
        <f t="shared" si="270"/>
        <v>56.5</v>
      </c>
      <c r="S1045" s="64"/>
      <c r="T1045" s="18">
        <f t="shared" si="186"/>
        <v>56.5</v>
      </c>
      <c r="U1045" s="64"/>
      <c r="V1045" s="18">
        <f t="shared" si="285"/>
        <v>56.5</v>
      </c>
      <c r="W1045" s="64"/>
      <c r="X1045" s="18">
        <f t="shared" si="277"/>
        <v>56.5</v>
      </c>
      <c r="Z1045" s="43">
        <f t="shared" si="287"/>
        <v>56.5</v>
      </c>
      <c r="AA1045" s="43"/>
    </row>
    <row r="1046" spans="1:27" x14ac:dyDescent="0.25">
      <c r="A1046" s="13" t="s">
        <v>44</v>
      </c>
      <c r="B1046" s="24" t="s">
        <v>81</v>
      </c>
      <c r="C1046" s="24" t="s">
        <v>2</v>
      </c>
      <c r="D1046" s="18">
        <f>D1047+D1048+D1049+D1050+D1051</f>
        <v>15383.7</v>
      </c>
      <c r="E1046" s="18">
        <f>E1047+E1048+E1049+E1050+E1051+E1052</f>
        <v>180</v>
      </c>
      <c r="F1046" s="18">
        <f t="shared" si="112"/>
        <v>15563.7</v>
      </c>
      <c r="G1046" s="18">
        <f>G1047+G1048+G1049+G1050+G1051+G1052</f>
        <v>0</v>
      </c>
      <c r="H1046" s="18">
        <f t="shared" si="113"/>
        <v>15563.7</v>
      </c>
      <c r="I1046" s="18">
        <f>I1047+I1048+I1049+I1050+I1051+I1052</f>
        <v>-4129.9000000000005</v>
      </c>
      <c r="J1046" s="18">
        <f t="shared" si="114"/>
        <v>11433.8</v>
      </c>
      <c r="K1046" s="18">
        <f>K1047+K1048+K1049+K1050+K1051+K1052</f>
        <v>0</v>
      </c>
      <c r="L1046" s="18">
        <f t="shared" si="115"/>
        <v>11433.8</v>
      </c>
      <c r="M1046" s="18">
        <f>M1047+M1048+M1049+M1050+M1051+M1052</f>
        <v>20</v>
      </c>
      <c r="N1046" s="18">
        <f t="shared" si="116"/>
        <v>11453.8</v>
      </c>
      <c r="O1046" s="18">
        <f>O1047+O1048+O1049+O1050+O1051+O1052</f>
        <v>0</v>
      </c>
      <c r="P1046" s="18">
        <f t="shared" si="117"/>
        <v>11453.8</v>
      </c>
      <c r="Q1046" s="18">
        <f>Q1047+Q1048+Q1049+Q1050+Q1051+Q1052</f>
        <v>-49.699999999999996</v>
      </c>
      <c r="R1046" s="18">
        <f t="shared" si="270"/>
        <v>11404.099999999999</v>
      </c>
      <c r="S1046" s="18">
        <f>S1047+S1048+S1049+S1050+S1051+S1052+S1053</f>
        <v>32.299999999999997</v>
      </c>
      <c r="T1046" s="18">
        <f t="shared" si="186"/>
        <v>11436.399999999998</v>
      </c>
      <c r="U1046" s="18">
        <f>U1047+U1048+U1049+U1050+U1051+U1052+U1053</f>
        <v>652.4</v>
      </c>
      <c r="V1046" s="18">
        <f t="shared" si="285"/>
        <v>12088.799999999997</v>
      </c>
      <c r="W1046" s="18">
        <f>W1047+W1048+W1049+W1050+W1051+W1052+W1053</f>
        <v>-24.599999999999998</v>
      </c>
      <c r="X1046" s="18">
        <f t="shared" si="277"/>
        <v>12064.199999999997</v>
      </c>
    </row>
    <row r="1047" spans="1:27" x14ac:dyDescent="0.25">
      <c r="A1047" s="7" t="s">
        <v>498</v>
      </c>
      <c r="B1047" s="25" t="s">
        <v>81</v>
      </c>
      <c r="C1047" s="25" t="s">
        <v>8</v>
      </c>
      <c r="D1047" s="19">
        <v>10994.7</v>
      </c>
      <c r="E1047" s="19"/>
      <c r="F1047" s="18">
        <f t="shared" si="112"/>
        <v>10994.7</v>
      </c>
      <c r="G1047" s="19"/>
      <c r="H1047" s="18">
        <f t="shared" si="113"/>
        <v>10994.7</v>
      </c>
      <c r="I1047" s="62">
        <v>-3203.5</v>
      </c>
      <c r="J1047" s="18">
        <f t="shared" si="114"/>
        <v>7791.2000000000007</v>
      </c>
      <c r="K1047" s="64"/>
      <c r="L1047" s="18">
        <f t="shared" si="115"/>
        <v>7791.2000000000007</v>
      </c>
      <c r="M1047" s="64"/>
      <c r="N1047" s="18">
        <f t="shared" si="116"/>
        <v>7791.2000000000007</v>
      </c>
      <c r="O1047" s="64"/>
      <c r="P1047" s="18">
        <f t="shared" si="117"/>
        <v>7791.2000000000007</v>
      </c>
      <c r="Q1047" s="64"/>
      <c r="R1047" s="18">
        <f t="shared" si="270"/>
        <v>7791.2000000000007</v>
      </c>
      <c r="S1047" s="64"/>
      <c r="T1047" s="18">
        <f t="shared" si="186"/>
        <v>7791.2000000000007</v>
      </c>
      <c r="U1047" s="96">
        <f>652.4-133</f>
        <v>519.4</v>
      </c>
      <c r="V1047" s="18">
        <f t="shared" si="285"/>
        <v>8310.6</v>
      </c>
      <c r="W1047" s="64"/>
      <c r="X1047" s="18">
        <f t="shared" si="277"/>
        <v>8310.6</v>
      </c>
      <c r="Z1047" s="43">
        <f t="shared" ref="Z1047:Z1053" si="288">X1047+Y1047</f>
        <v>8310.6</v>
      </c>
      <c r="AA1047" s="43"/>
    </row>
    <row r="1048" spans="1:27" ht="25.5" customHeight="1" x14ac:dyDescent="0.25">
      <c r="A1048" s="9" t="s">
        <v>500</v>
      </c>
      <c r="B1048" s="25" t="s">
        <v>81</v>
      </c>
      <c r="C1048" s="25" t="s">
        <v>9</v>
      </c>
      <c r="D1048" s="19">
        <v>3320</v>
      </c>
      <c r="E1048" s="19"/>
      <c r="F1048" s="18">
        <f t="shared" si="112"/>
        <v>3320</v>
      </c>
      <c r="G1048" s="19"/>
      <c r="H1048" s="18">
        <f t="shared" si="113"/>
        <v>3320</v>
      </c>
      <c r="I1048" s="62">
        <v>-970</v>
      </c>
      <c r="J1048" s="18">
        <f t="shared" si="114"/>
        <v>2350</v>
      </c>
      <c r="K1048" s="64"/>
      <c r="L1048" s="18">
        <f t="shared" si="115"/>
        <v>2350</v>
      </c>
      <c r="M1048" s="64"/>
      <c r="N1048" s="18">
        <f t="shared" si="116"/>
        <v>2350</v>
      </c>
      <c r="O1048" s="64"/>
      <c r="P1048" s="18">
        <f t="shared" si="117"/>
        <v>2350</v>
      </c>
      <c r="Q1048" s="64"/>
      <c r="R1048" s="18">
        <f t="shared" si="270"/>
        <v>2350</v>
      </c>
      <c r="S1048" s="64"/>
      <c r="T1048" s="18">
        <f t="shared" si="186"/>
        <v>2350</v>
      </c>
      <c r="U1048" s="96">
        <v>133</v>
      </c>
      <c r="V1048" s="18">
        <f t="shared" si="285"/>
        <v>2483</v>
      </c>
      <c r="W1048" s="64"/>
      <c r="X1048" s="18">
        <f t="shared" si="277"/>
        <v>2483</v>
      </c>
      <c r="Z1048" s="43">
        <f t="shared" si="288"/>
        <v>2483</v>
      </c>
      <c r="AA1048" s="43"/>
    </row>
    <row r="1049" spans="1:27" ht="15" customHeight="1" x14ac:dyDescent="0.25">
      <c r="A1049" s="9" t="s">
        <v>501</v>
      </c>
      <c r="B1049" s="25" t="s">
        <v>81</v>
      </c>
      <c r="C1049" s="25" t="s">
        <v>33</v>
      </c>
      <c r="D1049" s="19">
        <v>90.5</v>
      </c>
      <c r="E1049" s="19"/>
      <c r="F1049" s="18">
        <f t="shared" si="112"/>
        <v>90.5</v>
      </c>
      <c r="G1049" s="19"/>
      <c r="H1049" s="18">
        <f t="shared" si="113"/>
        <v>90.5</v>
      </c>
      <c r="I1049" s="62">
        <v>10</v>
      </c>
      <c r="J1049" s="18">
        <f t="shared" si="114"/>
        <v>100.5</v>
      </c>
      <c r="K1049" s="64"/>
      <c r="L1049" s="18">
        <f t="shared" si="115"/>
        <v>100.5</v>
      </c>
      <c r="M1049" s="62">
        <v>20</v>
      </c>
      <c r="N1049" s="18">
        <f t="shared" si="116"/>
        <v>120.5</v>
      </c>
      <c r="O1049" s="64"/>
      <c r="P1049" s="18">
        <f t="shared" si="117"/>
        <v>120.5</v>
      </c>
      <c r="Q1049" s="44">
        <v>19.8</v>
      </c>
      <c r="R1049" s="18">
        <f t="shared" si="270"/>
        <v>140.30000000000001</v>
      </c>
      <c r="S1049" s="64"/>
      <c r="T1049" s="18">
        <f t="shared" si="186"/>
        <v>140.30000000000001</v>
      </c>
      <c r="U1049" s="64"/>
      <c r="V1049" s="18">
        <f t="shared" si="285"/>
        <v>140.30000000000001</v>
      </c>
      <c r="W1049" s="44">
        <v>-0.4</v>
      </c>
      <c r="X1049" s="18">
        <f t="shared" si="277"/>
        <v>139.9</v>
      </c>
      <c r="Y1049" s="43">
        <v>-0.4</v>
      </c>
      <c r="Z1049" s="43">
        <f t="shared" si="288"/>
        <v>139.5</v>
      </c>
      <c r="AA1049" s="43"/>
    </row>
    <row r="1050" spans="1:27" x14ac:dyDescent="0.25">
      <c r="A1050" s="7" t="s">
        <v>54</v>
      </c>
      <c r="B1050" s="25" t="s">
        <v>81</v>
      </c>
      <c r="C1050" s="25" t="s">
        <v>34</v>
      </c>
      <c r="D1050" s="19">
        <v>460.2</v>
      </c>
      <c r="E1050" s="19"/>
      <c r="F1050" s="18">
        <f t="shared" si="112"/>
        <v>460.2</v>
      </c>
      <c r="G1050" s="19"/>
      <c r="H1050" s="18">
        <f t="shared" si="113"/>
        <v>460.2</v>
      </c>
      <c r="I1050" s="62">
        <v>-13.8</v>
      </c>
      <c r="J1050" s="18">
        <f t="shared" si="114"/>
        <v>446.4</v>
      </c>
      <c r="K1050" s="64"/>
      <c r="L1050" s="18">
        <f t="shared" si="115"/>
        <v>446.4</v>
      </c>
      <c r="M1050" s="62"/>
      <c r="N1050" s="18">
        <f t="shared" si="116"/>
        <v>446.4</v>
      </c>
      <c r="O1050" s="62"/>
      <c r="P1050" s="18">
        <f t="shared" si="117"/>
        <v>446.4</v>
      </c>
      <c r="Q1050" s="44">
        <v>17.8</v>
      </c>
      <c r="R1050" s="18">
        <f t="shared" si="270"/>
        <v>464.2</v>
      </c>
      <c r="S1050" s="64"/>
      <c r="T1050" s="18">
        <f t="shared" si="186"/>
        <v>464.2</v>
      </c>
      <c r="U1050" s="64"/>
      <c r="V1050" s="18">
        <f t="shared" si="285"/>
        <v>464.2</v>
      </c>
      <c r="W1050" s="44">
        <v>-24.2</v>
      </c>
      <c r="X1050" s="18">
        <f t="shared" si="277"/>
        <v>440</v>
      </c>
      <c r="Y1050" s="43">
        <v>-24.2</v>
      </c>
      <c r="Z1050" s="43">
        <f t="shared" si="288"/>
        <v>415.8</v>
      </c>
      <c r="AA1050" s="43"/>
    </row>
    <row r="1051" spans="1:27" x14ac:dyDescent="0.25">
      <c r="A1051" s="7" t="s">
        <v>503</v>
      </c>
      <c r="B1051" s="25" t="s">
        <v>81</v>
      </c>
      <c r="C1051" s="25" t="s">
        <v>35</v>
      </c>
      <c r="D1051" s="19">
        <v>518.29999999999995</v>
      </c>
      <c r="E1051" s="19"/>
      <c r="F1051" s="18">
        <f t="shared" si="112"/>
        <v>518.29999999999995</v>
      </c>
      <c r="G1051" s="19"/>
      <c r="H1051" s="18">
        <f t="shared" si="113"/>
        <v>518.29999999999995</v>
      </c>
      <c r="I1051" s="62">
        <v>47.4</v>
      </c>
      <c r="J1051" s="18">
        <f t="shared" si="114"/>
        <v>565.69999999999993</v>
      </c>
      <c r="K1051" s="64"/>
      <c r="L1051" s="18">
        <f t="shared" si="115"/>
        <v>565.69999999999993</v>
      </c>
      <c r="M1051" s="64"/>
      <c r="N1051" s="18">
        <f t="shared" si="116"/>
        <v>565.69999999999993</v>
      </c>
      <c r="O1051" s="64"/>
      <c r="P1051" s="18">
        <f t="shared" si="117"/>
        <v>565.69999999999993</v>
      </c>
      <c r="Q1051" s="64"/>
      <c r="R1051" s="18">
        <f t="shared" si="270"/>
        <v>565.69999999999993</v>
      </c>
      <c r="S1051" s="64"/>
      <c r="T1051" s="18">
        <f t="shared" si="186"/>
        <v>565.69999999999993</v>
      </c>
      <c r="U1051" s="64"/>
      <c r="V1051" s="18">
        <f t="shared" si="285"/>
        <v>565.69999999999993</v>
      </c>
      <c r="W1051" s="64"/>
      <c r="X1051" s="18">
        <f t="shared" si="277"/>
        <v>565.69999999999993</v>
      </c>
      <c r="Z1051" s="43">
        <f t="shared" si="288"/>
        <v>565.69999999999993</v>
      </c>
      <c r="AA1051" s="43"/>
    </row>
    <row r="1052" spans="1:27" ht="24.75" x14ac:dyDescent="0.25">
      <c r="A1052" s="9" t="s">
        <v>505</v>
      </c>
      <c r="B1052" s="27" t="s">
        <v>81</v>
      </c>
      <c r="C1052" s="27" t="s">
        <v>260</v>
      </c>
      <c r="D1052" s="19"/>
      <c r="E1052" s="62">
        <v>180</v>
      </c>
      <c r="F1052" s="18">
        <f t="shared" si="112"/>
        <v>180</v>
      </c>
      <c r="G1052" s="64"/>
      <c r="H1052" s="18">
        <f t="shared" si="113"/>
        <v>180</v>
      </c>
      <c r="I1052" s="64"/>
      <c r="J1052" s="18">
        <f t="shared" si="114"/>
        <v>180</v>
      </c>
      <c r="K1052" s="64"/>
      <c r="L1052" s="18">
        <f t="shared" si="115"/>
        <v>180</v>
      </c>
      <c r="M1052" s="64"/>
      <c r="N1052" s="18">
        <f t="shared" si="116"/>
        <v>180</v>
      </c>
      <c r="O1052" s="64"/>
      <c r="P1052" s="18">
        <f t="shared" si="117"/>
        <v>180</v>
      </c>
      <c r="Q1052" s="44">
        <v>-87.3</v>
      </c>
      <c r="R1052" s="18">
        <f t="shared" si="270"/>
        <v>92.7</v>
      </c>
      <c r="S1052" s="64"/>
      <c r="T1052" s="18">
        <f t="shared" si="186"/>
        <v>92.7</v>
      </c>
      <c r="U1052" s="64"/>
      <c r="V1052" s="18">
        <f t="shared" si="285"/>
        <v>92.7</v>
      </c>
      <c r="W1052" s="64"/>
      <c r="X1052" s="18">
        <f t="shared" si="277"/>
        <v>92.7</v>
      </c>
      <c r="Z1052" s="43">
        <f t="shared" si="288"/>
        <v>92.7</v>
      </c>
      <c r="AA1052" s="43"/>
    </row>
    <row r="1053" spans="1:27" x14ac:dyDescent="0.25">
      <c r="A1053" s="9" t="s">
        <v>37</v>
      </c>
      <c r="B1053" s="27" t="s">
        <v>81</v>
      </c>
      <c r="C1053" s="27" t="s">
        <v>38</v>
      </c>
      <c r="D1053" s="19"/>
      <c r="E1053" s="62"/>
      <c r="F1053" s="18"/>
      <c r="G1053" s="64"/>
      <c r="H1053" s="18"/>
      <c r="I1053" s="64"/>
      <c r="J1053" s="18"/>
      <c r="K1053" s="64"/>
      <c r="L1053" s="18"/>
      <c r="M1053" s="64"/>
      <c r="N1053" s="18"/>
      <c r="O1053" s="64"/>
      <c r="P1053" s="18"/>
      <c r="Q1053" s="44"/>
      <c r="R1053" s="18"/>
      <c r="S1053" s="62">
        <v>32.299999999999997</v>
      </c>
      <c r="T1053" s="18">
        <f t="shared" ref="T1053" si="289">R1053+S1053</f>
        <v>32.299999999999997</v>
      </c>
      <c r="U1053" s="64"/>
      <c r="V1053" s="18">
        <f t="shared" si="285"/>
        <v>32.299999999999997</v>
      </c>
      <c r="W1053" s="64"/>
      <c r="X1053" s="18">
        <f t="shared" si="277"/>
        <v>32.299999999999997</v>
      </c>
      <c r="Z1053" s="43">
        <f t="shared" si="288"/>
        <v>32.299999999999997</v>
      </c>
      <c r="AA1053" s="43"/>
    </row>
    <row r="1054" spans="1:27" x14ac:dyDescent="0.25">
      <c r="A1054" s="101" t="s">
        <v>734</v>
      </c>
      <c r="B1054" s="26" t="s">
        <v>1289</v>
      </c>
      <c r="C1054" s="26" t="s">
        <v>2</v>
      </c>
      <c r="D1054" s="19"/>
      <c r="E1054" s="62"/>
      <c r="F1054" s="18"/>
      <c r="G1054" s="64"/>
      <c r="H1054" s="18"/>
      <c r="I1054" s="64"/>
      <c r="J1054" s="18"/>
      <c r="K1054" s="64"/>
      <c r="L1054" s="18"/>
      <c r="M1054" s="64"/>
      <c r="N1054" s="18"/>
      <c r="O1054" s="64"/>
      <c r="P1054" s="18"/>
      <c r="Q1054" s="44"/>
      <c r="R1054" s="18"/>
      <c r="S1054" s="62"/>
      <c r="T1054" s="18"/>
      <c r="U1054" s="47">
        <f>U1055+U1056</f>
        <v>156.4</v>
      </c>
      <c r="V1054" s="18">
        <f t="shared" si="285"/>
        <v>156.4</v>
      </c>
      <c r="W1054" s="47">
        <f>W1055+W1056</f>
        <v>30.099999999999998</v>
      </c>
      <c r="X1054" s="18">
        <f t="shared" si="277"/>
        <v>186.5</v>
      </c>
    </row>
    <row r="1055" spans="1:27" x14ac:dyDescent="0.25">
      <c r="A1055" s="8" t="s">
        <v>498</v>
      </c>
      <c r="B1055" s="27" t="s">
        <v>1289</v>
      </c>
      <c r="C1055" s="27" t="s">
        <v>8</v>
      </c>
      <c r="D1055" s="19"/>
      <c r="E1055" s="62"/>
      <c r="F1055" s="18"/>
      <c r="G1055" s="64"/>
      <c r="H1055" s="18"/>
      <c r="I1055" s="64"/>
      <c r="J1055" s="18"/>
      <c r="K1055" s="64"/>
      <c r="L1055" s="18"/>
      <c r="M1055" s="64"/>
      <c r="N1055" s="18"/>
      <c r="O1055" s="64"/>
      <c r="P1055" s="18"/>
      <c r="Q1055" s="44"/>
      <c r="R1055" s="18"/>
      <c r="S1055" s="62"/>
      <c r="T1055" s="18"/>
      <c r="U1055" s="151">
        <f>111.2+4.7</f>
        <v>115.9</v>
      </c>
      <c r="V1055" s="18">
        <f t="shared" si="285"/>
        <v>115.9</v>
      </c>
      <c r="W1055" s="44">
        <f>26.3+2.9</f>
        <v>29.2</v>
      </c>
      <c r="X1055" s="18">
        <f t="shared" si="277"/>
        <v>145.1</v>
      </c>
      <c r="Y1055" s="43">
        <v>2.9</v>
      </c>
      <c r="Z1055" s="43">
        <f t="shared" ref="Z1055:Z1056" si="290">X1055+Y1055</f>
        <v>148</v>
      </c>
      <c r="AA1055" s="43"/>
    </row>
    <row r="1056" spans="1:27" ht="36.75" x14ac:dyDescent="0.25">
      <c r="A1056" s="8" t="s">
        <v>500</v>
      </c>
      <c r="B1056" s="27" t="s">
        <v>1289</v>
      </c>
      <c r="C1056" s="27" t="s">
        <v>9</v>
      </c>
      <c r="D1056" s="19"/>
      <c r="E1056" s="62"/>
      <c r="F1056" s="18"/>
      <c r="G1056" s="64"/>
      <c r="H1056" s="18"/>
      <c r="I1056" s="64"/>
      <c r="J1056" s="18"/>
      <c r="K1056" s="64"/>
      <c r="L1056" s="18"/>
      <c r="M1056" s="64"/>
      <c r="N1056" s="18"/>
      <c r="O1056" s="64"/>
      <c r="P1056" s="18"/>
      <c r="Q1056" s="44"/>
      <c r="R1056" s="18"/>
      <c r="S1056" s="62"/>
      <c r="T1056" s="18"/>
      <c r="U1056" s="151">
        <f>33.6+6.9</f>
        <v>40.5</v>
      </c>
      <c r="V1056" s="18">
        <f t="shared" si="285"/>
        <v>40.5</v>
      </c>
      <c r="W1056" s="44">
        <v>0.9</v>
      </c>
      <c r="X1056" s="18">
        <f t="shared" si="277"/>
        <v>41.4</v>
      </c>
      <c r="Y1056" s="43">
        <v>0.9</v>
      </c>
      <c r="Z1056" s="43">
        <f t="shared" si="290"/>
        <v>42.3</v>
      </c>
      <c r="AA1056" s="43"/>
    </row>
    <row r="1057" spans="1:27" x14ac:dyDescent="0.25">
      <c r="A1057" s="13" t="s">
        <v>82</v>
      </c>
      <c r="B1057" s="24" t="s">
        <v>83</v>
      </c>
      <c r="C1057" s="24" t="s">
        <v>2</v>
      </c>
      <c r="D1057" s="18">
        <f>D1066+D1068</f>
        <v>1514.8999999999999</v>
      </c>
      <c r="E1057" s="18">
        <f>E1066+E1068</f>
        <v>0</v>
      </c>
      <c r="F1057" s="18">
        <f t="shared" si="112"/>
        <v>1514.8999999999999</v>
      </c>
      <c r="G1057" s="18">
        <f>G1066+G1068</f>
        <v>0</v>
      </c>
      <c r="H1057" s="18">
        <f t="shared" si="113"/>
        <v>1514.8999999999999</v>
      </c>
      <c r="I1057" s="18">
        <f>I1066+I1068</f>
        <v>-51.6</v>
      </c>
      <c r="J1057" s="18">
        <f t="shared" si="114"/>
        <v>1463.3</v>
      </c>
      <c r="K1057" s="18">
        <f>K1066+K1068</f>
        <v>1027</v>
      </c>
      <c r="L1057" s="18">
        <f t="shared" si="115"/>
        <v>2490.3000000000002</v>
      </c>
      <c r="M1057" s="18">
        <f>M1066+M1068</f>
        <v>-20</v>
      </c>
      <c r="N1057" s="18">
        <f t="shared" si="116"/>
        <v>2470.3000000000002</v>
      </c>
      <c r="O1057" s="18">
        <f>O1066+O1068+O1060</f>
        <v>1056.8</v>
      </c>
      <c r="P1057" s="18">
        <f t="shared" si="117"/>
        <v>3527.1000000000004</v>
      </c>
      <c r="Q1057" s="18">
        <f>Q1066+Q1068+Q1060</f>
        <v>-207.6</v>
      </c>
      <c r="R1057" s="18">
        <f t="shared" si="270"/>
        <v>3319.5000000000005</v>
      </c>
      <c r="S1057" s="18">
        <f>S1066+S1068+S1060+S1058</f>
        <v>-32.300000000000011</v>
      </c>
      <c r="T1057" s="18">
        <f t="shared" si="186"/>
        <v>3287.2000000000003</v>
      </c>
      <c r="U1057" s="18">
        <f>U1066+U1068+U1060+U1058</f>
        <v>-16.899999999999999</v>
      </c>
      <c r="V1057" s="18">
        <f t="shared" si="285"/>
        <v>3270.3</v>
      </c>
      <c r="W1057" s="18">
        <f>W1066+W1068+W1060+W1058+W1071</f>
        <v>471.5</v>
      </c>
      <c r="X1057" s="18">
        <f t="shared" si="277"/>
        <v>3741.8</v>
      </c>
    </row>
    <row r="1058" spans="1:27" ht="24.75" x14ac:dyDescent="0.25">
      <c r="A1058" s="33" t="s">
        <v>1279</v>
      </c>
      <c r="B1058" s="26" t="s">
        <v>1280</v>
      </c>
      <c r="C1058" s="26"/>
      <c r="D1058" s="18"/>
      <c r="E1058" s="18"/>
      <c r="F1058" s="18"/>
      <c r="G1058" s="18"/>
      <c r="H1058" s="18"/>
      <c r="I1058" s="18"/>
      <c r="J1058" s="18"/>
      <c r="K1058" s="18"/>
      <c r="L1058" s="18"/>
      <c r="M1058" s="18"/>
      <c r="N1058" s="18"/>
      <c r="O1058" s="18"/>
      <c r="P1058" s="18"/>
      <c r="Q1058" s="18"/>
      <c r="R1058" s="18"/>
      <c r="S1058" s="18">
        <f>S1059</f>
        <v>162.30000000000001</v>
      </c>
      <c r="T1058" s="18">
        <f t="shared" ref="T1058:T1059" si="291">R1058+S1058</f>
        <v>162.30000000000001</v>
      </c>
      <c r="U1058" s="18">
        <f>U1059</f>
        <v>0</v>
      </c>
      <c r="V1058" s="18">
        <f t="shared" si="285"/>
        <v>162.30000000000001</v>
      </c>
      <c r="W1058" s="18">
        <f>W1059</f>
        <v>0</v>
      </c>
      <c r="X1058" s="18">
        <f t="shared" si="277"/>
        <v>162.30000000000001</v>
      </c>
    </row>
    <row r="1059" spans="1:27" x14ac:dyDescent="0.25">
      <c r="A1059" s="9" t="s">
        <v>54</v>
      </c>
      <c r="B1059" s="27" t="s">
        <v>1280</v>
      </c>
      <c r="C1059" s="27" t="s">
        <v>34</v>
      </c>
      <c r="D1059" s="18"/>
      <c r="E1059" s="18"/>
      <c r="F1059" s="18"/>
      <c r="G1059" s="18"/>
      <c r="H1059" s="18"/>
      <c r="I1059" s="18"/>
      <c r="J1059" s="18"/>
      <c r="K1059" s="18"/>
      <c r="L1059" s="18"/>
      <c r="M1059" s="18"/>
      <c r="N1059" s="18"/>
      <c r="O1059" s="18"/>
      <c r="P1059" s="18"/>
      <c r="Q1059" s="18"/>
      <c r="R1059" s="18"/>
      <c r="S1059" s="122">
        <v>162.30000000000001</v>
      </c>
      <c r="T1059" s="18">
        <f t="shared" si="291"/>
        <v>162.30000000000001</v>
      </c>
      <c r="U1059" s="64"/>
      <c r="V1059" s="18">
        <f t="shared" si="285"/>
        <v>162.30000000000001</v>
      </c>
      <c r="W1059" s="64"/>
      <c r="X1059" s="18">
        <f t="shared" si="277"/>
        <v>162.30000000000001</v>
      </c>
      <c r="Z1059" s="43">
        <f>X1059+Y1059</f>
        <v>162.30000000000001</v>
      </c>
      <c r="AA1059" s="43"/>
    </row>
    <row r="1060" spans="1:27" ht="39.75" customHeight="1" x14ac:dyDescent="0.25">
      <c r="A1060" s="33" t="s">
        <v>794</v>
      </c>
      <c r="B1060" s="24" t="s">
        <v>795</v>
      </c>
      <c r="C1060" s="24"/>
      <c r="D1060" s="18"/>
      <c r="E1060" s="18"/>
      <c r="F1060" s="18"/>
      <c r="G1060" s="18"/>
      <c r="H1060" s="18"/>
      <c r="I1060" s="18"/>
      <c r="J1060" s="18"/>
      <c r="K1060" s="18"/>
      <c r="L1060" s="18"/>
      <c r="M1060" s="18"/>
      <c r="N1060" s="18">
        <f t="shared" si="116"/>
        <v>0</v>
      </c>
      <c r="O1060" s="18">
        <f>O1065</f>
        <v>1056.8</v>
      </c>
      <c r="P1060" s="18">
        <f t="shared" si="117"/>
        <v>1056.8</v>
      </c>
      <c r="Q1060" s="18">
        <f>Q1065</f>
        <v>0</v>
      </c>
      <c r="R1060" s="18">
        <f t="shared" si="270"/>
        <v>1056.8</v>
      </c>
      <c r="S1060" s="18">
        <f>S1065+S1061+S1062+S1063+S1064</f>
        <v>0</v>
      </c>
      <c r="T1060" s="18">
        <f t="shared" si="186"/>
        <v>1056.8</v>
      </c>
      <c r="U1060" s="18">
        <f>U1065+U1061+U1062+U1063+U1064</f>
        <v>0</v>
      </c>
      <c r="V1060" s="18">
        <f t="shared" si="285"/>
        <v>1056.8</v>
      </c>
      <c r="W1060" s="18">
        <f>W1065+W1061+W1062+W1063+W1064</f>
        <v>0</v>
      </c>
      <c r="X1060" s="18">
        <f t="shared" si="277"/>
        <v>1056.8</v>
      </c>
    </row>
    <row r="1061" spans="1:27" x14ac:dyDescent="0.25">
      <c r="A1061" s="7" t="s">
        <v>496</v>
      </c>
      <c r="B1061" s="27" t="s">
        <v>795</v>
      </c>
      <c r="C1061" s="27" t="s">
        <v>71</v>
      </c>
      <c r="D1061" s="18"/>
      <c r="E1061" s="18"/>
      <c r="F1061" s="18"/>
      <c r="G1061" s="18"/>
      <c r="H1061" s="18"/>
      <c r="I1061" s="18"/>
      <c r="J1061" s="18"/>
      <c r="K1061" s="18"/>
      <c r="L1061" s="18"/>
      <c r="M1061" s="18"/>
      <c r="N1061" s="18"/>
      <c r="O1061" s="18"/>
      <c r="P1061" s="18"/>
      <c r="Q1061" s="18"/>
      <c r="R1061" s="18"/>
      <c r="S1061" s="122">
        <v>243.6</v>
      </c>
      <c r="T1061" s="18">
        <f t="shared" ref="T1061:T1064" si="292">R1061+S1061</f>
        <v>243.6</v>
      </c>
      <c r="U1061" s="64"/>
      <c r="V1061" s="18">
        <f t="shared" si="285"/>
        <v>243.6</v>
      </c>
      <c r="W1061" s="64"/>
      <c r="X1061" s="18">
        <f t="shared" si="277"/>
        <v>243.6</v>
      </c>
      <c r="Z1061" s="43">
        <f t="shared" ref="Z1061:Z1065" si="293">X1061+Y1061</f>
        <v>243.6</v>
      </c>
      <c r="AA1061" s="43"/>
    </row>
    <row r="1062" spans="1:27" ht="24.75" x14ac:dyDescent="0.25">
      <c r="A1062" s="7" t="s">
        <v>497</v>
      </c>
      <c r="B1062" s="27" t="s">
        <v>795</v>
      </c>
      <c r="C1062" s="27" t="s">
        <v>74</v>
      </c>
      <c r="D1062" s="18"/>
      <c r="E1062" s="18"/>
      <c r="F1062" s="18"/>
      <c r="G1062" s="18"/>
      <c r="H1062" s="18"/>
      <c r="I1062" s="18"/>
      <c r="J1062" s="18"/>
      <c r="K1062" s="18"/>
      <c r="L1062" s="18"/>
      <c r="M1062" s="18"/>
      <c r="N1062" s="18"/>
      <c r="O1062" s="18"/>
      <c r="P1062" s="18"/>
      <c r="Q1062" s="18"/>
      <c r="R1062" s="18"/>
      <c r="S1062" s="122">
        <v>73.599999999999994</v>
      </c>
      <c r="T1062" s="18">
        <f t="shared" si="292"/>
        <v>73.599999999999994</v>
      </c>
      <c r="U1062" s="64"/>
      <c r="V1062" s="18">
        <f t="shared" si="285"/>
        <v>73.599999999999994</v>
      </c>
      <c r="W1062" s="64"/>
      <c r="X1062" s="18">
        <f t="shared" si="277"/>
        <v>73.599999999999994</v>
      </c>
      <c r="Z1062" s="43">
        <f t="shared" si="293"/>
        <v>73.599999999999994</v>
      </c>
      <c r="AA1062" s="43"/>
    </row>
    <row r="1063" spans="1:27" x14ac:dyDescent="0.25">
      <c r="A1063" s="8" t="s">
        <v>498</v>
      </c>
      <c r="B1063" s="27" t="s">
        <v>795</v>
      </c>
      <c r="C1063" s="27" t="s">
        <v>8</v>
      </c>
      <c r="D1063" s="18"/>
      <c r="E1063" s="18"/>
      <c r="F1063" s="18"/>
      <c r="G1063" s="18"/>
      <c r="H1063" s="18"/>
      <c r="I1063" s="18"/>
      <c r="J1063" s="18"/>
      <c r="K1063" s="18"/>
      <c r="L1063" s="18"/>
      <c r="M1063" s="18"/>
      <c r="N1063" s="18"/>
      <c r="O1063" s="18"/>
      <c r="P1063" s="18"/>
      <c r="Q1063" s="18"/>
      <c r="R1063" s="18"/>
      <c r="S1063" s="122">
        <v>568.1</v>
      </c>
      <c r="T1063" s="18">
        <f t="shared" si="292"/>
        <v>568.1</v>
      </c>
      <c r="U1063" s="64"/>
      <c r="V1063" s="18">
        <f t="shared" si="285"/>
        <v>568.1</v>
      </c>
      <c r="W1063" s="64"/>
      <c r="X1063" s="18">
        <f t="shared" si="277"/>
        <v>568.1</v>
      </c>
      <c r="Z1063" s="43">
        <f t="shared" si="293"/>
        <v>568.1</v>
      </c>
      <c r="AA1063" s="43"/>
    </row>
    <row r="1064" spans="1:27" ht="28.5" customHeight="1" x14ac:dyDescent="0.25">
      <c r="A1064" s="8" t="s">
        <v>500</v>
      </c>
      <c r="B1064" s="27" t="s">
        <v>795</v>
      </c>
      <c r="C1064" s="27" t="s">
        <v>9</v>
      </c>
      <c r="D1064" s="18"/>
      <c r="E1064" s="18"/>
      <c r="F1064" s="18"/>
      <c r="G1064" s="18"/>
      <c r="H1064" s="18"/>
      <c r="I1064" s="18"/>
      <c r="J1064" s="18"/>
      <c r="K1064" s="18"/>
      <c r="L1064" s="18"/>
      <c r="M1064" s="18"/>
      <c r="N1064" s="18"/>
      <c r="O1064" s="18"/>
      <c r="P1064" s="18"/>
      <c r="Q1064" s="18"/>
      <c r="R1064" s="18"/>
      <c r="S1064" s="122">
        <v>171.5</v>
      </c>
      <c r="T1064" s="18">
        <f t="shared" si="292"/>
        <v>171.5</v>
      </c>
      <c r="U1064" s="64"/>
      <c r="V1064" s="18">
        <f t="shared" si="285"/>
        <v>171.5</v>
      </c>
      <c r="W1064" s="64"/>
      <c r="X1064" s="18">
        <f t="shared" si="277"/>
        <v>171.5</v>
      </c>
      <c r="Z1064" s="43">
        <f t="shared" si="293"/>
        <v>171.5</v>
      </c>
      <c r="AA1064" s="43"/>
    </row>
    <row r="1065" spans="1:27" hidden="1" x14ac:dyDescent="0.25">
      <c r="A1065" s="7" t="s">
        <v>54</v>
      </c>
      <c r="B1065" s="25" t="s">
        <v>795</v>
      </c>
      <c r="C1065" s="25" t="s">
        <v>34</v>
      </c>
      <c r="D1065" s="18"/>
      <c r="E1065" s="18"/>
      <c r="F1065" s="18"/>
      <c r="G1065" s="18"/>
      <c r="H1065" s="18"/>
      <c r="I1065" s="18"/>
      <c r="J1065" s="18"/>
      <c r="K1065" s="18"/>
      <c r="L1065" s="18"/>
      <c r="M1065" s="18"/>
      <c r="N1065" s="19">
        <f t="shared" si="116"/>
        <v>0</v>
      </c>
      <c r="O1065" s="122">
        <v>1056.8</v>
      </c>
      <c r="P1065" s="18">
        <f t="shared" si="117"/>
        <v>1056.8</v>
      </c>
      <c r="Q1065" s="64"/>
      <c r="R1065" s="18">
        <f t="shared" si="270"/>
        <v>1056.8</v>
      </c>
      <c r="S1065" s="122">
        <v>-1056.8</v>
      </c>
      <c r="T1065" s="18">
        <f t="shared" si="186"/>
        <v>0</v>
      </c>
      <c r="U1065" s="64"/>
      <c r="V1065" s="18">
        <f t="shared" si="285"/>
        <v>0</v>
      </c>
      <c r="W1065" s="64"/>
      <c r="X1065" s="18">
        <f t="shared" si="277"/>
        <v>0</v>
      </c>
      <c r="Z1065" s="43">
        <f t="shared" si="293"/>
        <v>0</v>
      </c>
      <c r="AA1065" s="43"/>
    </row>
    <row r="1066" spans="1:27" ht="36.75" x14ac:dyDescent="0.25">
      <c r="A1066" s="13" t="s">
        <v>174</v>
      </c>
      <c r="B1066" s="24" t="s">
        <v>175</v>
      </c>
      <c r="C1066" s="24" t="s">
        <v>2</v>
      </c>
      <c r="D1066" s="18">
        <f>D1067</f>
        <v>162.30000000000001</v>
      </c>
      <c r="E1066" s="18">
        <f>E1067</f>
        <v>0</v>
      </c>
      <c r="F1066" s="18">
        <f t="shared" si="112"/>
        <v>162.30000000000001</v>
      </c>
      <c r="G1066" s="18">
        <f>G1067</f>
        <v>0</v>
      </c>
      <c r="H1066" s="18">
        <f t="shared" si="113"/>
        <v>162.30000000000001</v>
      </c>
      <c r="I1066" s="18">
        <f>I1067</f>
        <v>0</v>
      </c>
      <c r="J1066" s="18">
        <f t="shared" si="114"/>
        <v>162.30000000000001</v>
      </c>
      <c r="K1066" s="18">
        <f>K1067</f>
        <v>527</v>
      </c>
      <c r="L1066" s="18">
        <f t="shared" si="115"/>
        <v>689.3</v>
      </c>
      <c r="M1066" s="18">
        <f>M1067</f>
        <v>0</v>
      </c>
      <c r="N1066" s="18">
        <f t="shared" si="116"/>
        <v>689.3</v>
      </c>
      <c r="O1066" s="18">
        <f>O1067</f>
        <v>0</v>
      </c>
      <c r="P1066" s="18">
        <f t="shared" si="117"/>
        <v>689.3</v>
      </c>
      <c r="Q1066" s="18">
        <f>Q1067</f>
        <v>0</v>
      </c>
      <c r="R1066" s="18">
        <f t="shared" si="270"/>
        <v>689.3</v>
      </c>
      <c r="S1066" s="18">
        <f>S1067</f>
        <v>-162.30000000000001</v>
      </c>
      <c r="T1066" s="18">
        <f t="shared" si="186"/>
        <v>527</v>
      </c>
      <c r="U1066" s="18">
        <f>U1067</f>
        <v>0</v>
      </c>
      <c r="V1066" s="18">
        <f t="shared" si="285"/>
        <v>527</v>
      </c>
      <c r="W1066" s="18">
        <f>W1067</f>
        <v>0</v>
      </c>
      <c r="X1066" s="18">
        <f t="shared" si="277"/>
        <v>527</v>
      </c>
    </row>
    <row r="1067" spans="1:27" x14ac:dyDescent="0.25">
      <c r="A1067" s="7" t="s">
        <v>54</v>
      </c>
      <c r="B1067" s="25" t="s">
        <v>175</v>
      </c>
      <c r="C1067" s="25" t="s">
        <v>34</v>
      </c>
      <c r="D1067" s="19">
        <v>162.30000000000001</v>
      </c>
      <c r="E1067" s="19"/>
      <c r="F1067" s="18">
        <f t="shared" si="112"/>
        <v>162.30000000000001</v>
      </c>
      <c r="G1067" s="19"/>
      <c r="H1067" s="18">
        <f t="shared" si="113"/>
        <v>162.30000000000001</v>
      </c>
      <c r="I1067" s="19"/>
      <c r="J1067" s="18">
        <f t="shared" si="114"/>
        <v>162.30000000000001</v>
      </c>
      <c r="K1067" s="45">
        <v>527</v>
      </c>
      <c r="L1067" s="18">
        <f t="shared" si="115"/>
        <v>689.3</v>
      </c>
      <c r="M1067" s="64"/>
      <c r="N1067" s="18">
        <f t="shared" si="116"/>
        <v>689.3</v>
      </c>
      <c r="O1067" s="64"/>
      <c r="P1067" s="18">
        <f t="shared" si="117"/>
        <v>689.3</v>
      </c>
      <c r="Q1067" s="64"/>
      <c r="R1067" s="18">
        <f t="shared" si="270"/>
        <v>689.3</v>
      </c>
      <c r="S1067" s="122">
        <v>-162.30000000000001</v>
      </c>
      <c r="T1067" s="18">
        <f t="shared" si="186"/>
        <v>527</v>
      </c>
      <c r="U1067" s="64"/>
      <c r="V1067" s="18">
        <f t="shared" si="285"/>
        <v>527</v>
      </c>
      <c r="W1067" s="64"/>
      <c r="X1067" s="18">
        <f t="shared" si="277"/>
        <v>527</v>
      </c>
      <c r="Z1067" s="43">
        <f>X1067+Y1067</f>
        <v>527</v>
      </c>
      <c r="AA1067" s="43"/>
    </row>
    <row r="1068" spans="1:27" ht="60.75" x14ac:dyDescent="0.25">
      <c r="A1068" s="13" t="s">
        <v>84</v>
      </c>
      <c r="B1068" s="24" t="s">
        <v>85</v>
      </c>
      <c r="C1068" s="24" t="s">
        <v>2</v>
      </c>
      <c r="D1068" s="18">
        <f>D1069+D1070</f>
        <v>1352.6</v>
      </c>
      <c r="E1068" s="18">
        <f>E1069+E1070</f>
        <v>0</v>
      </c>
      <c r="F1068" s="18">
        <f t="shared" si="112"/>
        <v>1352.6</v>
      </c>
      <c r="G1068" s="18">
        <f>G1069+G1070</f>
        <v>0</v>
      </c>
      <c r="H1068" s="18">
        <f t="shared" si="113"/>
        <v>1352.6</v>
      </c>
      <c r="I1068" s="18">
        <f>I1069+I1070</f>
        <v>-51.6</v>
      </c>
      <c r="J1068" s="18">
        <f t="shared" si="114"/>
        <v>1301</v>
      </c>
      <c r="K1068" s="47">
        <f>K1069+K1070</f>
        <v>500</v>
      </c>
      <c r="L1068" s="18">
        <f t="shared" si="115"/>
        <v>1801</v>
      </c>
      <c r="M1068" s="47">
        <f>M1069+M1070</f>
        <v>-20</v>
      </c>
      <c r="N1068" s="18">
        <f t="shared" si="116"/>
        <v>1781</v>
      </c>
      <c r="O1068" s="47">
        <f>O1069+O1070</f>
        <v>0</v>
      </c>
      <c r="P1068" s="18">
        <f t="shared" si="117"/>
        <v>1781</v>
      </c>
      <c r="Q1068" s="47">
        <f>Q1069+Q1070</f>
        <v>-207.6</v>
      </c>
      <c r="R1068" s="18">
        <f t="shared" si="270"/>
        <v>1573.4</v>
      </c>
      <c r="S1068" s="47">
        <f>S1069+S1070</f>
        <v>-32.299999999999997</v>
      </c>
      <c r="T1068" s="18">
        <f t="shared" si="186"/>
        <v>1541.1000000000001</v>
      </c>
      <c r="U1068" s="47">
        <f>U1069+U1070</f>
        <v>-16.899999999999999</v>
      </c>
      <c r="V1068" s="18">
        <f t="shared" si="285"/>
        <v>1524.2</v>
      </c>
      <c r="W1068" s="47">
        <f>W1069+W1070</f>
        <v>-28.5</v>
      </c>
      <c r="X1068" s="18">
        <f t="shared" si="277"/>
        <v>1495.7</v>
      </c>
    </row>
    <row r="1069" spans="1:27" x14ac:dyDescent="0.25">
      <c r="A1069" s="7" t="s">
        <v>54</v>
      </c>
      <c r="B1069" s="25" t="s">
        <v>85</v>
      </c>
      <c r="C1069" s="25" t="s">
        <v>34</v>
      </c>
      <c r="D1069" s="19">
        <v>1252.5999999999999</v>
      </c>
      <c r="E1069" s="19"/>
      <c r="F1069" s="18">
        <f t="shared" si="112"/>
        <v>1252.5999999999999</v>
      </c>
      <c r="G1069" s="19"/>
      <c r="H1069" s="18">
        <f t="shared" si="113"/>
        <v>1252.5999999999999</v>
      </c>
      <c r="I1069" s="62">
        <v>-51.6</v>
      </c>
      <c r="J1069" s="18">
        <f t="shared" si="114"/>
        <v>1201</v>
      </c>
      <c r="K1069" s="97">
        <v>500</v>
      </c>
      <c r="L1069" s="18">
        <f t="shared" si="115"/>
        <v>1701</v>
      </c>
      <c r="M1069" s="62">
        <v>-20</v>
      </c>
      <c r="N1069" s="18">
        <f t="shared" si="116"/>
        <v>1681</v>
      </c>
      <c r="O1069" s="64"/>
      <c r="P1069" s="18">
        <f t="shared" si="117"/>
        <v>1681</v>
      </c>
      <c r="Q1069" s="44">
        <v>-137.6</v>
      </c>
      <c r="R1069" s="18">
        <f t="shared" si="270"/>
        <v>1543.4</v>
      </c>
      <c r="S1069" s="62">
        <v>-32.299999999999997</v>
      </c>
      <c r="T1069" s="18">
        <f t="shared" si="186"/>
        <v>1511.1000000000001</v>
      </c>
      <c r="U1069" s="64"/>
      <c r="V1069" s="18">
        <f t="shared" si="285"/>
        <v>1511.1000000000001</v>
      </c>
      <c r="W1069" s="44">
        <v>-28.5</v>
      </c>
      <c r="X1069" s="18">
        <f t="shared" si="277"/>
        <v>1482.6000000000001</v>
      </c>
      <c r="Y1069" s="43">
        <v>-28.5</v>
      </c>
      <c r="Z1069" s="43">
        <f t="shared" ref="Z1069:Z1070" si="294">X1069+Y1069</f>
        <v>1454.1000000000001</v>
      </c>
      <c r="AA1069" s="43"/>
    </row>
    <row r="1070" spans="1:27" ht="36.75" x14ac:dyDescent="0.25">
      <c r="A1070" s="10" t="s">
        <v>172</v>
      </c>
      <c r="B1070" s="25" t="s">
        <v>85</v>
      </c>
      <c r="C1070" s="25" t="s">
        <v>173</v>
      </c>
      <c r="D1070" s="19">
        <v>100</v>
      </c>
      <c r="E1070" s="19"/>
      <c r="F1070" s="18">
        <f t="shared" si="112"/>
        <v>100</v>
      </c>
      <c r="G1070" s="19"/>
      <c r="H1070" s="18">
        <f t="shared" si="113"/>
        <v>100</v>
      </c>
      <c r="I1070" s="19"/>
      <c r="J1070" s="18">
        <f t="shared" si="114"/>
        <v>100</v>
      </c>
      <c r="K1070" s="64"/>
      <c r="L1070" s="18">
        <f t="shared" si="115"/>
        <v>100</v>
      </c>
      <c r="M1070" s="64"/>
      <c r="N1070" s="18">
        <f t="shared" si="116"/>
        <v>100</v>
      </c>
      <c r="O1070" s="64"/>
      <c r="P1070" s="18">
        <f t="shared" si="117"/>
        <v>100</v>
      </c>
      <c r="Q1070" s="44">
        <v>-70</v>
      </c>
      <c r="R1070" s="18">
        <f t="shared" si="270"/>
        <v>30</v>
      </c>
      <c r="S1070" s="64"/>
      <c r="T1070" s="18">
        <f t="shared" si="186"/>
        <v>30</v>
      </c>
      <c r="U1070" s="96">
        <v>-16.899999999999999</v>
      </c>
      <c r="V1070" s="18">
        <f t="shared" si="285"/>
        <v>13.100000000000001</v>
      </c>
      <c r="W1070" s="64"/>
      <c r="X1070" s="18">
        <f t="shared" si="277"/>
        <v>13.100000000000001</v>
      </c>
      <c r="Z1070" s="43">
        <f t="shared" si="294"/>
        <v>13.100000000000001</v>
      </c>
      <c r="AA1070" s="43"/>
    </row>
    <row r="1071" spans="1:27" ht="24.75" x14ac:dyDescent="0.25">
      <c r="A1071" s="28" t="s">
        <v>1304</v>
      </c>
      <c r="B1071" s="26" t="s">
        <v>1305</v>
      </c>
      <c r="C1071" s="27"/>
      <c r="D1071" s="19"/>
      <c r="E1071" s="19"/>
      <c r="F1071" s="18"/>
      <c r="G1071" s="19"/>
      <c r="H1071" s="18"/>
      <c r="I1071" s="19"/>
      <c r="J1071" s="18"/>
      <c r="K1071" s="64"/>
      <c r="L1071" s="18"/>
      <c r="M1071" s="64"/>
      <c r="N1071" s="18"/>
      <c r="O1071" s="64"/>
      <c r="P1071" s="18"/>
      <c r="Q1071" s="44"/>
      <c r="R1071" s="18"/>
      <c r="S1071" s="64"/>
      <c r="T1071" s="18"/>
      <c r="U1071" s="96"/>
      <c r="V1071" s="18">
        <f>V1072</f>
        <v>0</v>
      </c>
      <c r="W1071" s="47">
        <f>W1072+W1073</f>
        <v>500</v>
      </c>
      <c r="X1071" s="18">
        <f t="shared" ref="X1071:X1073" si="295">V1071+W1071</f>
        <v>500</v>
      </c>
    </row>
    <row r="1072" spans="1:27" x14ac:dyDescent="0.25">
      <c r="A1072" s="7" t="s">
        <v>54</v>
      </c>
      <c r="B1072" s="27" t="s">
        <v>1305</v>
      </c>
      <c r="C1072" s="27" t="s">
        <v>34</v>
      </c>
      <c r="D1072" s="19"/>
      <c r="E1072" s="19"/>
      <c r="F1072" s="18"/>
      <c r="G1072" s="19"/>
      <c r="H1072" s="18"/>
      <c r="I1072" s="19"/>
      <c r="J1072" s="18"/>
      <c r="K1072" s="64"/>
      <c r="L1072" s="18"/>
      <c r="M1072" s="64"/>
      <c r="N1072" s="18"/>
      <c r="O1072" s="64"/>
      <c r="P1072" s="18"/>
      <c r="Q1072" s="44"/>
      <c r="R1072" s="18"/>
      <c r="S1072" s="64"/>
      <c r="T1072" s="18"/>
      <c r="U1072" s="96"/>
      <c r="V1072" s="18"/>
      <c r="W1072" s="45">
        <v>494.5</v>
      </c>
      <c r="X1072" s="18">
        <f t="shared" si="295"/>
        <v>494.5</v>
      </c>
      <c r="Z1072" s="43">
        <f t="shared" ref="Z1072:Z1073" si="296">X1072+Y1072</f>
        <v>494.5</v>
      </c>
      <c r="AA1072" s="43"/>
    </row>
    <row r="1073" spans="1:27" x14ac:dyDescent="0.25">
      <c r="A1073" s="7" t="s">
        <v>54</v>
      </c>
      <c r="B1073" s="27" t="s">
        <v>1305</v>
      </c>
      <c r="C1073" s="27" t="s">
        <v>34</v>
      </c>
      <c r="D1073" s="19"/>
      <c r="E1073" s="19"/>
      <c r="F1073" s="18"/>
      <c r="G1073" s="19"/>
      <c r="H1073" s="18"/>
      <c r="I1073" s="19"/>
      <c r="J1073" s="18"/>
      <c r="K1073" s="64"/>
      <c r="L1073" s="18"/>
      <c r="M1073" s="64"/>
      <c r="N1073" s="18"/>
      <c r="O1073" s="64"/>
      <c r="P1073" s="18"/>
      <c r="Q1073" s="44"/>
      <c r="R1073" s="18"/>
      <c r="S1073" s="64"/>
      <c r="T1073" s="18"/>
      <c r="U1073" s="96"/>
      <c r="V1073" s="18"/>
      <c r="W1073" s="44">
        <v>5.5</v>
      </c>
      <c r="X1073" s="18">
        <f t="shared" si="295"/>
        <v>5.5</v>
      </c>
      <c r="Y1073" s="43">
        <f>0.2+5.3</f>
        <v>5.5</v>
      </c>
      <c r="Z1073" s="43">
        <f t="shared" si="296"/>
        <v>11</v>
      </c>
      <c r="AA1073" s="43"/>
    </row>
    <row r="1074" spans="1:27" x14ac:dyDescent="0.25">
      <c r="A1074" s="33" t="s">
        <v>662</v>
      </c>
      <c r="B1074" s="26" t="s">
        <v>1292</v>
      </c>
      <c r="C1074" s="27"/>
      <c r="D1074" s="19"/>
      <c r="E1074" s="19"/>
      <c r="F1074" s="18"/>
      <c r="G1074" s="19"/>
      <c r="H1074" s="18"/>
      <c r="I1074" s="19"/>
      <c r="J1074" s="18"/>
      <c r="K1074" s="64"/>
      <c r="L1074" s="18"/>
      <c r="M1074" s="64"/>
      <c r="N1074" s="18"/>
      <c r="O1074" s="64"/>
      <c r="P1074" s="18"/>
      <c r="Q1074" s="44"/>
      <c r="R1074" s="18"/>
      <c r="S1074" s="64"/>
      <c r="T1074" s="18"/>
      <c r="U1074" s="47">
        <f>U1075+U1076</f>
        <v>82.6</v>
      </c>
      <c r="V1074" s="18">
        <f t="shared" si="285"/>
        <v>82.6</v>
      </c>
      <c r="W1074" s="47">
        <f>W1075+W1076</f>
        <v>0</v>
      </c>
      <c r="X1074" s="18">
        <f t="shared" si="277"/>
        <v>82.6</v>
      </c>
    </row>
    <row r="1075" spans="1:27" x14ac:dyDescent="0.25">
      <c r="A1075" s="7" t="s">
        <v>496</v>
      </c>
      <c r="B1075" s="27" t="s">
        <v>1292</v>
      </c>
      <c r="C1075" s="27" t="s">
        <v>71</v>
      </c>
      <c r="D1075" s="19"/>
      <c r="E1075" s="19"/>
      <c r="F1075" s="18"/>
      <c r="G1075" s="19"/>
      <c r="H1075" s="18"/>
      <c r="I1075" s="19"/>
      <c r="J1075" s="18"/>
      <c r="K1075" s="64"/>
      <c r="L1075" s="18"/>
      <c r="M1075" s="64"/>
      <c r="N1075" s="18"/>
      <c r="O1075" s="64"/>
      <c r="P1075" s="18"/>
      <c r="Q1075" s="44"/>
      <c r="R1075" s="18"/>
      <c r="S1075" s="64"/>
      <c r="T1075" s="18"/>
      <c r="U1075" s="157">
        <v>63.4</v>
      </c>
      <c r="V1075" s="18">
        <f t="shared" si="285"/>
        <v>63.4</v>
      </c>
      <c r="W1075" s="64"/>
      <c r="X1075" s="18">
        <f t="shared" si="277"/>
        <v>63.4</v>
      </c>
      <c r="Z1075" s="43">
        <f t="shared" ref="Z1075:Z1076" si="297">X1075+Y1075</f>
        <v>63.4</v>
      </c>
      <c r="AA1075" s="43"/>
    </row>
    <row r="1076" spans="1:27" ht="24.75" x14ac:dyDescent="0.25">
      <c r="A1076" s="7" t="s">
        <v>497</v>
      </c>
      <c r="B1076" s="27" t="s">
        <v>1292</v>
      </c>
      <c r="C1076" s="27" t="s">
        <v>74</v>
      </c>
      <c r="D1076" s="19"/>
      <c r="E1076" s="19"/>
      <c r="F1076" s="18"/>
      <c r="G1076" s="19"/>
      <c r="H1076" s="18"/>
      <c r="I1076" s="19"/>
      <c r="J1076" s="18"/>
      <c r="K1076" s="64"/>
      <c r="L1076" s="18"/>
      <c r="M1076" s="64"/>
      <c r="N1076" s="18"/>
      <c r="O1076" s="64"/>
      <c r="P1076" s="18"/>
      <c r="Q1076" s="44"/>
      <c r="R1076" s="18"/>
      <c r="S1076" s="64"/>
      <c r="T1076" s="18"/>
      <c r="U1076" s="157">
        <v>19.2</v>
      </c>
      <c r="V1076" s="18">
        <f t="shared" si="285"/>
        <v>19.2</v>
      </c>
      <c r="W1076" s="64"/>
      <c r="X1076" s="18">
        <f t="shared" si="277"/>
        <v>19.2</v>
      </c>
      <c r="Z1076" s="43">
        <f t="shared" si="297"/>
        <v>19.2</v>
      </c>
      <c r="AA1076" s="43"/>
    </row>
    <row r="1077" spans="1:27" ht="24.75" x14ac:dyDescent="0.25">
      <c r="A1077" s="28" t="s">
        <v>688</v>
      </c>
      <c r="B1077" s="26" t="s">
        <v>689</v>
      </c>
      <c r="C1077" s="27"/>
      <c r="D1077" s="19"/>
      <c r="E1077" s="19"/>
      <c r="F1077" s="18"/>
      <c r="G1077" s="19"/>
      <c r="H1077" s="18"/>
      <c r="I1077" s="47">
        <f>I1078+I1079+I1080+I1082</f>
        <v>4181.5</v>
      </c>
      <c r="J1077" s="18">
        <f t="shared" si="114"/>
        <v>4181.5</v>
      </c>
      <c r="K1077" s="47">
        <f>K1078+K1079+K1080+K1082</f>
        <v>0</v>
      </c>
      <c r="L1077" s="18">
        <f t="shared" si="115"/>
        <v>4181.5</v>
      </c>
      <c r="M1077" s="47">
        <f>M1078+M1079+M1080+M1082</f>
        <v>0</v>
      </c>
      <c r="N1077" s="18">
        <f t="shared" si="116"/>
        <v>4181.5</v>
      </c>
      <c r="O1077" s="47">
        <f>O1078+O1079+O1080+O1082</f>
        <v>0</v>
      </c>
      <c r="P1077" s="18">
        <f t="shared" si="117"/>
        <v>4181.5</v>
      </c>
      <c r="Q1077" s="47">
        <f>Q1078+Q1079+Q1080+Q1082</f>
        <v>1350.2</v>
      </c>
      <c r="R1077" s="18">
        <f t="shared" si="270"/>
        <v>5531.7</v>
      </c>
      <c r="S1077" s="47">
        <f>S1078+S1079+S1080+S1082+S1081</f>
        <v>0</v>
      </c>
      <c r="T1077" s="18">
        <f t="shared" si="186"/>
        <v>5531.7</v>
      </c>
      <c r="U1077" s="47">
        <f>U1078+U1079+U1080+U1082+U1081</f>
        <v>0</v>
      </c>
      <c r="V1077" s="18">
        <f t="shared" si="285"/>
        <v>5531.7</v>
      </c>
      <c r="W1077" s="47">
        <f>W1078+W1079+W1080+W1082+W1081</f>
        <v>0</v>
      </c>
      <c r="X1077" s="18">
        <f t="shared" si="277"/>
        <v>5531.7</v>
      </c>
    </row>
    <row r="1078" spans="1:27" x14ac:dyDescent="0.25">
      <c r="A1078" s="7" t="s">
        <v>496</v>
      </c>
      <c r="B1078" s="27" t="s">
        <v>689</v>
      </c>
      <c r="C1078" s="27" t="s">
        <v>71</v>
      </c>
      <c r="D1078" s="19"/>
      <c r="E1078" s="19"/>
      <c r="F1078" s="18"/>
      <c r="G1078" s="19"/>
      <c r="H1078" s="18"/>
      <c r="I1078" s="62">
        <v>3200.5</v>
      </c>
      <c r="J1078" s="18">
        <f t="shared" si="114"/>
        <v>3200.5</v>
      </c>
      <c r="K1078" s="64"/>
      <c r="L1078" s="18">
        <f t="shared" si="115"/>
        <v>3200.5</v>
      </c>
      <c r="M1078" s="64"/>
      <c r="N1078" s="18">
        <f t="shared" si="116"/>
        <v>3200.5</v>
      </c>
      <c r="O1078" s="64"/>
      <c r="P1078" s="18">
        <f t="shared" si="117"/>
        <v>3200.5</v>
      </c>
      <c r="Q1078" s="44">
        <v>690.9</v>
      </c>
      <c r="R1078" s="18">
        <f t="shared" si="270"/>
        <v>3891.4</v>
      </c>
      <c r="S1078" s="64"/>
      <c r="T1078" s="18">
        <f t="shared" si="186"/>
        <v>3891.4</v>
      </c>
      <c r="U1078" s="64"/>
      <c r="V1078" s="18">
        <f t="shared" si="285"/>
        <v>3891.4</v>
      </c>
      <c r="W1078" s="64"/>
      <c r="X1078" s="18">
        <f t="shared" si="277"/>
        <v>3891.4</v>
      </c>
      <c r="Z1078" s="43">
        <f t="shared" ref="Z1078:Z1082" si="298">X1078+Y1078</f>
        <v>3891.4</v>
      </c>
      <c r="AA1078" s="43"/>
    </row>
    <row r="1079" spans="1:27" ht="24.75" x14ac:dyDescent="0.25">
      <c r="A1079" s="7" t="s">
        <v>497</v>
      </c>
      <c r="B1079" s="27" t="s">
        <v>689</v>
      </c>
      <c r="C1079" s="27" t="s">
        <v>74</v>
      </c>
      <c r="D1079" s="19"/>
      <c r="E1079" s="19"/>
      <c r="F1079" s="18"/>
      <c r="G1079" s="19"/>
      <c r="H1079" s="18"/>
      <c r="I1079" s="62">
        <v>970</v>
      </c>
      <c r="J1079" s="18">
        <f t="shared" si="114"/>
        <v>970</v>
      </c>
      <c r="K1079" s="64"/>
      <c r="L1079" s="18">
        <f t="shared" si="115"/>
        <v>970</v>
      </c>
      <c r="M1079" s="64"/>
      <c r="N1079" s="18">
        <f t="shared" si="116"/>
        <v>970</v>
      </c>
      <c r="O1079" s="64"/>
      <c r="P1079" s="18">
        <f t="shared" si="117"/>
        <v>970</v>
      </c>
      <c r="Q1079" s="44">
        <f>307+87.3</f>
        <v>394.3</v>
      </c>
      <c r="R1079" s="18">
        <f t="shared" si="270"/>
        <v>1364.3</v>
      </c>
      <c r="S1079" s="64"/>
      <c r="T1079" s="18">
        <f t="shared" si="186"/>
        <v>1364.3</v>
      </c>
      <c r="U1079" s="64"/>
      <c r="V1079" s="18">
        <f t="shared" si="285"/>
        <v>1364.3</v>
      </c>
      <c r="W1079" s="64"/>
      <c r="X1079" s="18">
        <f t="shared" si="277"/>
        <v>1364.3</v>
      </c>
      <c r="Z1079" s="43">
        <f t="shared" si="298"/>
        <v>1364.3</v>
      </c>
      <c r="AA1079" s="43"/>
    </row>
    <row r="1080" spans="1:27" x14ac:dyDescent="0.25">
      <c r="A1080" s="7" t="s">
        <v>54</v>
      </c>
      <c r="B1080" s="27" t="s">
        <v>689</v>
      </c>
      <c r="C1080" s="27" t="s">
        <v>34</v>
      </c>
      <c r="D1080" s="19"/>
      <c r="E1080" s="19"/>
      <c r="F1080" s="18"/>
      <c r="G1080" s="19"/>
      <c r="H1080" s="18"/>
      <c r="I1080" s="62">
        <v>8</v>
      </c>
      <c r="J1080" s="18">
        <f t="shared" si="114"/>
        <v>8</v>
      </c>
      <c r="K1080" s="64"/>
      <c r="L1080" s="18">
        <f t="shared" si="115"/>
        <v>8</v>
      </c>
      <c r="M1080" s="64"/>
      <c r="N1080" s="18">
        <f t="shared" si="116"/>
        <v>8</v>
      </c>
      <c r="O1080" s="64"/>
      <c r="P1080" s="18">
        <f t="shared" si="117"/>
        <v>8</v>
      </c>
      <c r="Q1080" s="44">
        <f>165+100</f>
        <v>265</v>
      </c>
      <c r="R1080" s="18">
        <f t="shared" si="270"/>
        <v>273</v>
      </c>
      <c r="S1080" s="62">
        <v>-150</v>
      </c>
      <c r="T1080" s="18">
        <f t="shared" si="186"/>
        <v>123</v>
      </c>
      <c r="U1080" s="64"/>
      <c r="V1080" s="18">
        <f t="shared" si="285"/>
        <v>123</v>
      </c>
      <c r="W1080" s="64"/>
      <c r="X1080" s="18">
        <f t="shared" si="277"/>
        <v>123</v>
      </c>
      <c r="Z1080" s="43">
        <f t="shared" si="298"/>
        <v>123</v>
      </c>
      <c r="AA1080" s="43"/>
    </row>
    <row r="1081" spans="1:27" x14ac:dyDescent="0.25">
      <c r="A1081" s="7" t="s">
        <v>503</v>
      </c>
      <c r="B1081" s="27" t="s">
        <v>689</v>
      </c>
      <c r="C1081" s="27" t="s">
        <v>35</v>
      </c>
      <c r="D1081" s="19"/>
      <c r="E1081" s="19"/>
      <c r="F1081" s="18"/>
      <c r="G1081" s="19"/>
      <c r="H1081" s="18"/>
      <c r="I1081" s="62"/>
      <c r="J1081" s="18"/>
      <c r="K1081" s="64"/>
      <c r="L1081" s="18"/>
      <c r="M1081" s="64"/>
      <c r="N1081" s="18"/>
      <c r="O1081" s="64"/>
      <c r="P1081" s="18"/>
      <c r="Q1081" s="44"/>
      <c r="R1081" s="18"/>
      <c r="S1081" s="62">
        <v>150</v>
      </c>
      <c r="T1081" s="18">
        <f t="shared" ref="T1081" si="299">R1081+S1081</f>
        <v>150</v>
      </c>
      <c r="U1081" s="64"/>
      <c r="V1081" s="18">
        <f t="shared" si="285"/>
        <v>150</v>
      </c>
      <c r="W1081" s="64"/>
      <c r="X1081" s="18">
        <f t="shared" si="277"/>
        <v>150</v>
      </c>
      <c r="Z1081" s="43">
        <f t="shared" si="298"/>
        <v>150</v>
      </c>
      <c r="AA1081" s="43"/>
    </row>
    <row r="1082" spans="1:27" x14ac:dyDescent="0.25">
      <c r="A1082" s="58" t="s">
        <v>39</v>
      </c>
      <c r="B1082" s="27" t="s">
        <v>689</v>
      </c>
      <c r="C1082" s="27" t="s">
        <v>40</v>
      </c>
      <c r="D1082" s="19"/>
      <c r="E1082" s="19"/>
      <c r="F1082" s="18"/>
      <c r="G1082" s="19"/>
      <c r="H1082" s="18"/>
      <c r="I1082" s="62">
        <v>3</v>
      </c>
      <c r="J1082" s="18">
        <f t="shared" si="114"/>
        <v>3</v>
      </c>
      <c r="K1082" s="64"/>
      <c r="L1082" s="18">
        <f t="shared" si="115"/>
        <v>3</v>
      </c>
      <c r="M1082" s="64"/>
      <c r="N1082" s="18">
        <f t="shared" si="116"/>
        <v>3</v>
      </c>
      <c r="O1082" s="64"/>
      <c r="P1082" s="18">
        <f t="shared" si="117"/>
        <v>3</v>
      </c>
      <c r="Q1082" s="64"/>
      <c r="R1082" s="18">
        <f t="shared" si="270"/>
        <v>3</v>
      </c>
      <c r="S1082" s="64"/>
      <c r="T1082" s="18">
        <f t="shared" si="186"/>
        <v>3</v>
      </c>
      <c r="U1082" s="64"/>
      <c r="V1082" s="18">
        <f t="shared" si="285"/>
        <v>3</v>
      </c>
      <c r="W1082" s="64"/>
      <c r="X1082" s="18">
        <f t="shared" si="277"/>
        <v>3</v>
      </c>
      <c r="Z1082" s="43">
        <f t="shared" si="298"/>
        <v>3</v>
      </c>
      <c r="AA1082" s="43"/>
    </row>
    <row r="1083" spans="1:27" ht="24.75" x14ac:dyDescent="0.25">
      <c r="A1083" s="16" t="s">
        <v>480</v>
      </c>
      <c r="B1083" s="22" t="s">
        <v>149</v>
      </c>
      <c r="C1083" s="22" t="s">
        <v>2</v>
      </c>
      <c r="D1083" s="17">
        <f>D1084+D1207+D1227</f>
        <v>327538.49999999994</v>
      </c>
      <c r="E1083" s="17">
        <f>E1084+E1207+E1227</f>
        <v>314351.8</v>
      </c>
      <c r="F1083" s="17">
        <f t="shared" si="112"/>
        <v>641890.29999999993</v>
      </c>
      <c r="G1083" s="17">
        <f>G1084+G1207+G1227</f>
        <v>286374.59999999998</v>
      </c>
      <c r="H1083" s="17">
        <f t="shared" si="113"/>
        <v>928264.89999999991</v>
      </c>
      <c r="I1083" s="17">
        <f>I1084+I1207+I1227</f>
        <v>61097.299999999996</v>
      </c>
      <c r="J1083" s="17">
        <f t="shared" si="114"/>
        <v>989362.2</v>
      </c>
      <c r="K1083" s="17">
        <f>K1084+K1207+K1227</f>
        <v>72816.399999999994</v>
      </c>
      <c r="L1083" s="17">
        <f t="shared" si="115"/>
        <v>1062178.5999999999</v>
      </c>
      <c r="M1083" s="17">
        <f>M1084+M1207+M1227</f>
        <v>24467.799999999996</v>
      </c>
      <c r="N1083" s="17">
        <f t="shared" si="116"/>
        <v>1086646.3999999999</v>
      </c>
      <c r="O1083" s="17">
        <f>O1084+O1207+O1227</f>
        <v>124776.30000000002</v>
      </c>
      <c r="P1083" s="17">
        <f t="shared" si="117"/>
        <v>1211422.7</v>
      </c>
      <c r="Q1083" s="17">
        <f>Q1084+Q1207+Q1227</f>
        <v>60637.299999999988</v>
      </c>
      <c r="R1083" s="17">
        <f t="shared" si="270"/>
        <v>1272060</v>
      </c>
      <c r="S1083" s="17">
        <f>S1084+S1207+S1227</f>
        <v>-18319.2</v>
      </c>
      <c r="T1083" s="17">
        <f t="shared" si="186"/>
        <v>1253740.8</v>
      </c>
      <c r="U1083" s="17">
        <f>U1084+U1207+U1227</f>
        <v>-21412.800000000003</v>
      </c>
      <c r="V1083" s="17">
        <f t="shared" si="285"/>
        <v>1232328</v>
      </c>
      <c r="W1083" s="17">
        <f>W1084+W1207+W1227</f>
        <v>115813.79999999999</v>
      </c>
      <c r="X1083" s="17">
        <f t="shared" si="277"/>
        <v>1348141.8</v>
      </c>
    </row>
    <row r="1084" spans="1:27" ht="24.75" x14ac:dyDescent="0.25">
      <c r="A1084" s="13" t="s">
        <v>481</v>
      </c>
      <c r="B1084" s="24" t="s">
        <v>176</v>
      </c>
      <c r="C1084" s="24" t="s">
        <v>2</v>
      </c>
      <c r="D1084" s="18">
        <f>D1085+D1112+D1192+D1199+D1178+D1166+D1184</f>
        <v>182702.59999999995</v>
      </c>
      <c r="E1084" s="18">
        <f>E1085+E1112+E1192+E1199+E1178+E1166+E1184</f>
        <v>274351.8</v>
      </c>
      <c r="F1084" s="18">
        <f t="shared" si="112"/>
        <v>457054.39999999991</v>
      </c>
      <c r="G1084" s="18">
        <f>G1085+G1112+G1192+G1199+G1178+G1166+G1184</f>
        <v>86374.6</v>
      </c>
      <c r="H1084" s="18">
        <f t="shared" si="113"/>
        <v>543428.99999999988</v>
      </c>
      <c r="I1084" s="18">
        <f>I1085+I1112+I1192+I1199+I1178+I1166+I1184</f>
        <v>60964.2</v>
      </c>
      <c r="J1084" s="18">
        <f t="shared" si="114"/>
        <v>604393.19999999984</v>
      </c>
      <c r="K1084" s="18">
        <f>K1085+K1112+K1192+K1199+K1178+K1166+K1184</f>
        <v>52483.4</v>
      </c>
      <c r="L1084" s="18">
        <f t="shared" si="115"/>
        <v>656876.59999999986</v>
      </c>
      <c r="M1084" s="18">
        <f>M1085+M1112+M1192+M1199+M1178+M1166+M1184</f>
        <v>9765.8999999999978</v>
      </c>
      <c r="N1084" s="18">
        <f t="shared" si="116"/>
        <v>666642.49999999988</v>
      </c>
      <c r="O1084" s="18">
        <f>O1085+O1112+O1192+O1199+O1178+O1166+O1184</f>
        <v>43827.9</v>
      </c>
      <c r="P1084" s="18">
        <f t="shared" si="117"/>
        <v>710470.39999999991</v>
      </c>
      <c r="Q1084" s="18">
        <f>Q1085+Q1112+Q1192+Q1199+Q1178+Q1166+Q1184</f>
        <v>47984.999999999993</v>
      </c>
      <c r="R1084" s="18">
        <f t="shared" si="270"/>
        <v>758455.39999999991</v>
      </c>
      <c r="S1084" s="18">
        <f>S1085+S1112+S1192+S1199+S1178+S1166+S1184</f>
        <v>-17548.900000000001</v>
      </c>
      <c r="T1084" s="18">
        <f t="shared" si="186"/>
        <v>740906.49999999988</v>
      </c>
      <c r="U1084" s="18">
        <f>U1085+U1112+U1192+U1199+U1178+U1166+U1184</f>
        <v>-14628.500000000002</v>
      </c>
      <c r="V1084" s="18">
        <f t="shared" si="285"/>
        <v>726277.99999999988</v>
      </c>
      <c r="W1084" s="18">
        <f>W1085+W1112+W1192+W1199+W1178+W1166+W1184</f>
        <v>97602.099999999991</v>
      </c>
      <c r="X1084" s="18">
        <f t="shared" si="277"/>
        <v>823880.09999999986</v>
      </c>
    </row>
    <row r="1085" spans="1:27" ht="24.75" x14ac:dyDescent="0.25">
      <c r="A1085" s="13" t="s">
        <v>182</v>
      </c>
      <c r="B1085" s="24" t="s">
        <v>183</v>
      </c>
      <c r="C1085" s="24" t="s">
        <v>2</v>
      </c>
      <c r="D1085" s="18">
        <f>D1089+D1093+D1104+D1109</f>
        <v>14022.4</v>
      </c>
      <c r="E1085" s="18">
        <f>E1089+E1093+E1104+E1109</f>
        <v>43.5</v>
      </c>
      <c r="F1085" s="18">
        <f t="shared" si="112"/>
        <v>14065.9</v>
      </c>
      <c r="G1085" s="18">
        <f>G1089+G1093+G1104+G1109</f>
        <v>0</v>
      </c>
      <c r="H1085" s="18">
        <f t="shared" si="113"/>
        <v>14065.9</v>
      </c>
      <c r="I1085" s="18">
        <f>I1089+I1093+I1104+I1109</f>
        <v>0</v>
      </c>
      <c r="J1085" s="18">
        <f t="shared" si="114"/>
        <v>14065.9</v>
      </c>
      <c r="K1085" s="18">
        <f>K1089+K1093+K1104+K1109</f>
        <v>-2943.3</v>
      </c>
      <c r="L1085" s="18">
        <f t="shared" si="115"/>
        <v>11122.599999999999</v>
      </c>
      <c r="M1085" s="18">
        <f>M1089+M1093+M1104+M1109</f>
        <v>1808.6</v>
      </c>
      <c r="N1085" s="18">
        <f t="shared" si="116"/>
        <v>12931.199999999999</v>
      </c>
      <c r="O1085" s="18">
        <f>O1089+O1093+O1104+O1109</f>
        <v>-1265.4000000000001</v>
      </c>
      <c r="P1085" s="18">
        <f t="shared" si="117"/>
        <v>11665.8</v>
      </c>
      <c r="Q1085" s="18">
        <f>Q1089+Q1093+Q1104+Q1109+Q1086</f>
        <v>16744.899999999998</v>
      </c>
      <c r="R1085" s="18">
        <f t="shared" si="270"/>
        <v>28410.699999999997</v>
      </c>
      <c r="S1085" s="18">
        <f>S1089+S1093+S1104+S1109+S1086+S1107</f>
        <v>255.39999999999964</v>
      </c>
      <c r="T1085" s="18">
        <f t="shared" si="186"/>
        <v>28666.1</v>
      </c>
      <c r="U1085" s="18">
        <f>U1089+U1093+U1104+U1109+U1086+U1107+U1101</f>
        <v>-17479.100000000002</v>
      </c>
      <c r="V1085" s="18">
        <f t="shared" si="285"/>
        <v>11186.999999999996</v>
      </c>
      <c r="W1085" s="18">
        <f>W1089+W1093+W1104+W1109+W1086+W1107+W1101</f>
        <v>430.29999999999995</v>
      </c>
      <c r="X1085" s="18">
        <f t="shared" si="277"/>
        <v>11617.299999999996</v>
      </c>
    </row>
    <row r="1086" spans="1:27" x14ac:dyDescent="0.25">
      <c r="A1086" s="33" t="s">
        <v>662</v>
      </c>
      <c r="B1086" s="26" t="s">
        <v>1132</v>
      </c>
      <c r="C1086" s="26"/>
      <c r="D1086" s="18"/>
      <c r="E1086" s="18"/>
      <c r="F1086" s="18"/>
      <c r="G1086" s="18"/>
      <c r="H1086" s="18"/>
      <c r="I1086" s="18"/>
      <c r="J1086" s="18"/>
      <c r="K1086" s="18"/>
      <c r="L1086" s="18"/>
      <c r="M1086" s="18"/>
      <c r="N1086" s="18"/>
      <c r="O1086" s="18"/>
      <c r="P1086" s="18"/>
      <c r="Q1086" s="20">
        <f>Q1087+Q1088</f>
        <v>106.8</v>
      </c>
      <c r="R1086" s="18">
        <f t="shared" si="270"/>
        <v>106.8</v>
      </c>
      <c r="S1086" s="20">
        <f>S1087+S1088</f>
        <v>0</v>
      </c>
      <c r="T1086" s="18">
        <f t="shared" si="186"/>
        <v>106.8</v>
      </c>
      <c r="U1086" s="20">
        <f>U1087+U1088</f>
        <v>0</v>
      </c>
      <c r="V1086" s="18">
        <f t="shared" ref="V1086:V1204" si="300">T1086+U1086</f>
        <v>106.8</v>
      </c>
      <c r="W1086" s="20">
        <f>W1087+W1088</f>
        <v>0</v>
      </c>
      <c r="X1086" s="18">
        <f t="shared" si="277"/>
        <v>106.8</v>
      </c>
    </row>
    <row r="1087" spans="1:27" x14ac:dyDescent="0.25">
      <c r="A1087" s="8" t="s">
        <v>498</v>
      </c>
      <c r="B1087" s="27" t="s">
        <v>1132</v>
      </c>
      <c r="C1087" s="27" t="s">
        <v>8</v>
      </c>
      <c r="D1087" s="18"/>
      <c r="E1087" s="18"/>
      <c r="F1087" s="18"/>
      <c r="G1087" s="18"/>
      <c r="H1087" s="18"/>
      <c r="I1087" s="18"/>
      <c r="J1087" s="18"/>
      <c r="K1087" s="18"/>
      <c r="L1087" s="18"/>
      <c r="M1087" s="18"/>
      <c r="N1087" s="18"/>
      <c r="O1087" s="18"/>
      <c r="P1087" s="18"/>
      <c r="Q1087" s="45">
        <v>82</v>
      </c>
      <c r="R1087" s="18">
        <f t="shared" si="270"/>
        <v>82</v>
      </c>
      <c r="S1087" s="64"/>
      <c r="T1087" s="18">
        <f t="shared" si="186"/>
        <v>82</v>
      </c>
      <c r="U1087" s="64"/>
      <c r="V1087" s="18">
        <f t="shared" si="300"/>
        <v>82</v>
      </c>
      <c r="W1087" s="64"/>
      <c r="X1087" s="18">
        <f t="shared" si="277"/>
        <v>82</v>
      </c>
      <c r="Z1087" s="43">
        <f t="shared" ref="Z1087:Z1088" si="301">X1087+Y1087</f>
        <v>82</v>
      </c>
      <c r="AA1087" s="43"/>
    </row>
    <row r="1088" spans="1:27" ht="36.75" x14ac:dyDescent="0.25">
      <c r="A1088" s="8" t="s">
        <v>500</v>
      </c>
      <c r="B1088" s="27" t="s">
        <v>1132</v>
      </c>
      <c r="C1088" s="27" t="s">
        <v>9</v>
      </c>
      <c r="D1088" s="18"/>
      <c r="E1088" s="18"/>
      <c r="F1088" s="18"/>
      <c r="G1088" s="18"/>
      <c r="H1088" s="18"/>
      <c r="I1088" s="18"/>
      <c r="J1088" s="18"/>
      <c r="K1088" s="18"/>
      <c r="L1088" s="18"/>
      <c r="M1088" s="18"/>
      <c r="N1088" s="18"/>
      <c r="O1088" s="18"/>
      <c r="P1088" s="18"/>
      <c r="Q1088" s="45">
        <v>24.8</v>
      </c>
      <c r="R1088" s="18">
        <f t="shared" si="270"/>
        <v>24.8</v>
      </c>
      <c r="S1088" s="64"/>
      <c r="T1088" s="18">
        <f t="shared" si="186"/>
        <v>24.8</v>
      </c>
      <c r="U1088" s="64"/>
      <c r="V1088" s="18">
        <f t="shared" si="300"/>
        <v>24.8</v>
      </c>
      <c r="W1088" s="64"/>
      <c r="X1088" s="18">
        <f t="shared" si="277"/>
        <v>24.8</v>
      </c>
      <c r="Z1088" s="43">
        <f t="shared" si="301"/>
        <v>24.8</v>
      </c>
      <c r="AA1088" s="43"/>
    </row>
    <row r="1089" spans="1:27" ht="36.75" x14ac:dyDescent="0.25">
      <c r="A1089" s="13" t="s">
        <v>239</v>
      </c>
      <c r="B1089" s="24" t="s">
        <v>240</v>
      </c>
      <c r="C1089" s="24" t="s">
        <v>2</v>
      </c>
      <c r="D1089" s="18">
        <f>D1090+D1091+D1092</f>
        <v>82.600000000000009</v>
      </c>
      <c r="E1089" s="18">
        <f>E1090+E1091+E1092</f>
        <v>0</v>
      </c>
      <c r="F1089" s="18">
        <f t="shared" si="112"/>
        <v>82.600000000000009</v>
      </c>
      <c r="G1089" s="18">
        <f>G1090+G1091+G1092</f>
        <v>0</v>
      </c>
      <c r="H1089" s="18">
        <f t="shared" si="113"/>
        <v>82.600000000000009</v>
      </c>
      <c r="I1089" s="18">
        <f>I1090+I1091+I1092</f>
        <v>0</v>
      </c>
      <c r="J1089" s="18">
        <f t="shared" si="114"/>
        <v>82.600000000000009</v>
      </c>
      <c r="K1089" s="18">
        <f>K1090+K1091+K1092</f>
        <v>0</v>
      </c>
      <c r="L1089" s="18">
        <f t="shared" si="115"/>
        <v>82.600000000000009</v>
      </c>
      <c r="M1089" s="18">
        <f>M1090+M1091+M1092</f>
        <v>10</v>
      </c>
      <c r="N1089" s="18">
        <f t="shared" si="116"/>
        <v>92.600000000000009</v>
      </c>
      <c r="O1089" s="18">
        <f>O1090+O1091+O1092</f>
        <v>0</v>
      </c>
      <c r="P1089" s="18">
        <f t="shared" si="117"/>
        <v>92.600000000000009</v>
      </c>
      <c r="Q1089" s="18">
        <f>Q1090+Q1091+Q1092</f>
        <v>0</v>
      </c>
      <c r="R1089" s="18">
        <f t="shared" si="270"/>
        <v>92.600000000000009</v>
      </c>
      <c r="S1089" s="18">
        <f>S1090+S1091+S1092</f>
        <v>0</v>
      </c>
      <c r="T1089" s="18">
        <f t="shared" si="186"/>
        <v>92.600000000000009</v>
      </c>
      <c r="U1089" s="18">
        <f>U1090+U1091+U1092</f>
        <v>0</v>
      </c>
      <c r="V1089" s="18">
        <f t="shared" si="300"/>
        <v>92.600000000000009</v>
      </c>
      <c r="W1089" s="18">
        <f>W1090+W1091+W1092</f>
        <v>8.8000000000000007</v>
      </c>
      <c r="X1089" s="18">
        <f t="shared" si="277"/>
        <v>101.4</v>
      </c>
    </row>
    <row r="1090" spans="1:27" x14ac:dyDescent="0.25">
      <c r="A1090" s="7" t="s">
        <v>498</v>
      </c>
      <c r="B1090" s="25" t="s">
        <v>240</v>
      </c>
      <c r="C1090" s="25" t="s">
        <v>8</v>
      </c>
      <c r="D1090" s="19">
        <v>59.4</v>
      </c>
      <c r="E1090" s="19"/>
      <c r="F1090" s="18">
        <f t="shared" si="112"/>
        <v>59.4</v>
      </c>
      <c r="G1090" s="19"/>
      <c r="H1090" s="18">
        <f t="shared" si="113"/>
        <v>59.4</v>
      </c>
      <c r="I1090" s="19"/>
      <c r="J1090" s="18">
        <f t="shared" si="114"/>
        <v>59.4</v>
      </c>
      <c r="K1090" s="19"/>
      <c r="L1090" s="18">
        <f t="shared" si="115"/>
        <v>59.4</v>
      </c>
      <c r="M1090" s="19"/>
      <c r="N1090" s="18">
        <f t="shared" si="116"/>
        <v>59.4</v>
      </c>
      <c r="O1090" s="19"/>
      <c r="P1090" s="18">
        <f t="shared" si="117"/>
        <v>59.4</v>
      </c>
      <c r="Q1090" s="19"/>
      <c r="R1090" s="18">
        <f t="shared" si="270"/>
        <v>59.4</v>
      </c>
      <c r="S1090" s="122">
        <v>7</v>
      </c>
      <c r="T1090" s="18">
        <f t="shared" si="186"/>
        <v>66.400000000000006</v>
      </c>
      <c r="U1090" s="64"/>
      <c r="V1090" s="18">
        <f t="shared" si="300"/>
        <v>66.400000000000006</v>
      </c>
      <c r="W1090" s="45">
        <v>6.7</v>
      </c>
      <c r="X1090" s="18">
        <f t="shared" si="277"/>
        <v>73.100000000000009</v>
      </c>
      <c r="Z1090" s="43">
        <f t="shared" ref="Z1090:Z1092" si="302">X1090+Y1090</f>
        <v>73.100000000000009</v>
      </c>
      <c r="AA1090" s="43"/>
    </row>
    <row r="1091" spans="1:27" ht="29.25" customHeight="1" x14ac:dyDescent="0.25">
      <c r="A1091" s="9" t="s">
        <v>500</v>
      </c>
      <c r="B1091" s="25" t="s">
        <v>240</v>
      </c>
      <c r="C1091" s="25" t="s">
        <v>9</v>
      </c>
      <c r="D1091" s="19">
        <v>18</v>
      </c>
      <c r="E1091" s="19"/>
      <c r="F1091" s="18">
        <f t="shared" si="112"/>
        <v>18</v>
      </c>
      <c r="G1091" s="19"/>
      <c r="H1091" s="18">
        <f t="shared" si="113"/>
        <v>18</v>
      </c>
      <c r="I1091" s="19"/>
      <c r="J1091" s="18">
        <f t="shared" si="114"/>
        <v>18</v>
      </c>
      <c r="K1091" s="19"/>
      <c r="L1091" s="18">
        <f t="shared" si="115"/>
        <v>18</v>
      </c>
      <c r="M1091" s="19"/>
      <c r="N1091" s="18">
        <f t="shared" si="116"/>
        <v>18</v>
      </c>
      <c r="O1091" s="19"/>
      <c r="P1091" s="18">
        <f t="shared" si="117"/>
        <v>18</v>
      </c>
      <c r="Q1091" s="19"/>
      <c r="R1091" s="18">
        <f t="shared" si="270"/>
        <v>18</v>
      </c>
      <c r="S1091" s="122">
        <v>3</v>
      </c>
      <c r="T1091" s="18">
        <f t="shared" si="186"/>
        <v>21</v>
      </c>
      <c r="U1091" s="64"/>
      <c r="V1091" s="18">
        <f t="shared" si="300"/>
        <v>21</v>
      </c>
      <c r="W1091" s="45">
        <v>2.1</v>
      </c>
      <c r="X1091" s="18">
        <f t="shared" si="277"/>
        <v>23.1</v>
      </c>
      <c r="Z1091" s="43">
        <f t="shared" si="302"/>
        <v>23.1</v>
      </c>
      <c r="AA1091" s="43"/>
    </row>
    <row r="1092" spans="1:27" x14ac:dyDescent="0.25">
      <c r="A1092" s="7" t="s">
        <v>54</v>
      </c>
      <c r="B1092" s="25" t="s">
        <v>240</v>
      </c>
      <c r="C1092" s="25" t="s">
        <v>34</v>
      </c>
      <c r="D1092" s="19">
        <v>5.2</v>
      </c>
      <c r="E1092" s="19"/>
      <c r="F1092" s="18">
        <f t="shared" si="112"/>
        <v>5.2</v>
      </c>
      <c r="G1092" s="19"/>
      <c r="H1092" s="18">
        <f t="shared" si="113"/>
        <v>5.2</v>
      </c>
      <c r="I1092" s="19"/>
      <c r="J1092" s="18">
        <f t="shared" si="114"/>
        <v>5.2</v>
      </c>
      <c r="K1092" s="19"/>
      <c r="L1092" s="18">
        <f t="shared" si="115"/>
        <v>5.2</v>
      </c>
      <c r="M1092" s="45">
        <v>10</v>
      </c>
      <c r="N1092" s="18">
        <f t="shared" si="116"/>
        <v>15.2</v>
      </c>
      <c r="O1092" s="64"/>
      <c r="P1092" s="18">
        <f t="shared" si="117"/>
        <v>15.2</v>
      </c>
      <c r="Q1092" s="64"/>
      <c r="R1092" s="18">
        <f t="shared" si="270"/>
        <v>15.2</v>
      </c>
      <c r="S1092" s="122">
        <v>-10</v>
      </c>
      <c r="T1092" s="18">
        <f t="shared" si="186"/>
        <v>5.1999999999999993</v>
      </c>
      <c r="U1092" s="64"/>
      <c r="V1092" s="18">
        <f t="shared" si="300"/>
        <v>5.1999999999999993</v>
      </c>
      <c r="W1092" s="64"/>
      <c r="X1092" s="18">
        <f t="shared" si="277"/>
        <v>5.1999999999999993</v>
      </c>
      <c r="Z1092" s="43">
        <f t="shared" si="302"/>
        <v>5.1999999999999993</v>
      </c>
      <c r="AA1092" s="43"/>
    </row>
    <row r="1093" spans="1:27" x14ac:dyDescent="0.25">
      <c r="A1093" s="13" t="s">
        <v>44</v>
      </c>
      <c r="B1093" s="24" t="s">
        <v>184</v>
      </c>
      <c r="C1093" s="24" t="s">
        <v>2</v>
      </c>
      <c r="D1093" s="18">
        <f>D1094+D1095+D1096+D1097+D1098+D1099+D1100</f>
        <v>11709.8</v>
      </c>
      <c r="E1093" s="18">
        <f>E1094+E1095+E1096+E1097+E1098+E1099+E1100</f>
        <v>43.5</v>
      </c>
      <c r="F1093" s="18">
        <f t="shared" si="112"/>
        <v>11753.3</v>
      </c>
      <c r="G1093" s="18">
        <f>G1094+G1095+G1096+G1097+G1098+G1099+G1100</f>
        <v>0</v>
      </c>
      <c r="H1093" s="18">
        <f t="shared" si="113"/>
        <v>11753.3</v>
      </c>
      <c r="I1093" s="18">
        <f>I1094+I1095+I1096+I1097+I1098+I1099+I1100</f>
        <v>0</v>
      </c>
      <c r="J1093" s="18">
        <f t="shared" si="114"/>
        <v>11753.3</v>
      </c>
      <c r="K1093" s="18">
        <f>K1094+K1095+K1096+K1097+K1098+K1099+K1100</f>
        <v>-2943.3</v>
      </c>
      <c r="L1093" s="18">
        <f t="shared" si="115"/>
        <v>8810</v>
      </c>
      <c r="M1093" s="18">
        <f>M1094+M1095+M1096+M1097+M1098+M1099+M1100</f>
        <v>0</v>
      </c>
      <c r="N1093" s="18">
        <f t="shared" si="116"/>
        <v>8810</v>
      </c>
      <c r="O1093" s="18">
        <f>O1094+O1095+O1096+O1097+O1098+O1099+O1100</f>
        <v>0</v>
      </c>
      <c r="P1093" s="18">
        <f t="shared" si="117"/>
        <v>8810</v>
      </c>
      <c r="Q1093" s="18">
        <f>Q1094+Q1095+Q1096+Q1097+Q1098+Q1099+Q1100</f>
        <v>-2900</v>
      </c>
      <c r="R1093" s="18">
        <f t="shared" si="270"/>
        <v>5910</v>
      </c>
      <c r="S1093" s="18">
        <f>S1094+S1095+S1096+S1097+S1098+S1099+S1100</f>
        <v>0</v>
      </c>
      <c r="T1093" s="18">
        <f t="shared" ref="T1093:T1176" si="303">R1093+S1093</f>
        <v>5910</v>
      </c>
      <c r="U1093" s="18">
        <f>U1094+U1095+U1096+U1097+U1098+U1099+U1100</f>
        <v>0</v>
      </c>
      <c r="V1093" s="18">
        <f t="shared" si="300"/>
        <v>5910</v>
      </c>
      <c r="W1093" s="18">
        <f>W1094+W1095+W1096+W1097+W1098+W1099+W1100</f>
        <v>553.6</v>
      </c>
      <c r="X1093" s="18">
        <f t="shared" si="277"/>
        <v>6463.6</v>
      </c>
    </row>
    <row r="1094" spans="1:27" x14ac:dyDescent="0.25">
      <c r="A1094" s="7" t="s">
        <v>498</v>
      </c>
      <c r="B1094" s="25" t="s">
        <v>184</v>
      </c>
      <c r="C1094" s="25" t="s">
        <v>8</v>
      </c>
      <c r="D1094" s="19">
        <v>7628.2</v>
      </c>
      <c r="E1094" s="19"/>
      <c r="F1094" s="18">
        <f t="shared" si="112"/>
        <v>7628.2</v>
      </c>
      <c r="G1094" s="19"/>
      <c r="H1094" s="18">
        <f t="shared" si="113"/>
        <v>7628.2</v>
      </c>
      <c r="I1094" s="19"/>
      <c r="J1094" s="18">
        <f t="shared" si="114"/>
        <v>7628.2</v>
      </c>
      <c r="K1094" s="106">
        <v>-2336.3000000000002</v>
      </c>
      <c r="L1094" s="18">
        <f t="shared" si="115"/>
        <v>5291.9</v>
      </c>
      <c r="M1094" s="64"/>
      <c r="N1094" s="18">
        <f t="shared" si="116"/>
        <v>5291.9</v>
      </c>
      <c r="O1094" s="64"/>
      <c r="P1094" s="18">
        <f t="shared" si="117"/>
        <v>5291.9</v>
      </c>
      <c r="Q1094" s="44">
        <v>-2200</v>
      </c>
      <c r="R1094" s="18">
        <f t="shared" si="270"/>
        <v>3091.8999999999996</v>
      </c>
      <c r="S1094" s="64"/>
      <c r="T1094" s="18">
        <f t="shared" si="303"/>
        <v>3091.8999999999996</v>
      </c>
      <c r="U1094" s="64"/>
      <c r="V1094" s="18">
        <f t="shared" si="300"/>
        <v>3091.8999999999996</v>
      </c>
      <c r="W1094" s="44">
        <v>102</v>
      </c>
      <c r="X1094" s="18">
        <f t="shared" si="277"/>
        <v>3193.8999999999996</v>
      </c>
      <c r="Y1094" s="43">
        <v>102</v>
      </c>
      <c r="Z1094" s="43">
        <f t="shared" ref="Z1094:Z1100" si="304">X1094+Y1094</f>
        <v>3295.8999999999996</v>
      </c>
      <c r="AA1094" s="43"/>
    </row>
    <row r="1095" spans="1:27" ht="24.75" x14ac:dyDescent="0.25">
      <c r="A1095" s="7" t="s">
        <v>499</v>
      </c>
      <c r="B1095" s="25" t="s">
        <v>184</v>
      </c>
      <c r="C1095" s="25" t="s">
        <v>32</v>
      </c>
      <c r="D1095" s="19">
        <v>36.799999999999997</v>
      </c>
      <c r="E1095" s="19"/>
      <c r="F1095" s="18">
        <f t="shared" si="112"/>
        <v>36.799999999999997</v>
      </c>
      <c r="G1095" s="19"/>
      <c r="H1095" s="18">
        <f t="shared" si="113"/>
        <v>36.799999999999997</v>
      </c>
      <c r="I1095" s="19"/>
      <c r="J1095" s="18">
        <f t="shared" si="114"/>
        <v>36.799999999999997</v>
      </c>
      <c r="K1095" s="19"/>
      <c r="L1095" s="18">
        <f t="shared" si="115"/>
        <v>36.799999999999997</v>
      </c>
      <c r="M1095" s="19"/>
      <c r="N1095" s="18">
        <f t="shared" si="116"/>
        <v>36.799999999999997</v>
      </c>
      <c r="O1095" s="19"/>
      <c r="P1095" s="18">
        <f t="shared" si="117"/>
        <v>36.799999999999997</v>
      </c>
      <c r="Q1095" s="19"/>
      <c r="R1095" s="18">
        <f t="shared" si="270"/>
        <v>36.799999999999997</v>
      </c>
      <c r="S1095" s="64"/>
      <c r="T1095" s="18">
        <f t="shared" si="303"/>
        <v>36.799999999999997</v>
      </c>
      <c r="U1095" s="64"/>
      <c r="V1095" s="18">
        <f t="shared" si="300"/>
        <v>36.799999999999997</v>
      </c>
      <c r="W1095" s="44">
        <v>22.8</v>
      </c>
      <c r="X1095" s="18">
        <f t="shared" si="277"/>
        <v>59.599999999999994</v>
      </c>
      <c r="Y1095" s="43">
        <v>22.8</v>
      </c>
      <c r="Z1095" s="43">
        <f t="shared" si="304"/>
        <v>82.399999999999991</v>
      </c>
      <c r="AA1095" s="43"/>
    </row>
    <row r="1096" spans="1:27" ht="30" customHeight="1" x14ac:dyDescent="0.25">
      <c r="A1096" s="9" t="s">
        <v>500</v>
      </c>
      <c r="B1096" s="25" t="s">
        <v>184</v>
      </c>
      <c r="C1096" s="25" t="s">
        <v>9</v>
      </c>
      <c r="D1096" s="19">
        <v>2303</v>
      </c>
      <c r="E1096" s="19"/>
      <c r="F1096" s="18">
        <f t="shared" si="112"/>
        <v>2303</v>
      </c>
      <c r="G1096" s="19"/>
      <c r="H1096" s="18">
        <f t="shared" si="113"/>
        <v>2303</v>
      </c>
      <c r="I1096" s="19"/>
      <c r="J1096" s="18">
        <f t="shared" si="114"/>
        <v>2303</v>
      </c>
      <c r="K1096" s="106">
        <v>-607</v>
      </c>
      <c r="L1096" s="18">
        <f t="shared" si="115"/>
        <v>1696</v>
      </c>
      <c r="M1096" s="64"/>
      <c r="N1096" s="18">
        <f t="shared" si="116"/>
        <v>1696</v>
      </c>
      <c r="O1096" s="64"/>
      <c r="P1096" s="18">
        <f t="shared" si="117"/>
        <v>1696</v>
      </c>
      <c r="Q1096" s="44">
        <v>-700</v>
      </c>
      <c r="R1096" s="18">
        <f t="shared" si="270"/>
        <v>996</v>
      </c>
      <c r="S1096" s="64"/>
      <c r="T1096" s="18">
        <f t="shared" si="303"/>
        <v>996</v>
      </c>
      <c r="U1096" s="64"/>
      <c r="V1096" s="18">
        <f t="shared" si="300"/>
        <v>996</v>
      </c>
      <c r="W1096" s="64"/>
      <c r="X1096" s="18">
        <f t="shared" si="277"/>
        <v>996</v>
      </c>
      <c r="Z1096" s="43">
        <f t="shared" si="304"/>
        <v>996</v>
      </c>
      <c r="AA1096" s="43"/>
    </row>
    <row r="1097" spans="1:27" ht="18" customHeight="1" x14ac:dyDescent="0.25">
      <c r="A1097" s="9" t="s">
        <v>501</v>
      </c>
      <c r="B1097" s="25" t="s">
        <v>184</v>
      </c>
      <c r="C1097" s="25" t="s">
        <v>33</v>
      </c>
      <c r="D1097" s="19">
        <v>209.5</v>
      </c>
      <c r="E1097" s="44">
        <v>43.5</v>
      </c>
      <c r="F1097" s="18">
        <f t="shared" si="112"/>
        <v>253</v>
      </c>
      <c r="G1097" s="64"/>
      <c r="H1097" s="18">
        <f t="shared" si="113"/>
        <v>253</v>
      </c>
      <c r="I1097" s="64"/>
      <c r="J1097" s="18">
        <f t="shared" si="114"/>
        <v>253</v>
      </c>
      <c r="K1097" s="106">
        <v>50</v>
      </c>
      <c r="L1097" s="18">
        <f t="shared" si="115"/>
        <v>303</v>
      </c>
      <c r="M1097" s="64"/>
      <c r="N1097" s="18">
        <f t="shared" si="116"/>
        <v>303</v>
      </c>
      <c r="O1097" s="64"/>
      <c r="P1097" s="18">
        <f t="shared" si="117"/>
        <v>303</v>
      </c>
      <c r="Q1097" s="64"/>
      <c r="R1097" s="18">
        <f t="shared" si="270"/>
        <v>303</v>
      </c>
      <c r="S1097" s="62">
        <v>-20</v>
      </c>
      <c r="T1097" s="18">
        <f t="shared" si="303"/>
        <v>283</v>
      </c>
      <c r="U1097" s="64"/>
      <c r="V1097" s="18">
        <f t="shared" si="300"/>
        <v>283</v>
      </c>
      <c r="W1097" s="44">
        <v>109.3</v>
      </c>
      <c r="X1097" s="18">
        <f t="shared" si="277"/>
        <v>392.3</v>
      </c>
      <c r="Y1097" s="43">
        <v>109.3</v>
      </c>
      <c r="Z1097" s="43">
        <f t="shared" si="304"/>
        <v>501.6</v>
      </c>
      <c r="AA1097" s="43"/>
    </row>
    <row r="1098" spans="1:27" x14ac:dyDescent="0.25">
      <c r="A1098" s="7" t="s">
        <v>54</v>
      </c>
      <c r="B1098" s="25" t="s">
        <v>184</v>
      </c>
      <c r="C1098" s="25" t="s">
        <v>34</v>
      </c>
      <c r="D1098" s="19">
        <v>892.3</v>
      </c>
      <c r="E1098" s="19"/>
      <c r="F1098" s="18">
        <f t="shared" si="112"/>
        <v>892.3</v>
      </c>
      <c r="G1098" s="19"/>
      <c r="H1098" s="18">
        <f t="shared" si="113"/>
        <v>892.3</v>
      </c>
      <c r="I1098" s="19"/>
      <c r="J1098" s="18">
        <f t="shared" si="114"/>
        <v>892.3</v>
      </c>
      <c r="K1098" s="106">
        <v>-252.6</v>
      </c>
      <c r="L1098" s="18">
        <f t="shared" si="115"/>
        <v>639.69999999999993</v>
      </c>
      <c r="M1098" s="64"/>
      <c r="N1098" s="18">
        <f t="shared" si="116"/>
        <v>639.69999999999993</v>
      </c>
      <c r="O1098" s="64"/>
      <c r="P1098" s="18">
        <f t="shared" si="117"/>
        <v>639.69999999999993</v>
      </c>
      <c r="Q1098" s="44">
        <v>35</v>
      </c>
      <c r="R1098" s="18">
        <f t="shared" si="270"/>
        <v>674.69999999999993</v>
      </c>
      <c r="S1098" s="62">
        <v>20</v>
      </c>
      <c r="T1098" s="18">
        <f t="shared" si="303"/>
        <v>694.69999999999993</v>
      </c>
      <c r="U1098" s="64"/>
      <c r="V1098" s="18">
        <f t="shared" si="300"/>
        <v>694.69999999999993</v>
      </c>
      <c r="W1098" s="44">
        <v>319.5</v>
      </c>
      <c r="X1098" s="18">
        <f t="shared" si="277"/>
        <v>1014.1999999999999</v>
      </c>
      <c r="Z1098" s="43">
        <f t="shared" si="304"/>
        <v>1014.1999999999999</v>
      </c>
      <c r="AA1098" s="43"/>
    </row>
    <row r="1099" spans="1:27" x14ac:dyDescent="0.25">
      <c r="A1099" s="7" t="s">
        <v>503</v>
      </c>
      <c r="B1099" s="25" t="s">
        <v>184</v>
      </c>
      <c r="C1099" s="25" t="s">
        <v>35</v>
      </c>
      <c r="D1099" s="19">
        <v>580</v>
      </c>
      <c r="E1099" s="19"/>
      <c r="F1099" s="18">
        <f t="shared" si="112"/>
        <v>580</v>
      </c>
      <c r="G1099" s="19"/>
      <c r="H1099" s="18">
        <f t="shared" si="113"/>
        <v>580</v>
      </c>
      <c r="I1099" s="19"/>
      <c r="J1099" s="18">
        <f t="shared" si="114"/>
        <v>580</v>
      </c>
      <c r="K1099" s="106">
        <v>202.6</v>
      </c>
      <c r="L1099" s="18">
        <f t="shared" si="115"/>
        <v>782.6</v>
      </c>
      <c r="M1099" s="64"/>
      <c r="N1099" s="18">
        <f t="shared" si="116"/>
        <v>782.6</v>
      </c>
      <c r="O1099" s="64"/>
      <c r="P1099" s="18">
        <f t="shared" si="117"/>
        <v>782.6</v>
      </c>
      <c r="Q1099" s="64"/>
      <c r="R1099" s="18">
        <f t="shared" si="270"/>
        <v>782.6</v>
      </c>
      <c r="S1099" s="64"/>
      <c r="T1099" s="18">
        <f t="shared" si="303"/>
        <v>782.6</v>
      </c>
      <c r="U1099" s="64"/>
      <c r="V1099" s="18">
        <f t="shared" si="300"/>
        <v>782.6</v>
      </c>
      <c r="W1099" s="64"/>
      <c r="X1099" s="18">
        <f t="shared" si="277"/>
        <v>782.6</v>
      </c>
      <c r="Z1099" s="43">
        <f t="shared" si="304"/>
        <v>782.6</v>
      </c>
      <c r="AA1099" s="43"/>
    </row>
    <row r="1100" spans="1:27" x14ac:dyDescent="0.25">
      <c r="A1100" s="7" t="s">
        <v>37</v>
      </c>
      <c r="B1100" s="25" t="s">
        <v>184</v>
      </c>
      <c r="C1100" s="25" t="s">
        <v>38</v>
      </c>
      <c r="D1100" s="19">
        <v>60</v>
      </c>
      <c r="E1100" s="19"/>
      <c r="F1100" s="18">
        <f t="shared" si="112"/>
        <v>60</v>
      </c>
      <c r="G1100" s="19"/>
      <c r="H1100" s="18">
        <f t="shared" si="113"/>
        <v>60</v>
      </c>
      <c r="I1100" s="19"/>
      <c r="J1100" s="18">
        <f t="shared" si="114"/>
        <v>60</v>
      </c>
      <c r="K1100" s="19"/>
      <c r="L1100" s="18">
        <f t="shared" si="115"/>
        <v>60</v>
      </c>
      <c r="M1100" s="19"/>
      <c r="N1100" s="18">
        <f t="shared" si="116"/>
        <v>60</v>
      </c>
      <c r="O1100" s="19"/>
      <c r="P1100" s="18">
        <f t="shared" si="117"/>
        <v>60</v>
      </c>
      <c r="Q1100" s="44">
        <v>-35</v>
      </c>
      <c r="R1100" s="18">
        <f t="shared" si="270"/>
        <v>25</v>
      </c>
      <c r="S1100" s="64"/>
      <c r="T1100" s="18">
        <f t="shared" si="303"/>
        <v>25</v>
      </c>
      <c r="U1100" s="64"/>
      <c r="V1100" s="18">
        <f t="shared" si="300"/>
        <v>25</v>
      </c>
      <c r="W1100" s="64"/>
      <c r="X1100" s="18">
        <f t="shared" si="277"/>
        <v>25</v>
      </c>
      <c r="Z1100" s="43">
        <f t="shared" si="304"/>
        <v>25</v>
      </c>
      <c r="AA1100" s="43"/>
    </row>
    <row r="1101" spans="1:27" x14ac:dyDescent="0.25">
      <c r="A1101" s="101" t="s">
        <v>734</v>
      </c>
      <c r="B1101" s="26" t="s">
        <v>1290</v>
      </c>
      <c r="C1101" s="26" t="s">
        <v>2</v>
      </c>
      <c r="D1101" s="19"/>
      <c r="E1101" s="19"/>
      <c r="F1101" s="18"/>
      <c r="G1101" s="19"/>
      <c r="H1101" s="18"/>
      <c r="I1101" s="19"/>
      <c r="J1101" s="18"/>
      <c r="K1101" s="19"/>
      <c r="L1101" s="18"/>
      <c r="M1101" s="19"/>
      <c r="N1101" s="18"/>
      <c r="O1101" s="19"/>
      <c r="P1101" s="18"/>
      <c r="Q1101" s="44"/>
      <c r="R1101" s="18"/>
      <c r="S1101" s="64"/>
      <c r="T1101" s="18"/>
      <c r="U1101" s="47">
        <f>U1102+U1103</f>
        <v>43.3</v>
      </c>
      <c r="V1101" s="18">
        <f t="shared" si="300"/>
        <v>43.3</v>
      </c>
      <c r="W1101" s="47">
        <f>W1102+W1103</f>
        <v>0</v>
      </c>
      <c r="X1101" s="18">
        <f t="shared" si="277"/>
        <v>43.3</v>
      </c>
    </row>
    <row r="1102" spans="1:27" x14ac:dyDescent="0.25">
      <c r="A1102" s="8" t="s">
        <v>498</v>
      </c>
      <c r="B1102" s="27" t="s">
        <v>1290</v>
      </c>
      <c r="C1102" s="27" t="s">
        <v>8</v>
      </c>
      <c r="D1102" s="19"/>
      <c r="E1102" s="19"/>
      <c r="F1102" s="18"/>
      <c r="G1102" s="19"/>
      <c r="H1102" s="18"/>
      <c r="I1102" s="19"/>
      <c r="J1102" s="18"/>
      <c r="K1102" s="19"/>
      <c r="L1102" s="18"/>
      <c r="M1102" s="19"/>
      <c r="N1102" s="18"/>
      <c r="O1102" s="19"/>
      <c r="P1102" s="18"/>
      <c r="Q1102" s="44"/>
      <c r="R1102" s="18"/>
      <c r="S1102" s="64"/>
      <c r="T1102" s="18"/>
      <c r="U1102" s="151">
        <v>33.299999999999997</v>
      </c>
      <c r="V1102" s="18">
        <f t="shared" si="300"/>
        <v>33.299999999999997</v>
      </c>
      <c r="W1102" s="64"/>
      <c r="X1102" s="18">
        <f t="shared" si="277"/>
        <v>33.299999999999997</v>
      </c>
      <c r="Z1102" s="43">
        <f t="shared" ref="Z1102:Z1103" si="305">X1102+Y1102</f>
        <v>33.299999999999997</v>
      </c>
      <c r="AA1102" s="43"/>
    </row>
    <row r="1103" spans="1:27" ht="36.75" x14ac:dyDescent="0.25">
      <c r="A1103" s="8" t="s">
        <v>500</v>
      </c>
      <c r="B1103" s="27" t="s">
        <v>1290</v>
      </c>
      <c r="C1103" s="27" t="s">
        <v>9</v>
      </c>
      <c r="D1103" s="19"/>
      <c r="E1103" s="19"/>
      <c r="F1103" s="18"/>
      <c r="G1103" s="19"/>
      <c r="H1103" s="18"/>
      <c r="I1103" s="19"/>
      <c r="J1103" s="18"/>
      <c r="K1103" s="19"/>
      <c r="L1103" s="18"/>
      <c r="M1103" s="19"/>
      <c r="N1103" s="18"/>
      <c r="O1103" s="19"/>
      <c r="P1103" s="18"/>
      <c r="Q1103" s="44"/>
      <c r="R1103" s="18"/>
      <c r="S1103" s="64"/>
      <c r="T1103" s="18"/>
      <c r="U1103" s="151">
        <v>10</v>
      </c>
      <c r="V1103" s="18">
        <f t="shared" si="300"/>
        <v>10</v>
      </c>
      <c r="W1103" s="64"/>
      <c r="X1103" s="18">
        <f t="shared" si="277"/>
        <v>10</v>
      </c>
      <c r="Z1103" s="43">
        <f t="shared" si="305"/>
        <v>10</v>
      </c>
      <c r="AA1103" s="43"/>
    </row>
    <row r="1104" spans="1:27" x14ac:dyDescent="0.25">
      <c r="A1104" s="13" t="s">
        <v>195</v>
      </c>
      <c r="B1104" s="24" t="s">
        <v>196</v>
      </c>
      <c r="C1104" s="24" t="s">
        <v>2</v>
      </c>
      <c r="D1104" s="18">
        <f>D1105</f>
        <v>2000</v>
      </c>
      <c r="E1104" s="18">
        <f>E1105</f>
        <v>0</v>
      </c>
      <c r="F1104" s="18">
        <f t="shared" si="112"/>
        <v>2000</v>
      </c>
      <c r="G1104" s="18">
        <f>G1105</f>
        <v>0</v>
      </c>
      <c r="H1104" s="18">
        <f t="shared" si="113"/>
        <v>2000</v>
      </c>
      <c r="I1104" s="18">
        <f>I1105</f>
        <v>0</v>
      </c>
      <c r="J1104" s="18">
        <f t="shared" si="114"/>
        <v>2000</v>
      </c>
      <c r="K1104" s="18">
        <f>K1105</f>
        <v>0</v>
      </c>
      <c r="L1104" s="18">
        <f t="shared" si="115"/>
        <v>2000</v>
      </c>
      <c r="M1104" s="18">
        <f>M1105</f>
        <v>0</v>
      </c>
      <c r="N1104" s="18">
        <f t="shared" si="116"/>
        <v>2000</v>
      </c>
      <c r="O1104" s="18">
        <f>O1105</f>
        <v>-1265.4000000000001</v>
      </c>
      <c r="P1104" s="18">
        <f t="shared" si="117"/>
        <v>734.59999999999991</v>
      </c>
      <c r="Q1104" s="18">
        <f>Q1105</f>
        <v>19538.099999999999</v>
      </c>
      <c r="R1104" s="18">
        <f t="shared" si="270"/>
        <v>20272.699999999997</v>
      </c>
      <c r="S1104" s="18">
        <f>S1105+S1106</f>
        <v>0.3999999999996362</v>
      </c>
      <c r="T1104" s="18">
        <f t="shared" si="303"/>
        <v>20273.099999999999</v>
      </c>
      <c r="U1104" s="18">
        <f>U1105+U1106</f>
        <v>-19622.400000000001</v>
      </c>
      <c r="V1104" s="18">
        <f t="shared" si="300"/>
        <v>650.69999999999709</v>
      </c>
      <c r="W1104" s="18">
        <f>W1105+W1106</f>
        <v>-132.1</v>
      </c>
      <c r="X1104" s="18">
        <f t="shared" si="277"/>
        <v>518.59999999999707</v>
      </c>
    </row>
    <row r="1105" spans="1:27" x14ac:dyDescent="0.25">
      <c r="A1105" s="7" t="s">
        <v>54</v>
      </c>
      <c r="B1105" s="25" t="s">
        <v>196</v>
      </c>
      <c r="C1105" s="25" t="s">
        <v>34</v>
      </c>
      <c r="D1105" s="19">
        <v>2000</v>
      </c>
      <c r="E1105" s="19"/>
      <c r="F1105" s="18">
        <f t="shared" si="112"/>
        <v>2000</v>
      </c>
      <c r="G1105" s="19"/>
      <c r="H1105" s="18">
        <f t="shared" si="113"/>
        <v>2000</v>
      </c>
      <c r="I1105" s="19"/>
      <c r="J1105" s="18">
        <f t="shared" si="114"/>
        <v>2000</v>
      </c>
      <c r="K1105" s="19"/>
      <c r="L1105" s="18">
        <f t="shared" si="115"/>
        <v>2000</v>
      </c>
      <c r="M1105" s="19"/>
      <c r="N1105" s="18">
        <f t="shared" si="116"/>
        <v>2000</v>
      </c>
      <c r="O1105" s="96">
        <v>-1265.4000000000001</v>
      </c>
      <c r="P1105" s="18">
        <f t="shared" si="117"/>
        <v>734.59999999999991</v>
      </c>
      <c r="Q1105" s="44">
        <f>19022+516.1</f>
        <v>19538.099999999999</v>
      </c>
      <c r="R1105" s="18">
        <f t="shared" si="270"/>
        <v>20272.699999999997</v>
      </c>
      <c r="S1105" s="62">
        <v>-13110</v>
      </c>
      <c r="T1105" s="18">
        <f t="shared" si="303"/>
        <v>7162.6999999999971</v>
      </c>
      <c r="U1105" s="96">
        <v>-6512</v>
      </c>
      <c r="V1105" s="18">
        <f t="shared" si="300"/>
        <v>650.69999999999709</v>
      </c>
      <c r="W1105" s="44">
        <v>-132.1</v>
      </c>
      <c r="X1105" s="18">
        <f t="shared" si="277"/>
        <v>518.59999999999707</v>
      </c>
      <c r="Y1105" s="43">
        <v>-132.1</v>
      </c>
      <c r="Z1105" s="43">
        <f t="shared" ref="Z1105:Z1106" si="306">X1105+Y1105</f>
        <v>386.49999999999704</v>
      </c>
      <c r="AA1105" s="43"/>
    </row>
    <row r="1106" spans="1:27" ht="24.75" hidden="1" x14ac:dyDescent="0.25">
      <c r="A1106" s="7" t="s">
        <v>509</v>
      </c>
      <c r="B1106" s="25" t="s">
        <v>196</v>
      </c>
      <c r="C1106" s="25" t="s">
        <v>201</v>
      </c>
      <c r="D1106" s="19"/>
      <c r="E1106" s="19"/>
      <c r="F1106" s="18"/>
      <c r="G1106" s="19"/>
      <c r="H1106" s="18"/>
      <c r="I1106" s="19"/>
      <c r="J1106" s="18"/>
      <c r="K1106" s="19"/>
      <c r="L1106" s="18"/>
      <c r="M1106" s="19"/>
      <c r="N1106" s="18"/>
      <c r="O1106" s="96"/>
      <c r="P1106" s="18"/>
      <c r="Q1106" s="44"/>
      <c r="R1106" s="18"/>
      <c r="S1106" s="62">
        <v>13110.4</v>
      </c>
      <c r="T1106" s="18">
        <f t="shared" si="303"/>
        <v>13110.4</v>
      </c>
      <c r="U1106" s="44">
        <f>-5000-8110.4</f>
        <v>-13110.4</v>
      </c>
      <c r="V1106" s="18">
        <f t="shared" si="300"/>
        <v>0</v>
      </c>
      <c r="W1106" s="64"/>
      <c r="X1106" s="18">
        <f t="shared" si="277"/>
        <v>0</v>
      </c>
      <c r="Z1106" s="43">
        <f t="shared" si="306"/>
        <v>0</v>
      </c>
      <c r="AA1106" s="43"/>
    </row>
    <row r="1107" spans="1:27" ht="24.75" x14ac:dyDescent="0.25">
      <c r="A1107" s="13" t="s">
        <v>194</v>
      </c>
      <c r="B1107" s="24" t="s">
        <v>1276</v>
      </c>
      <c r="C1107" s="24" t="s">
        <v>2</v>
      </c>
      <c r="D1107" s="19"/>
      <c r="E1107" s="19"/>
      <c r="F1107" s="18"/>
      <c r="G1107" s="19"/>
      <c r="H1107" s="18"/>
      <c r="I1107" s="19"/>
      <c r="J1107" s="18"/>
      <c r="K1107" s="19"/>
      <c r="L1107" s="18"/>
      <c r="M1107" s="19"/>
      <c r="N1107" s="18"/>
      <c r="O1107" s="96"/>
      <c r="P1107" s="18"/>
      <c r="Q1107" s="44"/>
      <c r="R1107" s="18"/>
      <c r="S1107" s="64">
        <f>S1108</f>
        <v>255</v>
      </c>
      <c r="T1107" s="18">
        <f t="shared" si="303"/>
        <v>255</v>
      </c>
      <c r="U1107" s="64">
        <f>U1108</f>
        <v>2100</v>
      </c>
      <c r="V1107" s="18">
        <f t="shared" si="300"/>
        <v>2355</v>
      </c>
      <c r="W1107" s="64">
        <f>W1108</f>
        <v>0</v>
      </c>
      <c r="X1107" s="18">
        <f t="shared" si="277"/>
        <v>2355</v>
      </c>
    </row>
    <row r="1108" spans="1:27" x14ac:dyDescent="0.25">
      <c r="A1108" s="7" t="s">
        <v>54</v>
      </c>
      <c r="B1108" s="25" t="s">
        <v>1276</v>
      </c>
      <c r="C1108" s="25" t="s">
        <v>34</v>
      </c>
      <c r="D1108" s="19"/>
      <c r="E1108" s="19"/>
      <c r="F1108" s="18"/>
      <c r="G1108" s="19"/>
      <c r="H1108" s="18"/>
      <c r="I1108" s="19"/>
      <c r="J1108" s="18"/>
      <c r="K1108" s="19"/>
      <c r="L1108" s="18"/>
      <c r="M1108" s="19"/>
      <c r="N1108" s="18"/>
      <c r="O1108" s="96"/>
      <c r="P1108" s="18"/>
      <c r="Q1108" s="44"/>
      <c r="R1108" s="18"/>
      <c r="S1108" s="62">
        <v>255</v>
      </c>
      <c r="T1108" s="18">
        <f t="shared" si="303"/>
        <v>255</v>
      </c>
      <c r="U1108" s="96">
        <v>2100</v>
      </c>
      <c r="V1108" s="18">
        <f t="shared" si="300"/>
        <v>2355</v>
      </c>
      <c r="W1108" s="64"/>
      <c r="X1108" s="18">
        <f t="shared" si="277"/>
        <v>2355</v>
      </c>
      <c r="Z1108" s="43">
        <f>X1108+Y1108</f>
        <v>2355</v>
      </c>
      <c r="AA1108" s="43"/>
    </row>
    <row r="1109" spans="1:27" x14ac:dyDescent="0.25">
      <c r="A1109" s="13" t="s">
        <v>41</v>
      </c>
      <c r="B1109" s="24" t="s">
        <v>185</v>
      </c>
      <c r="C1109" s="24" t="s">
        <v>2</v>
      </c>
      <c r="D1109" s="18">
        <f>D1110</f>
        <v>230</v>
      </c>
      <c r="E1109" s="18">
        <f>E1110</f>
        <v>0</v>
      </c>
      <c r="F1109" s="18">
        <f t="shared" ref="F1109:F1224" si="307">D1109+E1109</f>
        <v>230</v>
      </c>
      <c r="G1109" s="18">
        <f>G1110</f>
        <v>0</v>
      </c>
      <c r="H1109" s="18">
        <f t="shared" ref="H1109:H1225" si="308">F1109+G1109</f>
        <v>230</v>
      </c>
      <c r="I1109" s="18">
        <f>I1110</f>
        <v>0</v>
      </c>
      <c r="J1109" s="18">
        <f t="shared" ref="J1109:J1225" si="309">H1109+I1109</f>
        <v>230</v>
      </c>
      <c r="K1109" s="18">
        <f>K1110</f>
        <v>0</v>
      </c>
      <c r="L1109" s="18">
        <f t="shared" ref="L1109:L1225" si="310">J1109+K1109</f>
        <v>230</v>
      </c>
      <c r="M1109" s="18">
        <f>M1110+M1111</f>
        <v>1798.6</v>
      </c>
      <c r="N1109" s="18">
        <f t="shared" ref="N1109:N1204" si="311">L1109+M1109</f>
        <v>2028.6</v>
      </c>
      <c r="O1109" s="18">
        <f>O1110+O1111</f>
        <v>0</v>
      </c>
      <c r="P1109" s="18">
        <f t="shared" si="117"/>
        <v>2028.6</v>
      </c>
      <c r="Q1109" s="18">
        <f>Q1110+Q1111</f>
        <v>0</v>
      </c>
      <c r="R1109" s="18">
        <f t="shared" si="270"/>
        <v>2028.6</v>
      </c>
      <c r="S1109" s="18">
        <f>S1110+S1111</f>
        <v>0</v>
      </c>
      <c r="T1109" s="18">
        <f t="shared" si="303"/>
        <v>2028.6</v>
      </c>
      <c r="U1109" s="18">
        <f>U1110+U1111</f>
        <v>0</v>
      </c>
      <c r="V1109" s="18">
        <f t="shared" si="300"/>
        <v>2028.6</v>
      </c>
      <c r="W1109" s="18">
        <f>W1110+W1111</f>
        <v>0</v>
      </c>
      <c r="X1109" s="18">
        <f t="shared" si="277"/>
        <v>2028.6</v>
      </c>
    </row>
    <row r="1110" spans="1:27" x14ac:dyDescent="0.25">
      <c r="A1110" s="7" t="s">
        <v>515</v>
      </c>
      <c r="B1110" s="25" t="s">
        <v>185</v>
      </c>
      <c r="C1110" s="25" t="s">
        <v>36</v>
      </c>
      <c r="D1110" s="19">
        <v>230</v>
      </c>
      <c r="E1110" s="19"/>
      <c r="F1110" s="18">
        <f t="shared" si="307"/>
        <v>230</v>
      </c>
      <c r="G1110" s="19"/>
      <c r="H1110" s="18">
        <f t="shared" si="308"/>
        <v>230</v>
      </c>
      <c r="I1110" s="19"/>
      <c r="J1110" s="18">
        <f t="shared" si="309"/>
        <v>230</v>
      </c>
      <c r="K1110" s="19"/>
      <c r="L1110" s="18">
        <f t="shared" si="310"/>
        <v>230</v>
      </c>
      <c r="M1110" s="62">
        <v>1685.8</v>
      </c>
      <c r="N1110" s="18">
        <f t="shared" si="311"/>
        <v>1915.8</v>
      </c>
      <c r="O1110" s="64"/>
      <c r="P1110" s="18">
        <f t="shared" si="117"/>
        <v>1915.8</v>
      </c>
      <c r="Q1110" s="64"/>
      <c r="R1110" s="18">
        <f t="shared" si="270"/>
        <v>1915.8</v>
      </c>
      <c r="S1110" s="64"/>
      <c r="T1110" s="18">
        <f t="shared" si="303"/>
        <v>1915.8</v>
      </c>
      <c r="U1110" s="64"/>
      <c r="V1110" s="18">
        <f t="shared" si="300"/>
        <v>1915.8</v>
      </c>
      <c r="W1110" s="64"/>
      <c r="X1110" s="18">
        <f t="shared" si="277"/>
        <v>1915.8</v>
      </c>
      <c r="Z1110" s="43">
        <f t="shared" ref="Z1110:Z1111" si="312">X1110+Y1110</f>
        <v>1915.8</v>
      </c>
      <c r="AA1110" s="43"/>
    </row>
    <row r="1111" spans="1:27" x14ac:dyDescent="0.25">
      <c r="A1111" s="58" t="s">
        <v>39</v>
      </c>
      <c r="B1111" s="27" t="s">
        <v>185</v>
      </c>
      <c r="C1111" s="27" t="s">
        <v>40</v>
      </c>
      <c r="D1111" s="19"/>
      <c r="E1111" s="19"/>
      <c r="F1111" s="18"/>
      <c r="G1111" s="19"/>
      <c r="H1111" s="18"/>
      <c r="I1111" s="19"/>
      <c r="J1111" s="18"/>
      <c r="K1111" s="19"/>
      <c r="L1111" s="18"/>
      <c r="M1111" s="62">
        <v>112.8</v>
      </c>
      <c r="N1111" s="18">
        <f t="shared" si="311"/>
        <v>112.8</v>
      </c>
      <c r="O1111" s="64"/>
      <c r="P1111" s="18">
        <f t="shared" si="117"/>
        <v>112.8</v>
      </c>
      <c r="Q1111" s="64"/>
      <c r="R1111" s="18">
        <f t="shared" ref="R1111:R1204" si="313">P1111+Q1111</f>
        <v>112.8</v>
      </c>
      <c r="S1111" s="64"/>
      <c r="T1111" s="18">
        <f t="shared" si="303"/>
        <v>112.8</v>
      </c>
      <c r="U1111" s="64"/>
      <c r="V1111" s="18">
        <f t="shared" si="300"/>
        <v>112.8</v>
      </c>
      <c r="W1111" s="64"/>
      <c r="X1111" s="18">
        <f t="shared" si="277"/>
        <v>112.8</v>
      </c>
      <c r="Z1111" s="43">
        <f t="shared" si="312"/>
        <v>112.8</v>
      </c>
      <c r="AA1111" s="43"/>
    </row>
    <row r="1112" spans="1:27" x14ac:dyDescent="0.25">
      <c r="A1112" s="13" t="s">
        <v>177</v>
      </c>
      <c r="B1112" s="24" t="s">
        <v>178</v>
      </c>
      <c r="C1112" s="24" t="s">
        <v>2</v>
      </c>
      <c r="D1112" s="18">
        <f>D1116+D1121+D1124+D1131+D1134+D1141+D1145+D1149+D1154+D1157+D1161+D1147</f>
        <v>128195.69999999998</v>
      </c>
      <c r="E1112" s="18">
        <f>E1116+E1121+E1124+E1131+E1134+E1141+E1145+E1149+E1154+E1157+E1161+E1147</f>
        <v>18416.099999999999</v>
      </c>
      <c r="F1112" s="18">
        <f t="shared" si="307"/>
        <v>146611.79999999999</v>
      </c>
      <c r="G1112" s="18">
        <f>G1116+G1121+G1124+G1131+G1134+G1141+G1145+G1149+G1154+G1157+G1161+G1147+G1118</f>
        <v>86374.6</v>
      </c>
      <c r="H1112" s="18">
        <f t="shared" si="308"/>
        <v>232986.4</v>
      </c>
      <c r="I1112" s="18">
        <f>I1116+I1121+I1124+I1131+I1134+I1141+I1145+I1149+I1154+I1157+I1161+I1147+I1118+I1129</f>
        <v>60932.5</v>
      </c>
      <c r="J1112" s="18">
        <f t="shared" si="309"/>
        <v>293918.90000000002</v>
      </c>
      <c r="K1112" s="18">
        <f>K1116+K1121+K1124+K1131+K1134+K1141+K1145+K1149+K1154+K1157+K1161+K1147+K1118+K1129+K1143+K1151+K1163+K1138</f>
        <v>45496.3</v>
      </c>
      <c r="L1112" s="18">
        <f t="shared" si="310"/>
        <v>339415.2</v>
      </c>
      <c r="M1112" s="18">
        <f>M1116+M1121+M1124+M1131+M1134+M1141+M1145+M1149+M1154+M1157+M1161+M1147+M1118+M1129+M1143+M1151+M1163+M1138</f>
        <v>-6500.4000000000015</v>
      </c>
      <c r="N1112" s="18">
        <f t="shared" si="311"/>
        <v>332914.8</v>
      </c>
      <c r="O1112" s="18">
        <f>O1116+O1121+O1124+O1131+O1134+O1141+O1145+O1149+O1154+O1157+O1161+O1147+O1118+O1129+O1143+O1151+O1163+O1138+O1113</f>
        <v>16261.5</v>
      </c>
      <c r="P1112" s="18">
        <f t="shared" si="117"/>
        <v>349176.3</v>
      </c>
      <c r="Q1112" s="18">
        <f>Q1116+Q1121+Q1124+Q1131+Q1134+Q1141+Q1145+Q1149+Q1154+Q1157+Q1161+Q1147+Q1118+Q1129+Q1143+Q1151+Q1163+Q1138+Q1113</f>
        <v>26147.899999999998</v>
      </c>
      <c r="R1112" s="18">
        <f t="shared" si="313"/>
        <v>375324.2</v>
      </c>
      <c r="S1112" s="18">
        <f>S1116+S1121+S1124+S1131+S1134+S1141+S1145+S1149+S1154+S1157+S1161+S1147+S1118+S1129+S1143+S1151+S1163+S1138+S1113</f>
        <v>-7814.300000000002</v>
      </c>
      <c r="T1112" s="18">
        <f t="shared" si="303"/>
        <v>367509.9</v>
      </c>
      <c r="U1112" s="18">
        <f>U1116+U1121+U1124+U1131+U1134+U1141+U1145+U1149+U1154+U1157+U1161+U1147+U1118+U1129+U1143+U1151+U1163+U1138+U1113</f>
        <v>154.20000000000005</v>
      </c>
      <c r="V1112" s="18">
        <f t="shared" si="300"/>
        <v>367664.10000000003</v>
      </c>
      <c r="W1112" s="18">
        <f>W1116+W1121+W1124+W1131+W1134+W1141+W1145+W1149+W1154+W1157+W1161+W1147+W1118+W1129+W1143+W1151+W1163+W1138+W1113</f>
        <v>19564.399999999998</v>
      </c>
      <c r="X1112" s="18">
        <f t="shared" si="277"/>
        <v>387228.50000000006</v>
      </c>
    </row>
    <row r="1113" spans="1:27" x14ac:dyDescent="0.25">
      <c r="A1113" s="13" t="s">
        <v>662</v>
      </c>
      <c r="B1113" s="24" t="s">
        <v>797</v>
      </c>
      <c r="C1113" s="24"/>
      <c r="D1113" s="18"/>
      <c r="E1113" s="18"/>
      <c r="F1113" s="18"/>
      <c r="G1113" s="18"/>
      <c r="H1113" s="18"/>
      <c r="I1113" s="18"/>
      <c r="J1113" s="18"/>
      <c r="K1113" s="18"/>
      <c r="L1113" s="18"/>
      <c r="M1113" s="18"/>
      <c r="N1113" s="18">
        <f t="shared" si="311"/>
        <v>0</v>
      </c>
      <c r="O1113" s="18">
        <f>O1114+O1115</f>
        <v>11014.6</v>
      </c>
      <c r="P1113" s="18">
        <f t="shared" si="117"/>
        <v>11014.6</v>
      </c>
      <c r="Q1113" s="18">
        <f>Q1114+Q1115</f>
        <v>0</v>
      </c>
      <c r="R1113" s="18">
        <f t="shared" si="313"/>
        <v>11014.6</v>
      </c>
      <c r="S1113" s="18">
        <f>S1114+S1115</f>
        <v>0</v>
      </c>
      <c r="T1113" s="18">
        <f t="shared" si="303"/>
        <v>11014.6</v>
      </c>
      <c r="U1113" s="18">
        <f>U1114+U1115</f>
        <v>0</v>
      </c>
      <c r="V1113" s="18">
        <f t="shared" si="300"/>
        <v>11014.6</v>
      </c>
      <c r="W1113" s="18">
        <f>W1114+W1115</f>
        <v>0</v>
      </c>
      <c r="X1113" s="18">
        <f t="shared" si="277"/>
        <v>11014.6</v>
      </c>
    </row>
    <row r="1114" spans="1:27" x14ac:dyDescent="0.25">
      <c r="A1114" s="7" t="s">
        <v>54</v>
      </c>
      <c r="B1114" s="25" t="s">
        <v>797</v>
      </c>
      <c r="C1114" s="25" t="s">
        <v>34</v>
      </c>
      <c r="D1114" s="19"/>
      <c r="E1114" s="19"/>
      <c r="F1114" s="19"/>
      <c r="G1114" s="19"/>
      <c r="H1114" s="19"/>
      <c r="I1114" s="19"/>
      <c r="J1114" s="19"/>
      <c r="K1114" s="19"/>
      <c r="L1114" s="19"/>
      <c r="M1114" s="19"/>
      <c r="N1114" s="19">
        <f t="shared" si="311"/>
        <v>0</v>
      </c>
      <c r="O1114" s="122">
        <f>600+4423.6</f>
        <v>5023.6000000000004</v>
      </c>
      <c r="P1114" s="18">
        <f t="shared" si="117"/>
        <v>5023.6000000000004</v>
      </c>
      <c r="Q1114" s="64"/>
      <c r="R1114" s="18">
        <f t="shared" si="313"/>
        <v>5023.6000000000004</v>
      </c>
      <c r="S1114" s="64"/>
      <c r="T1114" s="18">
        <f t="shared" si="303"/>
        <v>5023.6000000000004</v>
      </c>
      <c r="U1114" s="64"/>
      <c r="V1114" s="18">
        <f t="shared" si="300"/>
        <v>5023.6000000000004</v>
      </c>
      <c r="W1114" s="64"/>
      <c r="X1114" s="18">
        <f t="shared" si="277"/>
        <v>5023.6000000000004</v>
      </c>
      <c r="Z1114" s="43">
        <f t="shared" ref="Z1114:Z1115" si="314">X1114+Y1114</f>
        <v>5023.6000000000004</v>
      </c>
      <c r="AA1114" s="43"/>
    </row>
    <row r="1115" spans="1:27" x14ac:dyDescent="0.25">
      <c r="A1115" s="9" t="s">
        <v>266</v>
      </c>
      <c r="B1115" s="25" t="s">
        <v>797</v>
      </c>
      <c r="C1115" s="25" t="s">
        <v>267</v>
      </c>
      <c r="D1115" s="19"/>
      <c r="E1115" s="19"/>
      <c r="F1115" s="19"/>
      <c r="G1115" s="19"/>
      <c r="H1115" s="19"/>
      <c r="I1115" s="19"/>
      <c r="J1115" s="19"/>
      <c r="K1115" s="19"/>
      <c r="L1115" s="19"/>
      <c r="M1115" s="19"/>
      <c r="N1115" s="19">
        <f t="shared" si="311"/>
        <v>0</v>
      </c>
      <c r="O1115" s="122">
        <v>5991</v>
      </c>
      <c r="P1115" s="18">
        <f t="shared" si="117"/>
        <v>5991</v>
      </c>
      <c r="Q1115" s="64"/>
      <c r="R1115" s="18">
        <f t="shared" si="313"/>
        <v>5991</v>
      </c>
      <c r="S1115" s="64"/>
      <c r="T1115" s="18">
        <f t="shared" si="303"/>
        <v>5991</v>
      </c>
      <c r="U1115" s="64"/>
      <c r="V1115" s="18">
        <f t="shared" si="300"/>
        <v>5991</v>
      </c>
      <c r="W1115" s="64"/>
      <c r="X1115" s="18">
        <f t="shared" si="277"/>
        <v>5991</v>
      </c>
      <c r="Z1115" s="43">
        <f t="shared" si="314"/>
        <v>5991</v>
      </c>
      <c r="AA1115" s="43"/>
    </row>
    <row r="1116" spans="1:27" ht="24.75" x14ac:dyDescent="0.25">
      <c r="A1116" s="13" t="s">
        <v>205</v>
      </c>
      <c r="B1116" s="24" t="s">
        <v>206</v>
      </c>
      <c r="C1116" s="24" t="s">
        <v>2</v>
      </c>
      <c r="D1116" s="18">
        <f>D1117</f>
        <v>8000</v>
      </c>
      <c r="E1116" s="18">
        <f>E1117</f>
        <v>25916.1</v>
      </c>
      <c r="F1116" s="18">
        <f t="shared" si="307"/>
        <v>33916.1</v>
      </c>
      <c r="G1116" s="18">
        <f>G1117</f>
        <v>66782</v>
      </c>
      <c r="H1116" s="18">
        <f t="shared" si="308"/>
        <v>100698.1</v>
      </c>
      <c r="I1116" s="18">
        <f>I1117</f>
        <v>0</v>
      </c>
      <c r="J1116" s="18">
        <f t="shared" si="309"/>
        <v>100698.1</v>
      </c>
      <c r="K1116" s="18">
        <f>K1117</f>
        <v>-52757.3</v>
      </c>
      <c r="L1116" s="18">
        <f t="shared" si="310"/>
        <v>47940.800000000003</v>
      </c>
      <c r="M1116" s="18">
        <f>M1117</f>
        <v>-12332.3</v>
      </c>
      <c r="N1116" s="18">
        <f t="shared" si="311"/>
        <v>35608.5</v>
      </c>
      <c r="O1116" s="18">
        <f>O1117</f>
        <v>0</v>
      </c>
      <c r="P1116" s="18">
        <f t="shared" si="117"/>
        <v>35608.5</v>
      </c>
      <c r="Q1116" s="18">
        <f>Q1117</f>
        <v>0</v>
      </c>
      <c r="R1116" s="18">
        <f t="shared" si="313"/>
        <v>35608.5</v>
      </c>
      <c r="S1116" s="18">
        <f>S1117</f>
        <v>0</v>
      </c>
      <c r="T1116" s="18">
        <f t="shared" si="303"/>
        <v>35608.5</v>
      </c>
      <c r="U1116" s="18">
        <f>U1117</f>
        <v>0</v>
      </c>
      <c r="V1116" s="18">
        <f t="shared" si="300"/>
        <v>35608.5</v>
      </c>
      <c r="W1116" s="18">
        <f>W1117</f>
        <v>4500</v>
      </c>
      <c r="X1116" s="18">
        <f t="shared" si="277"/>
        <v>40108.5</v>
      </c>
    </row>
    <row r="1117" spans="1:27" ht="24.75" x14ac:dyDescent="0.25">
      <c r="A1117" s="7" t="s">
        <v>509</v>
      </c>
      <c r="B1117" s="25" t="s">
        <v>206</v>
      </c>
      <c r="C1117" s="25" t="s">
        <v>201</v>
      </c>
      <c r="D1117" s="19">
        <v>8000</v>
      </c>
      <c r="E1117" s="45">
        <v>25916.1</v>
      </c>
      <c r="F1117" s="18">
        <f t="shared" si="307"/>
        <v>33916.1</v>
      </c>
      <c r="G1117" s="45">
        <f>66782</f>
        <v>66782</v>
      </c>
      <c r="H1117" s="18">
        <f t="shared" si="308"/>
        <v>100698.1</v>
      </c>
      <c r="I1117" s="64"/>
      <c r="J1117" s="18">
        <f t="shared" si="309"/>
        <v>100698.1</v>
      </c>
      <c r="K1117" s="45">
        <f>1724.7-66782+12300</f>
        <v>-52757.3</v>
      </c>
      <c r="L1117" s="18">
        <f t="shared" si="310"/>
        <v>47940.800000000003</v>
      </c>
      <c r="M1117" s="45">
        <v>-12332.3</v>
      </c>
      <c r="N1117" s="18">
        <f t="shared" si="311"/>
        <v>35608.5</v>
      </c>
      <c r="O1117" s="64"/>
      <c r="P1117" s="18">
        <f t="shared" si="117"/>
        <v>35608.5</v>
      </c>
      <c r="Q1117" s="64"/>
      <c r="R1117" s="18">
        <f t="shared" si="313"/>
        <v>35608.5</v>
      </c>
      <c r="S1117" s="64"/>
      <c r="T1117" s="18">
        <f t="shared" si="303"/>
        <v>35608.5</v>
      </c>
      <c r="U1117" s="64"/>
      <c r="V1117" s="18">
        <f t="shared" si="300"/>
        <v>35608.5</v>
      </c>
      <c r="W1117" s="45">
        <v>4500</v>
      </c>
      <c r="X1117" s="18">
        <f t="shared" si="277"/>
        <v>40108.5</v>
      </c>
      <c r="Z1117" s="43">
        <f>X1117+Y1117</f>
        <v>40108.5</v>
      </c>
      <c r="AA1117" s="43"/>
    </row>
    <row r="1118" spans="1:27" ht="48.75" x14ac:dyDescent="0.25">
      <c r="A1118" s="28" t="s">
        <v>591</v>
      </c>
      <c r="B1118" s="29" t="s">
        <v>592</v>
      </c>
      <c r="C1118" s="29" t="s">
        <v>2</v>
      </c>
      <c r="D1118" s="19"/>
      <c r="E1118" s="45"/>
      <c r="F1118" s="18"/>
      <c r="G1118" s="47">
        <f>G1120</f>
        <v>9592.6</v>
      </c>
      <c r="H1118" s="18">
        <f t="shared" si="308"/>
        <v>9592.6</v>
      </c>
      <c r="I1118" s="47">
        <f>I1120</f>
        <v>0</v>
      </c>
      <c r="J1118" s="18">
        <f t="shared" si="309"/>
        <v>9592.6</v>
      </c>
      <c r="K1118" s="47">
        <f>K1120</f>
        <v>0</v>
      </c>
      <c r="L1118" s="18">
        <f t="shared" si="310"/>
        <v>9592.6</v>
      </c>
      <c r="M1118" s="47">
        <f>M1120+M1119</f>
        <v>0</v>
      </c>
      <c r="N1118" s="18">
        <f t="shared" si="311"/>
        <v>9592.6</v>
      </c>
      <c r="O1118" s="47">
        <f>O1120+O1119</f>
        <v>0</v>
      </c>
      <c r="P1118" s="18">
        <f t="shared" si="117"/>
        <v>9592.6</v>
      </c>
      <c r="Q1118" s="47">
        <f>Q1120+Q1119</f>
        <v>0</v>
      </c>
      <c r="R1118" s="18">
        <f t="shared" si="313"/>
        <v>9592.6</v>
      </c>
      <c r="S1118" s="47">
        <f>S1120+S1119</f>
        <v>0</v>
      </c>
      <c r="T1118" s="18">
        <f t="shared" si="303"/>
        <v>9592.6</v>
      </c>
      <c r="U1118" s="47">
        <f>U1120+U1119</f>
        <v>0</v>
      </c>
      <c r="V1118" s="18">
        <f t="shared" si="300"/>
        <v>9592.6</v>
      </c>
      <c r="W1118" s="47">
        <f>W1120+W1119</f>
        <v>0.3</v>
      </c>
      <c r="X1118" s="18">
        <f t="shared" si="277"/>
        <v>9592.9</v>
      </c>
    </row>
    <row r="1119" spans="1:27" s="117" customFormat="1" ht="24.75" x14ac:dyDescent="0.25">
      <c r="A1119" s="7" t="s">
        <v>502</v>
      </c>
      <c r="B1119" s="31" t="s">
        <v>592</v>
      </c>
      <c r="C1119" s="31" t="s">
        <v>209</v>
      </c>
      <c r="D1119" s="19"/>
      <c r="E1119" s="45"/>
      <c r="F1119" s="19"/>
      <c r="G1119" s="64"/>
      <c r="H1119" s="19"/>
      <c r="I1119" s="64"/>
      <c r="J1119" s="19"/>
      <c r="K1119" s="64"/>
      <c r="L1119" s="19"/>
      <c r="M1119" s="116">
        <v>9592.6</v>
      </c>
      <c r="N1119" s="18">
        <f t="shared" si="311"/>
        <v>9592.6</v>
      </c>
      <c r="O1119" s="64"/>
      <c r="P1119" s="18">
        <f t="shared" si="117"/>
        <v>9592.6</v>
      </c>
      <c r="Q1119" s="64"/>
      <c r="R1119" s="18">
        <f t="shared" si="313"/>
        <v>9592.6</v>
      </c>
      <c r="S1119" s="64"/>
      <c r="T1119" s="18">
        <f t="shared" si="303"/>
        <v>9592.6</v>
      </c>
      <c r="U1119" s="64"/>
      <c r="V1119" s="18">
        <f t="shared" si="300"/>
        <v>9592.6</v>
      </c>
      <c r="W1119" s="45">
        <v>0.3</v>
      </c>
      <c r="X1119" s="18">
        <f t="shared" si="277"/>
        <v>9592.9</v>
      </c>
      <c r="Y1119" s="164"/>
      <c r="Z1119" s="43">
        <f t="shared" ref="Z1119:Z1120" si="315">X1119+Y1119</f>
        <v>9592.9</v>
      </c>
      <c r="AA1119" s="164"/>
    </row>
    <row r="1120" spans="1:27" ht="24.75" hidden="1" x14ac:dyDescent="0.25">
      <c r="A1120" s="7" t="s">
        <v>509</v>
      </c>
      <c r="B1120" s="31" t="s">
        <v>592</v>
      </c>
      <c r="C1120" s="31" t="s">
        <v>201</v>
      </c>
      <c r="D1120" s="19"/>
      <c r="E1120" s="45"/>
      <c r="F1120" s="18"/>
      <c r="G1120" s="45">
        <v>9592.6</v>
      </c>
      <c r="H1120" s="18">
        <f t="shared" si="308"/>
        <v>9592.6</v>
      </c>
      <c r="I1120" s="64"/>
      <c r="J1120" s="18">
        <f t="shared" si="309"/>
        <v>9592.6</v>
      </c>
      <c r="K1120" s="45">
        <f>-9592.6+9592.6</f>
        <v>0</v>
      </c>
      <c r="L1120" s="18">
        <f t="shared" si="310"/>
        <v>9592.6</v>
      </c>
      <c r="M1120" s="116">
        <v>-9592.6</v>
      </c>
      <c r="N1120" s="18">
        <f t="shared" si="311"/>
        <v>0</v>
      </c>
      <c r="O1120" s="64"/>
      <c r="P1120" s="18">
        <f t="shared" si="117"/>
        <v>0</v>
      </c>
      <c r="Q1120" s="64"/>
      <c r="R1120" s="18">
        <f t="shared" si="313"/>
        <v>0</v>
      </c>
      <c r="S1120" s="64"/>
      <c r="T1120" s="18">
        <f t="shared" si="303"/>
        <v>0</v>
      </c>
      <c r="U1120" s="64"/>
      <c r="V1120" s="18">
        <f t="shared" si="300"/>
        <v>0</v>
      </c>
      <c r="W1120" s="64"/>
      <c r="X1120" s="18">
        <f t="shared" si="277"/>
        <v>0</v>
      </c>
      <c r="Z1120" s="43">
        <f t="shared" si="315"/>
        <v>0</v>
      </c>
      <c r="AA1120" s="43"/>
    </row>
    <row r="1121" spans="1:27" x14ac:dyDescent="0.25">
      <c r="A1121" s="13" t="s">
        <v>207</v>
      </c>
      <c r="B1121" s="24" t="s">
        <v>208</v>
      </c>
      <c r="C1121" s="24" t="s">
        <v>2</v>
      </c>
      <c r="D1121" s="18">
        <f>D1122</f>
        <v>1000</v>
      </c>
      <c r="E1121" s="18">
        <f>E1122</f>
        <v>0</v>
      </c>
      <c r="F1121" s="18">
        <f t="shared" si="307"/>
        <v>1000</v>
      </c>
      <c r="G1121" s="18">
        <f>G1122</f>
        <v>0</v>
      </c>
      <c r="H1121" s="18">
        <f t="shared" si="308"/>
        <v>1000</v>
      </c>
      <c r="I1121" s="47">
        <f>I1122</f>
        <v>3474.8</v>
      </c>
      <c r="J1121" s="18">
        <f t="shared" si="309"/>
        <v>4474.8</v>
      </c>
      <c r="K1121" s="47">
        <f>K1122</f>
        <v>14574</v>
      </c>
      <c r="L1121" s="18">
        <f t="shared" si="310"/>
        <v>19048.8</v>
      </c>
      <c r="M1121" s="47">
        <f>M1122</f>
        <v>0</v>
      </c>
      <c r="N1121" s="18">
        <f t="shared" si="311"/>
        <v>19048.8</v>
      </c>
      <c r="O1121" s="47">
        <f>O1122</f>
        <v>0</v>
      </c>
      <c r="P1121" s="18">
        <f t="shared" si="117"/>
        <v>19048.8</v>
      </c>
      <c r="Q1121" s="47">
        <f>Q1122</f>
        <v>0</v>
      </c>
      <c r="R1121" s="18">
        <f t="shared" si="313"/>
        <v>19048.8</v>
      </c>
      <c r="S1121" s="47">
        <f>S1122+S1123</f>
        <v>-10000</v>
      </c>
      <c r="T1121" s="18">
        <f t="shared" si="303"/>
        <v>9048.7999999999993</v>
      </c>
      <c r="U1121" s="47">
        <f>U1122+U1123</f>
        <v>0</v>
      </c>
      <c r="V1121" s="18">
        <f t="shared" si="300"/>
        <v>9048.7999999999993</v>
      </c>
      <c r="W1121" s="47">
        <f>W1122+W1123</f>
        <v>5600</v>
      </c>
      <c r="X1121" s="18">
        <f t="shared" si="277"/>
        <v>14648.8</v>
      </c>
    </row>
    <row r="1122" spans="1:27" ht="24.75" x14ac:dyDescent="0.25">
      <c r="A1122" s="7" t="s">
        <v>502</v>
      </c>
      <c r="B1122" s="25" t="s">
        <v>208</v>
      </c>
      <c r="C1122" s="25" t="s">
        <v>209</v>
      </c>
      <c r="D1122" s="19">
        <v>1000</v>
      </c>
      <c r="E1122" s="19"/>
      <c r="F1122" s="18">
        <f t="shared" si="307"/>
        <v>1000</v>
      </c>
      <c r="G1122" s="19"/>
      <c r="H1122" s="18">
        <f t="shared" si="308"/>
        <v>1000</v>
      </c>
      <c r="I1122" s="45">
        <f>3389.4+85.4</f>
        <v>3474.8</v>
      </c>
      <c r="J1122" s="18">
        <f t="shared" si="309"/>
        <v>4474.8</v>
      </c>
      <c r="K1122" s="45">
        <v>14574</v>
      </c>
      <c r="L1122" s="18">
        <f t="shared" si="310"/>
        <v>19048.8</v>
      </c>
      <c r="M1122" s="64"/>
      <c r="N1122" s="18">
        <f t="shared" si="311"/>
        <v>19048.8</v>
      </c>
      <c r="O1122" s="64"/>
      <c r="P1122" s="18">
        <f t="shared" si="117"/>
        <v>19048.8</v>
      </c>
      <c r="Q1122" s="64"/>
      <c r="R1122" s="18">
        <f t="shared" si="313"/>
        <v>19048.8</v>
      </c>
      <c r="S1122" s="122">
        <f>-10000-2087.1</f>
        <v>-12087.1</v>
      </c>
      <c r="T1122" s="18">
        <f t="shared" si="303"/>
        <v>6961.6999999999989</v>
      </c>
      <c r="U1122" s="64"/>
      <c r="V1122" s="18">
        <f t="shared" si="300"/>
        <v>6961.6999999999989</v>
      </c>
      <c r="W1122" s="45">
        <v>5600</v>
      </c>
      <c r="X1122" s="18">
        <f t="shared" si="277"/>
        <v>12561.699999999999</v>
      </c>
      <c r="Z1122" s="43">
        <f t="shared" ref="Z1122:Z1123" si="316">X1122+Y1122</f>
        <v>12561.699999999999</v>
      </c>
      <c r="AA1122" s="43"/>
    </row>
    <row r="1123" spans="1:27" x14ac:dyDescent="0.25">
      <c r="A1123" s="7" t="s">
        <v>54</v>
      </c>
      <c r="B1123" s="25" t="s">
        <v>208</v>
      </c>
      <c r="C1123" s="25" t="s">
        <v>34</v>
      </c>
      <c r="D1123" s="19"/>
      <c r="E1123" s="19"/>
      <c r="F1123" s="18"/>
      <c r="G1123" s="19"/>
      <c r="H1123" s="18"/>
      <c r="I1123" s="45"/>
      <c r="J1123" s="18"/>
      <c r="K1123" s="45"/>
      <c r="L1123" s="18"/>
      <c r="M1123" s="64"/>
      <c r="N1123" s="18"/>
      <c r="O1123" s="64"/>
      <c r="P1123" s="18"/>
      <c r="Q1123" s="64"/>
      <c r="R1123" s="18"/>
      <c r="S1123" s="122">
        <v>2087.1</v>
      </c>
      <c r="T1123" s="18">
        <f t="shared" si="303"/>
        <v>2087.1</v>
      </c>
      <c r="U1123" s="64"/>
      <c r="V1123" s="18">
        <f t="shared" si="300"/>
        <v>2087.1</v>
      </c>
      <c r="W1123" s="64"/>
      <c r="X1123" s="18">
        <f t="shared" si="277"/>
        <v>2087.1</v>
      </c>
      <c r="Z1123" s="43">
        <f t="shared" si="316"/>
        <v>2087.1</v>
      </c>
      <c r="AA1123" s="43"/>
    </row>
    <row r="1124" spans="1:27" ht="48.75" x14ac:dyDescent="0.25">
      <c r="A1124" s="13" t="s">
        <v>179</v>
      </c>
      <c r="B1124" s="24" t="s">
        <v>180</v>
      </c>
      <c r="C1124" s="24" t="s">
        <v>2</v>
      </c>
      <c r="D1124" s="18">
        <f>D1125+D1126+D1127+D1128</f>
        <v>1964.8999999999999</v>
      </c>
      <c r="E1124" s="18">
        <f>E1125+E1126+E1127+E1128</f>
        <v>0</v>
      </c>
      <c r="F1124" s="18">
        <f t="shared" si="307"/>
        <v>1964.8999999999999</v>
      </c>
      <c r="G1124" s="18">
        <f>G1125+G1126+G1127+G1128</f>
        <v>0</v>
      </c>
      <c r="H1124" s="18">
        <f t="shared" si="308"/>
        <v>1964.8999999999999</v>
      </c>
      <c r="I1124" s="18">
        <f>I1125+I1126+I1127+I1128</f>
        <v>0</v>
      </c>
      <c r="J1124" s="18">
        <f t="shared" si="309"/>
        <v>1964.8999999999999</v>
      </c>
      <c r="K1124" s="47">
        <f>K1125+K1126+K1127+K1128</f>
        <v>0</v>
      </c>
      <c r="L1124" s="18">
        <f t="shared" si="310"/>
        <v>1964.8999999999999</v>
      </c>
      <c r="M1124" s="47">
        <f>M1125+M1126+M1127+M1128</f>
        <v>0</v>
      </c>
      <c r="N1124" s="18">
        <f t="shared" si="311"/>
        <v>1964.8999999999999</v>
      </c>
      <c r="O1124" s="47">
        <f>O1125+O1126+O1127+O1128</f>
        <v>0</v>
      </c>
      <c r="P1124" s="18">
        <f t="shared" si="117"/>
        <v>1964.8999999999999</v>
      </c>
      <c r="Q1124" s="47">
        <f>Q1125+Q1126+Q1127+Q1128</f>
        <v>0</v>
      </c>
      <c r="R1124" s="18">
        <f t="shared" si="313"/>
        <v>1964.8999999999999</v>
      </c>
      <c r="S1124" s="47">
        <f>S1125+S1126+S1127+S1128</f>
        <v>0</v>
      </c>
      <c r="T1124" s="18">
        <f t="shared" si="303"/>
        <v>1964.8999999999999</v>
      </c>
      <c r="U1124" s="47">
        <f>U1125+U1126+U1127+U1128</f>
        <v>0</v>
      </c>
      <c r="V1124" s="18">
        <f t="shared" si="300"/>
        <v>1964.8999999999999</v>
      </c>
      <c r="W1124" s="47">
        <f>W1125+W1126+W1127+W1128</f>
        <v>0</v>
      </c>
      <c r="X1124" s="18">
        <f t="shared" si="277"/>
        <v>1964.8999999999999</v>
      </c>
    </row>
    <row r="1125" spans="1:27" x14ac:dyDescent="0.25">
      <c r="A1125" s="7" t="s">
        <v>498</v>
      </c>
      <c r="B1125" s="25" t="s">
        <v>180</v>
      </c>
      <c r="C1125" s="25" t="s">
        <v>8</v>
      </c>
      <c r="D1125" s="19">
        <v>3.5</v>
      </c>
      <c r="E1125" s="19"/>
      <c r="F1125" s="18">
        <f t="shared" si="307"/>
        <v>3.5</v>
      </c>
      <c r="G1125" s="19"/>
      <c r="H1125" s="18">
        <f t="shared" si="308"/>
        <v>3.5</v>
      </c>
      <c r="I1125" s="19"/>
      <c r="J1125" s="18">
        <f t="shared" si="309"/>
        <v>3.5</v>
      </c>
      <c r="K1125" s="64"/>
      <c r="L1125" s="18">
        <f t="shared" si="310"/>
        <v>3.5</v>
      </c>
      <c r="M1125" s="64"/>
      <c r="N1125" s="18">
        <f t="shared" si="311"/>
        <v>3.5</v>
      </c>
      <c r="O1125" s="64"/>
      <c r="P1125" s="18">
        <f t="shared" si="117"/>
        <v>3.5</v>
      </c>
      <c r="Q1125" s="64"/>
      <c r="R1125" s="18">
        <f t="shared" si="313"/>
        <v>3.5</v>
      </c>
      <c r="S1125" s="122">
        <v>-0.8</v>
      </c>
      <c r="T1125" s="18">
        <f t="shared" si="303"/>
        <v>2.7</v>
      </c>
      <c r="U1125" s="64"/>
      <c r="V1125" s="18">
        <f t="shared" si="300"/>
        <v>2.7</v>
      </c>
      <c r="W1125" s="64"/>
      <c r="X1125" s="18">
        <f t="shared" si="277"/>
        <v>2.7</v>
      </c>
      <c r="Z1125" s="43">
        <f t="shared" ref="Z1125:Z1128" si="317">X1125+Y1125</f>
        <v>2.7</v>
      </c>
      <c r="AA1125" s="43"/>
    </row>
    <row r="1126" spans="1:27" ht="30" customHeight="1" x14ac:dyDescent="0.25">
      <c r="A1126" s="9" t="s">
        <v>500</v>
      </c>
      <c r="B1126" s="25" t="s">
        <v>180</v>
      </c>
      <c r="C1126" s="25" t="s">
        <v>9</v>
      </c>
      <c r="D1126" s="19">
        <v>1</v>
      </c>
      <c r="E1126" s="19"/>
      <c r="F1126" s="18">
        <f t="shared" si="307"/>
        <v>1</v>
      </c>
      <c r="G1126" s="19"/>
      <c r="H1126" s="18">
        <f t="shared" si="308"/>
        <v>1</v>
      </c>
      <c r="I1126" s="19"/>
      <c r="J1126" s="18">
        <f t="shared" si="309"/>
        <v>1</v>
      </c>
      <c r="K1126" s="64"/>
      <c r="L1126" s="18">
        <f t="shared" si="310"/>
        <v>1</v>
      </c>
      <c r="M1126" s="64"/>
      <c r="N1126" s="18">
        <f t="shared" si="311"/>
        <v>1</v>
      </c>
      <c r="O1126" s="64"/>
      <c r="P1126" s="18">
        <f t="shared" ref="P1126:P1204" si="318">N1126+O1126</f>
        <v>1</v>
      </c>
      <c r="Q1126" s="64"/>
      <c r="R1126" s="18">
        <f t="shared" si="313"/>
        <v>1</v>
      </c>
      <c r="S1126" s="122">
        <v>0.1</v>
      </c>
      <c r="T1126" s="18">
        <f t="shared" si="303"/>
        <v>1.1000000000000001</v>
      </c>
      <c r="U1126" s="64"/>
      <c r="V1126" s="18">
        <f t="shared" si="300"/>
        <v>1.1000000000000001</v>
      </c>
      <c r="W1126" s="64"/>
      <c r="X1126" s="18">
        <f t="shared" si="277"/>
        <v>1.1000000000000001</v>
      </c>
      <c r="Z1126" s="43">
        <f t="shared" si="317"/>
        <v>1.1000000000000001</v>
      </c>
      <c r="AA1126" s="43"/>
    </row>
    <row r="1127" spans="1:27" x14ac:dyDescent="0.25">
      <c r="A1127" s="7" t="s">
        <v>54</v>
      </c>
      <c r="B1127" s="25" t="s">
        <v>180</v>
      </c>
      <c r="C1127" s="25" t="s">
        <v>34</v>
      </c>
      <c r="D1127" s="19">
        <v>0.3</v>
      </c>
      <c r="E1127" s="19"/>
      <c r="F1127" s="18">
        <f t="shared" si="307"/>
        <v>0.3</v>
      </c>
      <c r="G1127" s="19"/>
      <c r="H1127" s="18">
        <f t="shared" si="308"/>
        <v>0.3</v>
      </c>
      <c r="I1127" s="19"/>
      <c r="J1127" s="18">
        <f t="shared" si="309"/>
        <v>0.3</v>
      </c>
      <c r="K1127" s="64"/>
      <c r="L1127" s="18">
        <f t="shared" si="310"/>
        <v>0.3</v>
      </c>
      <c r="M1127" s="64"/>
      <c r="N1127" s="18">
        <f t="shared" si="311"/>
        <v>0.3</v>
      </c>
      <c r="O1127" s="64"/>
      <c r="P1127" s="18">
        <f t="shared" si="318"/>
        <v>0.3</v>
      </c>
      <c r="Q1127" s="64"/>
      <c r="R1127" s="18">
        <f t="shared" si="313"/>
        <v>0.3</v>
      </c>
      <c r="S1127" s="122">
        <v>-0.1</v>
      </c>
      <c r="T1127" s="18">
        <f t="shared" si="303"/>
        <v>0.19999999999999998</v>
      </c>
      <c r="U1127" s="64"/>
      <c r="V1127" s="18">
        <f t="shared" si="300"/>
        <v>0.19999999999999998</v>
      </c>
      <c r="W1127" s="64"/>
      <c r="X1127" s="18">
        <f t="shared" si="277"/>
        <v>0.19999999999999998</v>
      </c>
      <c r="Z1127" s="43">
        <f t="shared" si="317"/>
        <v>0.19999999999999998</v>
      </c>
      <c r="AA1127" s="43"/>
    </row>
    <row r="1128" spans="1:27" ht="36.75" x14ac:dyDescent="0.25">
      <c r="A1128" s="7" t="s">
        <v>514</v>
      </c>
      <c r="B1128" s="25" t="s">
        <v>180</v>
      </c>
      <c r="C1128" s="25" t="s">
        <v>181</v>
      </c>
      <c r="D1128" s="19">
        <v>1960.1</v>
      </c>
      <c r="E1128" s="19"/>
      <c r="F1128" s="18">
        <f t="shared" si="307"/>
        <v>1960.1</v>
      </c>
      <c r="G1128" s="19"/>
      <c r="H1128" s="18">
        <f t="shared" si="308"/>
        <v>1960.1</v>
      </c>
      <c r="I1128" s="19"/>
      <c r="J1128" s="18">
        <f t="shared" si="309"/>
        <v>1960.1</v>
      </c>
      <c r="K1128" s="64"/>
      <c r="L1128" s="18">
        <f t="shared" si="310"/>
        <v>1960.1</v>
      </c>
      <c r="M1128" s="64"/>
      <c r="N1128" s="18">
        <f t="shared" si="311"/>
        <v>1960.1</v>
      </c>
      <c r="O1128" s="64"/>
      <c r="P1128" s="18">
        <f t="shared" si="318"/>
        <v>1960.1</v>
      </c>
      <c r="Q1128" s="64"/>
      <c r="R1128" s="18">
        <f t="shared" si="313"/>
        <v>1960.1</v>
      </c>
      <c r="S1128" s="122">
        <v>0.8</v>
      </c>
      <c r="T1128" s="18">
        <f t="shared" si="303"/>
        <v>1960.8999999999999</v>
      </c>
      <c r="U1128" s="64"/>
      <c r="V1128" s="18">
        <f t="shared" si="300"/>
        <v>1960.8999999999999</v>
      </c>
      <c r="W1128" s="64"/>
      <c r="X1128" s="18">
        <f t="shared" si="277"/>
        <v>1960.8999999999999</v>
      </c>
      <c r="Z1128" s="43">
        <f t="shared" si="317"/>
        <v>1960.8999999999999</v>
      </c>
      <c r="AA1128" s="43"/>
    </row>
    <row r="1129" spans="1:27" ht="24.75" x14ac:dyDescent="0.25">
      <c r="A1129" s="13" t="s">
        <v>658</v>
      </c>
      <c r="B1129" s="29" t="s">
        <v>659</v>
      </c>
      <c r="C1129" s="31"/>
      <c r="D1129" s="19"/>
      <c r="E1129" s="19"/>
      <c r="F1129" s="18"/>
      <c r="G1129" s="19"/>
      <c r="H1129" s="18"/>
      <c r="I1129" s="20">
        <f>I1130</f>
        <v>58104.800000000003</v>
      </c>
      <c r="J1129" s="18">
        <f t="shared" si="309"/>
        <v>58104.800000000003</v>
      </c>
      <c r="K1129" s="47">
        <f>K1130</f>
        <v>0</v>
      </c>
      <c r="L1129" s="18">
        <f t="shared" si="310"/>
        <v>58104.800000000003</v>
      </c>
      <c r="M1129" s="47">
        <f>M1130</f>
        <v>0</v>
      </c>
      <c r="N1129" s="18">
        <f t="shared" si="311"/>
        <v>58104.800000000003</v>
      </c>
      <c r="O1129" s="47">
        <f>O1130</f>
        <v>0</v>
      </c>
      <c r="P1129" s="18">
        <f t="shared" si="318"/>
        <v>58104.800000000003</v>
      </c>
      <c r="Q1129" s="47">
        <f>Q1130</f>
        <v>0</v>
      </c>
      <c r="R1129" s="18">
        <f t="shared" si="313"/>
        <v>58104.800000000003</v>
      </c>
      <c r="S1129" s="47">
        <f>S1130</f>
        <v>0</v>
      </c>
      <c r="T1129" s="18">
        <f t="shared" si="303"/>
        <v>58104.800000000003</v>
      </c>
      <c r="U1129" s="47">
        <f>U1130</f>
        <v>0</v>
      </c>
      <c r="V1129" s="18">
        <f t="shared" si="300"/>
        <v>58104.800000000003</v>
      </c>
      <c r="W1129" s="47">
        <f>W1130</f>
        <v>0</v>
      </c>
      <c r="X1129" s="18">
        <f t="shared" si="277"/>
        <v>58104.800000000003</v>
      </c>
    </row>
    <row r="1130" spans="1:27" ht="24.75" x14ac:dyDescent="0.25">
      <c r="A1130" s="7" t="s">
        <v>509</v>
      </c>
      <c r="B1130" s="31" t="s">
        <v>659</v>
      </c>
      <c r="C1130" s="60" t="s">
        <v>201</v>
      </c>
      <c r="D1130" s="19"/>
      <c r="E1130" s="19"/>
      <c r="F1130" s="18"/>
      <c r="G1130" s="19"/>
      <c r="H1130" s="18"/>
      <c r="I1130" s="45">
        <v>58104.800000000003</v>
      </c>
      <c r="J1130" s="18">
        <f t="shared" si="309"/>
        <v>58104.800000000003</v>
      </c>
      <c r="K1130" s="64"/>
      <c r="L1130" s="18">
        <f t="shared" si="310"/>
        <v>58104.800000000003</v>
      </c>
      <c r="M1130" s="64"/>
      <c r="N1130" s="18">
        <f t="shared" si="311"/>
        <v>58104.800000000003</v>
      </c>
      <c r="O1130" s="64"/>
      <c r="P1130" s="18">
        <f t="shared" si="318"/>
        <v>58104.800000000003</v>
      </c>
      <c r="Q1130" s="64"/>
      <c r="R1130" s="18">
        <f t="shared" si="313"/>
        <v>58104.800000000003</v>
      </c>
      <c r="S1130" s="64"/>
      <c r="T1130" s="18">
        <f t="shared" si="303"/>
        <v>58104.800000000003</v>
      </c>
      <c r="U1130" s="64"/>
      <c r="V1130" s="18">
        <f t="shared" si="300"/>
        <v>58104.800000000003</v>
      </c>
      <c r="W1130" s="64"/>
      <c r="X1130" s="18">
        <f t="shared" si="277"/>
        <v>58104.800000000003</v>
      </c>
      <c r="Z1130" s="43">
        <f>X1130+Y1130</f>
        <v>58104.800000000003</v>
      </c>
      <c r="AA1130" s="43"/>
    </row>
    <row r="1131" spans="1:27" x14ac:dyDescent="0.25">
      <c r="A1131" s="13" t="s">
        <v>195</v>
      </c>
      <c r="B1131" s="24" t="s">
        <v>202</v>
      </c>
      <c r="C1131" s="24" t="s">
        <v>2</v>
      </c>
      <c r="D1131" s="18">
        <f>D1132+D1133</f>
        <v>15200</v>
      </c>
      <c r="E1131" s="18">
        <f>E1132+E1133</f>
        <v>0</v>
      </c>
      <c r="F1131" s="18">
        <f t="shared" si="307"/>
        <v>15200</v>
      </c>
      <c r="G1131" s="18">
        <f>G1132+G1133</f>
        <v>0</v>
      </c>
      <c r="H1131" s="18">
        <f t="shared" si="308"/>
        <v>15200</v>
      </c>
      <c r="I1131" s="18">
        <f>I1132+I1133</f>
        <v>0</v>
      </c>
      <c r="J1131" s="18">
        <f t="shared" si="309"/>
        <v>15200</v>
      </c>
      <c r="K1131" s="47">
        <f>K1132+K1133</f>
        <v>-2820.5</v>
      </c>
      <c r="L1131" s="18">
        <f t="shared" si="310"/>
        <v>12379.5</v>
      </c>
      <c r="M1131" s="47">
        <f>M1132+M1133</f>
        <v>-4208.7</v>
      </c>
      <c r="N1131" s="18">
        <f t="shared" si="311"/>
        <v>8170.8</v>
      </c>
      <c r="O1131" s="47">
        <f>O1132+O1133</f>
        <v>0</v>
      </c>
      <c r="P1131" s="18">
        <f t="shared" si="318"/>
        <v>8170.8</v>
      </c>
      <c r="Q1131" s="47">
        <f>Q1132+Q1133</f>
        <v>4600</v>
      </c>
      <c r="R1131" s="18">
        <f t="shared" si="313"/>
        <v>12770.8</v>
      </c>
      <c r="S1131" s="47">
        <f>S1132+S1133</f>
        <v>0</v>
      </c>
      <c r="T1131" s="18">
        <f t="shared" si="303"/>
        <v>12770.8</v>
      </c>
      <c r="U1131" s="47">
        <f>U1132+U1133</f>
        <v>-2110.5</v>
      </c>
      <c r="V1131" s="18">
        <f t="shared" si="300"/>
        <v>10660.3</v>
      </c>
      <c r="W1131" s="47">
        <f>W1132+W1133</f>
        <v>3696.7</v>
      </c>
      <c r="X1131" s="18">
        <f t="shared" si="277"/>
        <v>14357</v>
      </c>
    </row>
    <row r="1132" spans="1:27" x14ac:dyDescent="0.25">
      <c r="A1132" s="7" t="s">
        <v>54</v>
      </c>
      <c r="B1132" s="25" t="s">
        <v>202</v>
      </c>
      <c r="C1132" s="25" t="s">
        <v>34</v>
      </c>
      <c r="D1132" s="19">
        <v>2400</v>
      </c>
      <c r="E1132" s="19"/>
      <c r="F1132" s="18">
        <f t="shared" si="307"/>
        <v>2400</v>
      </c>
      <c r="G1132" s="19"/>
      <c r="H1132" s="18">
        <f t="shared" si="308"/>
        <v>2400</v>
      </c>
      <c r="I1132" s="19"/>
      <c r="J1132" s="18">
        <f t="shared" si="309"/>
        <v>2400</v>
      </c>
      <c r="K1132" s="64"/>
      <c r="L1132" s="18">
        <f t="shared" si="310"/>
        <v>2400</v>
      </c>
      <c r="M1132" s="62">
        <v>-500</v>
      </c>
      <c r="N1132" s="18">
        <f t="shared" si="311"/>
        <v>1900</v>
      </c>
      <c r="O1132" s="64"/>
      <c r="P1132" s="18">
        <f t="shared" si="318"/>
        <v>1900</v>
      </c>
      <c r="Q1132" s="64"/>
      <c r="R1132" s="18">
        <f t="shared" si="313"/>
        <v>1900</v>
      </c>
      <c r="S1132" s="64"/>
      <c r="T1132" s="18">
        <f t="shared" si="303"/>
        <v>1900</v>
      </c>
      <c r="U1132" s="121"/>
      <c r="V1132" s="18">
        <f t="shared" si="300"/>
        <v>1900</v>
      </c>
      <c r="W1132" s="85">
        <v>-118</v>
      </c>
      <c r="X1132" s="18">
        <f t="shared" si="277"/>
        <v>1782</v>
      </c>
      <c r="Z1132" s="43">
        <f t="shared" ref="Z1132:Z1133" si="319">X1132+Y1132</f>
        <v>1782</v>
      </c>
      <c r="AA1132" s="43"/>
    </row>
    <row r="1133" spans="1:27" ht="24.75" x14ac:dyDescent="0.25">
      <c r="A1133" s="7" t="s">
        <v>509</v>
      </c>
      <c r="B1133" s="25" t="s">
        <v>202</v>
      </c>
      <c r="C1133" s="25" t="s">
        <v>201</v>
      </c>
      <c r="D1133" s="19">
        <v>12800</v>
      </c>
      <c r="E1133" s="19"/>
      <c r="F1133" s="18">
        <f t="shared" si="307"/>
        <v>12800</v>
      </c>
      <c r="G1133" s="19"/>
      <c r="H1133" s="18">
        <f t="shared" si="308"/>
        <v>12800</v>
      </c>
      <c r="I1133" s="19"/>
      <c r="J1133" s="18">
        <f t="shared" si="309"/>
        <v>12800</v>
      </c>
      <c r="K1133" s="106">
        <v>-2820.5</v>
      </c>
      <c r="L1133" s="18">
        <f t="shared" si="310"/>
        <v>9979.5</v>
      </c>
      <c r="M1133" s="62">
        <v>-3708.7</v>
      </c>
      <c r="N1133" s="18">
        <f t="shared" si="311"/>
        <v>6270.8</v>
      </c>
      <c r="O1133" s="64"/>
      <c r="P1133" s="18">
        <f t="shared" si="318"/>
        <v>6270.8</v>
      </c>
      <c r="Q1133" s="44">
        <v>4600</v>
      </c>
      <c r="R1133" s="18">
        <f t="shared" si="313"/>
        <v>10870.8</v>
      </c>
      <c r="S1133" s="64"/>
      <c r="T1133" s="18">
        <f t="shared" si="303"/>
        <v>10870.8</v>
      </c>
      <c r="U1133" s="44">
        <f>-2100-10.5</f>
        <v>-2110.5</v>
      </c>
      <c r="V1133" s="18">
        <f t="shared" si="300"/>
        <v>8760.2999999999993</v>
      </c>
      <c r="W1133" s="112">
        <f>2100-201.5+1916.2</f>
        <v>3814.7</v>
      </c>
      <c r="X1133" s="18">
        <f t="shared" si="277"/>
        <v>12575</v>
      </c>
      <c r="Y1133" s="43">
        <v>1916.2</v>
      </c>
      <c r="Z1133" s="43">
        <f t="shared" si="319"/>
        <v>14491.2</v>
      </c>
      <c r="AA1133" s="43"/>
    </row>
    <row r="1134" spans="1:27" x14ac:dyDescent="0.25">
      <c r="A1134" s="13" t="s">
        <v>210</v>
      </c>
      <c r="B1134" s="24" t="s">
        <v>211</v>
      </c>
      <c r="C1134" s="24" t="s">
        <v>2</v>
      </c>
      <c r="D1134" s="18">
        <f>D1135+D1136</f>
        <v>29997.3</v>
      </c>
      <c r="E1134" s="18">
        <f>E1135+E1136</f>
        <v>-5000</v>
      </c>
      <c r="F1134" s="18">
        <f t="shared" si="307"/>
        <v>24997.3</v>
      </c>
      <c r="G1134" s="18">
        <f>G1135+G1136</f>
        <v>0</v>
      </c>
      <c r="H1134" s="18">
        <f t="shared" si="308"/>
        <v>24997.3</v>
      </c>
      <c r="I1134" s="18">
        <f>I1135+I1136+I1137</f>
        <v>-115.8</v>
      </c>
      <c r="J1134" s="18">
        <f t="shared" si="309"/>
        <v>24881.5</v>
      </c>
      <c r="K1134" s="47">
        <f>K1135+K1136+K1137</f>
        <v>4624.3</v>
      </c>
      <c r="L1134" s="18">
        <f t="shared" si="310"/>
        <v>29505.8</v>
      </c>
      <c r="M1134" s="47">
        <f>M1135+M1136+M1137</f>
        <v>17500</v>
      </c>
      <c r="N1134" s="18">
        <f t="shared" si="311"/>
        <v>47005.8</v>
      </c>
      <c r="O1134" s="47">
        <f>O1135+O1136+O1137</f>
        <v>6518.7</v>
      </c>
      <c r="P1134" s="18">
        <f t="shared" si="318"/>
        <v>53524.5</v>
      </c>
      <c r="Q1134" s="47">
        <f>Q1135+Q1136+Q1137</f>
        <v>10756.9</v>
      </c>
      <c r="R1134" s="18">
        <f t="shared" si="313"/>
        <v>64281.4</v>
      </c>
      <c r="S1134" s="47">
        <f>S1135+S1136+S1137</f>
        <v>-4815.2</v>
      </c>
      <c r="T1134" s="18">
        <f t="shared" si="303"/>
        <v>59466.200000000004</v>
      </c>
      <c r="U1134" s="47">
        <f>U1135+U1136+U1137</f>
        <v>3754.5</v>
      </c>
      <c r="V1134" s="18">
        <f t="shared" si="300"/>
        <v>63220.700000000004</v>
      </c>
      <c r="W1134" s="47">
        <f>W1135+W1136+W1137</f>
        <v>0</v>
      </c>
      <c r="X1134" s="18">
        <f t="shared" si="277"/>
        <v>63220.700000000004</v>
      </c>
    </row>
    <row r="1135" spans="1:27" x14ac:dyDescent="0.25">
      <c r="A1135" s="7" t="s">
        <v>54</v>
      </c>
      <c r="B1135" s="25" t="s">
        <v>211</v>
      </c>
      <c r="C1135" s="25" t="s">
        <v>34</v>
      </c>
      <c r="D1135" s="19">
        <v>27802.6</v>
      </c>
      <c r="E1135" s="44">
        <v>-5000</v>
      </c>
      <c r="F1135" s="18">
        <f t="shared" si="307"/>
        <v>22802.6</v>
      </c>
      <c r="G1135" s="64"/>
      <c r="H1135" s="18">
        <f t="shared" si="308"/>
        <v>22802.6</v>
      </c>
      <c r="I1135" s="92">
        <f>0.4-116.2</f>
        <v>-115.8</v>
      </c>
      <c r="J1135" s="18">
        <f t="shared" si="309"/>
        <v>22686.799999999999</v>
      </c>
      <c r="K1135" s="99">
        <f>5000-30-788</f>
        <v>4182</v>
      </c>
      <c r="L1135" s="18">
        <f t="shared" si="310"/>
        <v>26868.799999999999</v>
      </c>
      <c r="M1135" s="92">
        <f>-53.5+11091.5</f>
        <v>11038</v>
      </c>
      <c r="N1135" s="18">
        <f t="shared" si="311"/>
        <v>37906.800000000003</v>
      </c>
      <c r="O1135" s="90">
        <f>261.1+255+3100</f>
        <v>3616.1</v>
      </c>
      <c r="P1135" s="18">
        <f t="shared" si="318"/>
        <v>41522.9</v>
      </c>
      <c r="Q1135" s="90">
        <f>5400+440-3721</f>
        <v>2119</v>
      </c>
      <c r="R1135" s="18">
        <f t="shared" si="313"/>
        <v>43641.9</v>
      </c>
      <c r="S1135" s="90">
        <f>-275-4540.2</f>
        <v>-4815.2</v>
      </c>
      <c r="T1135" s="18">
        <f t="shared" si="303"/>
        <v>38826.700000000004</v>
      </c>
      <c r="U1135" s="90">
        <f>-2700+1774.3</f>
        <v>-925.7</v>
      </c>
      <c r="V1135" s="18">
        <f t="shared" si="300"/>
        <v>37901.000000000007</v>
      </c>
      <c r="W1135" s="77"/>
      <c r="X1135" s="18">
        <f t="shared" si="277"/>
        <v>37901.000000000007</v>
      </c>
      <c r="Z1135" s="43">
        <f t="shared" ref="Z1135:Z1137" si="320">X1135+Y1135</f>
        <v>37901.000000000007</v>
      </c>
      <c r="AA1135" s="43"/>
    </row>
    <row r="1136" spans="1:27" x14ac:dyDescent="0.25">
      <c r="A1136" s="7" t="s">
        <v>503</v>
      </c>
      <c r="B1136" s="25" t="s">
        <v>211</v>
      </c>
      <c r="C1136" s="25" t="s">
        <v>35</v>
      </c>
      <c r="D1136" s="19">
        <v>2194.6999999999998</v>
      </c>
      <c r="E1136" s="19"/>
      <c r="F1136" s="18">
        <f t="shared" si="307"/>
        <v>2194.6999999999998</v>
      </c>
      <c r="G1136" s="19"/>
      <c r="H1136" s="18">
        <f t="shared" si="308"/>
        <v>2194.6999999999998</v>
      </c>
      <c r="I1136" s="19"/>
      <c r="J1136" s="18">
        <f t="shared" si="309"/>
        <v>2194.6999999999998</v>
      </c>
      <c r="K1136" s="106">
        <v>42.3</v>
      </c>
      <c r="L1136" s="18">
        <f t="shared" si="310"/>
        <v>2237</v>
      </c>
      <c r="M1136" s="62">
        <v>53.5</v>
      </c>
      <c r="N1136" s="18">
        <f t="shared" si="311"/>
        <v>2290.5</v>
      </c>
      <c r="O1136" s="64"/>
      <c r="P1136" s="18">
        <f t="shared" si="318"/>
        <v>2290.5</v>
      </c>
      <c r="Q1136" s="44">
        <v>80</v>
      </c>
      <c r="R1136" s="18">
        <f t="shared" si="313"/>
        <v>2370.5</v>
      </c>
      <c r="S1136" s="64"/>
      <c r="T1136" s="18">
        <f t="shared" si="303"/>
        <v>2370.5</v>
      </c>
      <c r="U1136" s="64"/>
      <c r="V1136" s="18">
        <f t="shared" si="300"/>
        <v>2370.5</v>
      </c>
      <c r="W1136" s="64"/>
      <c r="X1136" s="18">
        <f t="shared" si="277"/>
        <v>2370.5</v>
      </c>
      <c r="Z1136" s="43">
        <f t="shared" si="320"/>
        <v>2370.5</v>
      </c>
      <c r="AA1136" s="43"/>
    </row>
    <row r="1137" spans="1:27" ht="36.75" x14ac:dyDescent="0.25">
      <c r="A1137" s="51" t="s">
        <v>514</v>
      </c>
      <c r="B1137" s="25" t="s">
        <v>211</v>
      </c>
      <c r="C1137" s="25" t="s">
        <v>181</v>
      </c>
      <c r="D1137" s="19"/>
      <c r="E1137" s="19"/>
      <c r="F1137" s="18"/>
      <c r="G1137" s="19"/>
      <c r="H1137" s="18"/>
      <c r="I1137" s="44"/>
      <c r="J1137" s="18">
        <f t="shared" si="309"/>
        <v>0</v>
      </c>
      <c r="K1137" s="106">
        <v>400</v>
      </c>
      <c r="L1137" s="18">
        <f t="shared" si="310"/>
        <v>400</v>
      </c>
      <c r="M1137" s="44">
        <f>6000+408.5</f>
        <v>6408.5</v>
      </c>
      <c r="N1137" s="18">
        <f t="shared" si="311"/>
        <v>6808.5</v>
      </c>
      <c r="O1137" s="44">
        <f>-6000+6000+2902.6</f>
        <v>2902.6</v>
      </c>
      <c r="P1137" s="18">
        <f t="shared" si="318"/>
        <v>9711.1</v>
      </c>
      <c r="Q1137" s="44">
        <f>7908.6+649.3</f>
        <v>8557.9</v>
      </c>
      <c r="R1137" s="18">
        <f t="shared" si="313"/>
        <v>18269</v>
      </c>
      <c r="S1137" s="64"/>
      <c r="T1137" s="18">
        <f t="shared" si="303"/>
        <v>18269</v>
      </c>
      <c r="U1137" s="44">
        <f>2700+1980.2</f>
        <v>4680.2</v>
      </c>
      <c r="V1137" s="18">
        <f t="shared" si="300"/>
        <v>22949.200000000001</v>
      </c>
      <c r="W1137" s="64"/>
      <c r="X1137" s="18">
        <f t="shared" si="277"/>
        <v>22949.200000000001</v>
      </c>
      <c r="Z1137" s="43">
        <f t="shared" si="320"/>
        <v>22949.200000000001</v>
      </c>
      <c r="AA1137" s="43"/>
    </row>
    <row r="1138" spans="1:27" ht="24.75" x14ac:dyDescent="0.25">
      <c r="A1138" s="13" t="s">
        <v>194</v>
      </c>
      <c r="B1138" s="26" t="s">
        <v>736</v>
      </c>
      <c r="C1138" s="27"/>
      <c r="D1138" s="19"/>
      <c r="E1138" s="19"/>
      <c r="F1138" s="18"/>
      <c r="G1138" s="19"/>
      <c r="H1138" s="18"/>
      <c r="I1138" s="44"/>
      <c r="J1138" s="18"/>
      <c r="K1138" s="47">
        <f>K1139</f>
        <v>2800</v>
      </c>
      <c r="L1138" s="18">
        <f t="shared" si="310"/>
        <v>2800</v>
      </c>
      <c r="M1138" s="47">
        <f>M1139</f>
        <v>0</v>
      </c>
      <c r="N1138" s="18">
        <f t="shared" si="311"/>
        <v>2800</v>
      </c>
      <c r="O1138" s="47">
        <f>O1139</f>
        <v>-2800</v>
      </c>
      <c r="P1138" s="18">
        <f t="shared" si="318"/>
        <v>0</v>
      </c>
      <c r="Q1138" s="47">
        <f>Q1139</f>
        <v>1975.6</v>
      </c>
      <c r="R1138" s="18">
        <f t="shared" si="313"/>
        <v>1975.6</v>
      </c>
      <c r="S1138" s="47">
        <f>S1139+S1140</f>
        <v>4540.2</v>
      </c>
      <c r="T1138" s="18">
        <f t="shared" si="303"/>
        <v>6515.7999999999993</v>
      </c>
      <c r="U1138" s="47">
        <f>U1139+U1140</f>
        <v>0</v>
      </c>
      <c r="V1138" s="18">
        <f t="shared" si="300"/>
        <v>6515.7999999999993</v>
      </c>
      <c r="W1138" s="47">
        <f>W1139+W1140</f>
        <v>0.1</v>
      </c>
      <c r="X1138" s="18">
        <f t="shared" si="277"/>
        <v>6515.9</v>
      </c>
    </row>
    <row r="1139" spans="1:27" ht="24.75" x14ac:dyDescent="0.25">
      <c r="A1139" s="7" t="s">
        <v>502</v>
      </c>
      <c r="B1139" s="27" t="s">
        <v>736</v>
      </c>
      <c r="C1139" s="27" t="s">
        <v>209</v>
      </c>
      <c r="D1139" s="19"/>
      <c r="E1139" s="19"/>
      <c r="F1139" s="18"/>
      <c r="G1139" s="19"/>
      <c r="H1139" s="18"/>
      <c r="I1139" s="44"/>
      <c r="J1139" s="18"/>
      <c r="K1139" s="90">
        <v>2800</v>
      </c>
      <c r="L1139" s="18">
        <f t="shared" si="310"/>
        <v>2800</v>
      </c>
      <c r="M1139" s="77"/>
      <c r="N1139" s="18">
        <f t="shared" si="311"/>
        <v>2800</v>
      </c>
      <c r="O1139" s="138">
        <v>-2800</v>
      </c>
      <c r="P1139" s="18">
        <f t="shared" si="318"/>
        <v>0</v>
      </c>
      <c r="Q1139" s="90">
        <v>1975.6</v>
      </c>
      <c r="R1139" s="18">
        <f t="shared" si="313"/>
        <v>1975.6</v>
      </c>
      <c r="S1139" s="77"/>
      <c r="T1139" s="18">
        <f t="shared" si="303"/>
        <v>1975.6</v>
      </c>
      <c r="U1139" s="77"/>
      <c r="V1139" s="18">
        <f t="shared" si="300"/>
        <v>1975.6</v>
      </c>
      <c r="W1139" s="90">
        <v>0.1</v>
      </c>
      <c r="X1139" s="18">
        <f t="shared" si="277"/>
        <v>1975.6999999999998</v>
      </c>
      <c r="Y1139" s="43">
        <v>0.1</v>
      </c>
      <c r="Z1139" s="43">
        <f t="shared" ref="Z1139:Z1140" si="321">X1139+Y1139</f>
        <v>1975.7999999999997</v>
      </c>
      <c r="AA1139" s="43"/>
    </row>
    <row r="1140" spans="1:27" ht="24.75" x14ac:dyDescent="0.25">
      <c r="A1140" s="7" t="s">
        <v>509</v>
      </c>
      <c r="B1140" s="27" t="s">
        <v>736</v>
      </c>
      <c r="C1140" s="27" t="s">
        <v>201</v>
      </c>
      <c r="D1140" s="19"/>
      <c r="E1140" s="19"/>
      <c r="F1140" s="18"/>
      <c r="G1140" s="19"/>
      <c r="H1140" s="18"/>
      <c r="I1140" s="44"/>
      <c r="J1140" s="18"/>
      <c r="K1140" s="90"/>
      <c r="L1140" s="18"/>
      <c r="M1140" s="77"/>
      <c r="N1140" s="18"/>
      <c r="O1140" s="138"/>
      <c r="P1140" s="18"/>
      <c r="Q1140" s="90"/>
      <c r="R1140" s="18"/>
      <c r="S1140" s="92">
        <v>4540.2</v>
      </c>
      <c r="T1140" s="18">
        <f t="shared" si="303"/>
        <v>4540.2</v>
      </c>
      <c r="U1140" s="77"/>
      <c r="V1140" s="18">
        <f t="shared" si="300"/>
        <v>4540.2</v>
      </c>
      <c r="W1140" s="77"/>
      <c r="X1140" s="18">
        <f t="shared" si="277"/>
        <v>4540.2</v>
      </c>
      <c r="Z1140" s="43">
        <f t="shared" si="321"/>
        <v>4540.2</v>
      </c>
      <c r="AA1140" s="43"/>
    </row>
    <row r="1141" spans="1:27" hidden="1" x14ac:dyDescent="0.25">
      <c r="A1141" s="13" t="s">
        <v>203</v>
      </c>
      <c r="B1141" s="24" t="s">
        <v>204</v>
      </c>
      <c r="C1141" s="24" t="s">
        <v>2</v>
      </c>
      <c r="D1141" s="18">
        <f>D1142</f>
        <v>9500</v>
      </c>
      <c r="E1141" s="18">
        <f>E1142</f>
        <v>-2500</v>
      </c>
      <c r="F1141" s="18">
        <f t="shared" si="307"/>
        <v>7000</v>
      </c>
      <c r="G1141" s="18">
        <f>G1142</f>
        <v>0</v>
      </c>
      <c r="H1141" s="18">
        <f t="shared" si="308"/>
        <v>7000</v>
      </c>
      <c r="I1141" s="18">
        <f>I1142</f>
        <v>0</v>
      </c>
      <c r="J1141" s="18">
        <f t="shared" si="309"/>
        <v>7000</v>
      </c>
      <c r="K1141" s="47">
        <f>K1142</f>
        <v>2500</v>
      </c>
      <c r="L1141" s="18">
        <f t="shared" si="310"/>
        <v>9500</v>
      </c>
      <c r="M1141" s="47">
        <f>M1142</f>
        <v>-9090</v>
      </c>
      <c r="N1141" s="18">
        <f t="shared" si="311"/>
        <v>410</v>
      </c>
      <c r="O1141" s="47">
        <f>O1142</f>
        <v>0</v>
      </c>
      <c r="P1141" s="18">
        <f t="shared" si="318"/>
        <v>410</v>
      </c>
      <c r="Q1141" s="47">
        <f>Q1142</f>
        <v>0</v>
      </c>
      <c r="R1141" s="18">
        <f t="shared" si="313"/>
        <v>410</v>
      </c>
      <c r="S1141" s="47">
        <f>S1142</f>
        <v>0</v>
      </c>
      <c r="T1141" s="18">
        <f t="shared" si="303"/>
        <v>410</v>
      </c>
      <c r="U1141" s="47">
        <f>U1142</f>
        <v>-410</v>
      </c>
      <c r="V1141" s="18">
        <f t="shared" si="300"/>
        <v>0</v>
      </c>
      <c r="W1141" s="47">
        <f>W1142</f>
        <v>0</v>
      </c>
      <c r="X1141" s="18">
        <f t="shared" si="277"/>
        <v>0</v>
      </c>
    </row>
    <row r="1142" spans="1:27" ht="24.75" hidden="1" x14ac:dyDescent="0.25">
      <c r="A1142" s="7" t="s">
        <v>509</v>
      </c>
      <c r="B1142" s="25" t="s">
        <v>204</v>
      </c>
      <c r="C1142" s="25" t="s">
        <v>201</v>
      </c>
      <c r="D1142" s="19">
        <v>9500</v>
      </c>
      <c r="E1142" s="44">
        <v>-2500</v>
      </c>
      <c r="F1142" s="18">
        <f t="shared" si="307"/>
        <v>7000</v>
      </c>
      <c r="G1142" s="64"/>
      <c r="H1142" s="18">
        <f t="shared" si="308"/>
        <v>7000</v>
      </c>
      <c r="I1142" s="64"/>
      <c r="J1142" s="18">
        <f t="shared" si="309"/>
        <v>7000</v>
      </c>
      <c r="K1142" s="97">
        <v>2500</v>
      </c>
      <c r="L1142" s="18">
        <f t="shared" si="310"/>
        <v>9500</v>
      </c>
      <c r="M1142" s="62">
        <v>-9090</v>
      </c>
      <c r="N1142" s="18">
        <f t="shared" si="311"/>
        <v>410</v>
      </c>
      <c r="O1142" s="64"/>
      <c r="P1142" s="18">
        <f t="shared" si="318"/>
        <v>410</v>
      </c>
      <c r="Q1142" s="64"/>
      <c r="R1142" s="18">
        <f t="shared" si="313"/>
        <v>410</v>
      </c>
      <c r="S1142" s="64"/>
      <c r="T1142" s="18">
        <f t="shared" si="303"/>
        <v>410</v>
      </c>
      <c r="U1142" s="96">
        <v>-410</v>
      </c>
      <c r="V1142" s="18">
        <f t="shared" si="300"/>
        <v>0</v>
      </c>
      <c r="W1142" s="64"/>
      <c r="X1142" s="18">
        <f t="shared" si="277"/>
        <v>0</v>
      </c>
      <c r="Z1142" s="43">
        <f>X1142+Y1142</f>
        <v>0</v>
      </c>
      <c r="AA1142" s="43"/>
    </row>
    <row r="1143" spans="1:27" x14ac:dyDescent="0.25">
      <c r="A1143" s="91" t="s">
        <v>706</v>
      </c>
      <c r="B1143" s="26" t="s">
        <v>710</v>
      </c>
      <c r="C1143" s="26" t="s">
        <v>2</v>
      </c>
      <c r="D1143" s="19"/>
      <c r="E1143" s="44"/>
      <c r="F1143" s="18"/>
      <c r="G1143" s="64"/>
      <c r="H1143" s="18"/>
      <c r="I1143" s="64"/>
      <c r="J1143" s="18"/>
      <c r="K1143" s="20">
        <f>K1144</f>
        <v>1105</v>
      </c>
      <c r="L1143" s="18">
        <f t="shared" si="310"/>
        <v>1105</v>
      </c>
      <c r="M1143" s="20">
        <f>M1144</f>
        <v>-1105</v>
      </c>
      <c r="N1143" s="18">
        <f t="shared" si="311"/>
        <v>0</v>
      </c>
      <c r="O1143" s="20">
        <f>O1144</f>
        <v>720</v>
      </c>
      <c r="P1143" s="18">
        <f t="shared" si="318"/>
        <v>720</v>
      </c>
      <c r="Q1143" s="20">
        <f>Q1144</f>
        <v>5690.7</v>
      </c>
      <c r="R1143" s="18">
        <f t="shared" si="313"/>
        <v>6410.7</v>
      </c>
      <c r="S1143" s="20">
        <f>S1144</f>
        <v>0</v>
      </c>
      <c r="T1143" s="18">
        <f t="shared" si="303"/>
        <v>6410.7</v>
      </c>
      <c r="U1143" s="156">
        <f>U1144</f>
        <v>-34</v>
      </c>
      <c r="V1143" s="18">
        <f t="shared" si="300"/>
        <v>6376.7</v>
      </c>
      <c r="W1143" s="156">
        <f>W1144</f>
        <v>480</v>
      </c>
      <c r="X1143" s="18">
        <f t="shared" si="277"/>
        <v>6856.7</v>
      </c>
    </row>
    <row r="1144" spans="1:27" x14ac:dyDescent="0.25">
      <c r="A1144" s="7" t="s">
        <v>54</v>
      </c>
      <c r="B1144" s="27" t="s">
        <v>710</v>
      </c>
      <c r="C1144" s="27" t="s">
        <v>34</v>
      </c>
      <c r="D1144" s="19"/>
      <c r="E1144" s="44"/>
      <c r="F1144" s="18"/>
      <c r="G1144" s="64"/>
      <c r="H1144" s="18"/>
      <c r="I1144" s="64"/>
      <c r="J1144" s="18"/>
      <c r="K1144" s="97">
        <f>105+1000</f>
        <v>1105</v>
      </c>
      <c r="L1144" s="18">
        <f t="shared" si="310"/>
        <v>1105</v>
      </c>
      <c r="M1144" s="62">
        <v>-1105</v>
      </c>
      <c r="N1144" s="18">
        <f t="shared" si="311"/>
        <v>0</v>
      </c>
      <c r="O1144" s="124">
        <f>240+480</f>
        <v>720</v>
      </c>
      <c r="P1144" s="18">
        <f t="shared" si="318"/>
        <v>720</v>
      </c>
      <c r="Q1144" s="44">
        <v>5690.7</v>
      </c>
      <c r="R1144" s="18">
        <f t="shared" si="313"/>
        <v>6410.7</v>
      </c>
      <c r="S1144" s="64"/>
      <c r="T1144" s="18">
        <f t="shared" si="303"/>
        <v>6410.7</v>
      </c>
      <c r="U1144" s="44">
        <f>-480+446</f>
        <v>-34</v>
      </c>
      <c r="V1144" s="18">
        <f t="shared" si="300"/>
        <v>6376.7</v>
      </c>
      <c r="W1144" s="112">
        <v>480</v>
      </c>
      <c r="X1144" s="18">
        <f t="shared" si="277"/>
        <v>6856.7</v>
      </c>
      <c r="Z1144" s="43">
        <f>X1144+Y1144</f>
        <v>6856.7</v>
      </c>
      <c r="AA1144" s="43"/>
    </row>
    <row r="1145" spans="1:27" ht="24.75" x14ac:dyDescent="0.25">
      <c r="A1145" s="13" t="s">
        <v>524</v>
      </c>
      <c r="B1145" s="24" t="s">
        <v>521</v>
      </c>
      <c r="C1145" s="24" t="s">
        <v>2</v>
      </c>
      <c r="D1145" s="18">
        <f>D1146</f>
        <v>2400</v>
      </c>
      <c r="E1145" s="18">
        <f>E1146</f>
        <v>0</v>
      </c>
      <c r="F1145" s="18">
        <f t="shared" si="307"/>
        <v>2400</v>
      </c>
      <c r="G1145" s="18">
        <f>G1146</f>
        <v>0</v>
      </c>
      <c r="H1145" s="18">
        <f t="shared" si="308"/>
        <v>2400</v>
      </c>
      <c r="I1145" s="18">
        <f>I1146</f>
        <v>0</v>
      </c>
      <c r="J1145" s="18">
        <f t="shared" si="309"/>
        <v>2400</v>
      </c>
      <c r="K1145" s="18">
        <f>K1146</f>
        <v>300</v>
      </c>
      <c r="L1145" s="18">
        <f t="shared" si="310"/>
        <v>2700</v>
      </c>
      <c r="M1145" s="18">
        <f>M1146</f>
        <v>0</v>
      </c>
      <c r="N1145" s="18">
        <f t="shared" si="311"/>
        <v>2700</v>
      </c>
      <c r="O1145" s="18">
        <f>O1146</f>
        <v>0</v>
      </c>
      <c r="P1145" s="18">
        <f t="shared" si="318"/>
        <v>2700</v>
      </c>
      <c r="Q1145" s="18">
        <f>Q1146</f>
        <v>-1500</v>
      </c>
      <c r="R1145" s="18">
        <f t="shared" si="313"/>
        <v>1200</v>
      </c>
      <c r="S1145" s="18">
        <f>S1146</f>
        <v>0</v>
      </c>
      <c r="T1145" s="18">
        <f t="shared" si="303"/>
        <v>1200</v>
      </c>
      <c r="U1145" s="18">
        <f>U1146</f>
        <v>0</v>
      </c>
      <c r="V1145" s="18">
        <f t="shared" si="300"/>
        <v>1200</v>
      </c>
      <c r="W1145" s="18">
        <f>W1146</f>
        <v>0</v>
      </c>
      <c r="X1145" s="18">
        <f t="shared" si="277"/>
        <v>1200</v>
      </c>
    </row>
    <row r="1146" spans="1:27" x14ac:dyDescent="0.25">
      <c r="A1146" s="7" t="s">
        <v>54</v>
      </c>
      <c r="B1146" s="25" t="s">
        <v>521</v>
      </c>
      <c r="C1146" s="25" t="s">
        <v>34</v>
      </c>
      <c r="D1146" s="19">
        <v>2400</v>
      </c>
      <c r="E1146" s="19"/>
      <c r="F1146" s="18">
        <f t="shared" si="307"/>
        <v>2400</v>
      </c>
      <c r="G1146" s="19"/>
      <c r="H1146" s="18">
        <f t="shared" si="308"/>
        <v>2400</v>
      </c>
      <c r="I1146" s="19"/>
      <c r="J1146" s="18">
        <f t="shared" si="309"/>
        <v>2400</v>
      </c>
      <c r="K1146" s="44">
        <v>300</v>
      </c>
      <c r="L1146" s="18">
        <f t="shared" si="310"/>
        <v>2700</v>
      </c>
      <c r="M1146" s="64"/>
      <c r="N1146" s="18">
        <f t="shared" si="311"/>
        <v>2700</v>
      </c>
      <c r="O1146" s="44"/>
      <c r="P1146" s="18">
        <f t="shared" si="318"/>
        <v>2700</v>
      </c>
      <c r="Q1146" s="44">
        <v>-1500</v>
      </c>
      <c r="R1146" s="18">
        <f t="shared" si="313"/>
        <v>1200</v>
      </c>
      <c r="S1146" s="64"/>
      <c r="T1146" s="18">
        <f t="shared" si="303"/>
        <v>1200</v>
      </c>
      <c r="U1146" s="64"/>
      <c r="V1146" s="18">
        <f t="shared" si="300"/>
        <v>1200</v>
      </c>
      <c r="W1146" s="64"/>
      <c r="X1146" s="18">
        <f t="shared" si="277"/>
        <v>1200</v>
      </c>
      <c r="Z1146" s="43">
        <f>X1146+Y1146</f>
        <v>1200</v>
      </c>
      <c r="AA1146" s="43"/>
    </row>
    <row r="1147" spans="1:27" ht="36.75" x14ac:dyDescent="0.25">
      <c r="A1147" s="13" t="s">
        <v>523</v>
      </c>
      <c r="B1147" s="26" t="s">
        <v>541</v>
      </c>
      <c r="C1147" s="26" t="s">
        <v>2</v>
      </c>
      <c r="D1147" s="18">
        <f>D1148</f>
        <v>3350</v>
      </c>
      <c r="E1147" s="18">
        <f>E1148</f>
        <v>0</v>
      </c>
      <c r="F1147" s="18">
        <f t="shared" si="307"/>
        <v>3350</v>
      </c>
      <c r="G1147" s="18">
        <f>G1148</f>
        <v>0</v>
      </c>
      <c r="H1147" s="18">
        <f t="shared" si="308"/>
        <v>3350</v>
      </c>
      <c r="I1147" s="18">
        <f>I1148</f>
        <v>0</v>
      </c>
      <c r="J1147" s="18">
        <f t="shared" si="309"/>
        <v>3350</v>
      </c>
      <c r="K1147" s="18">
        <f>K1148</f>
        <v>-300</v>
      </c>
      <c r="L1147" s="18">
        <f t="shared" si="310"/>
        <v>3050</v>
      </c>
      <c r="M1147" s="18">
        <f>M1148</f>
        <v>0</v>
      </c>
      <c r="N1147" s="18">
        <f t="shared" si="311"/>
        <v>3050</v>
      </c>
      <c r="O1147" s="18">
        <f>O1148</f>
        <v>168</v>
      </c>
      <c r="P1147" s="18">
        <f t="shared" si="318"/>
        <v>3218</v>
      </c>
      <c r="Q1147" s="18">
        <f>Q1148</f>
        <v>0</v>
      </c>
      <c r="R1147" s="18">
        <f t="shared" si="313"/>
        <v>3218</v>
      </c>
      <c r="S1147" s="18">
        <f>S1148</f>
        <v>0</v>
      </c>
      <c r="T1147" s="18">
        <f t="shared" si="303"/>
        <v>3218</v>
      </c>
      <c r="U1147" s="18">
        <f>U1148</f>
        <v>-56</v>
      </c>
      <c r="V1147" s="18">
        <f t="shared" si="300"/>
        <v>3162</v>
      </c>
      <c r="W1147" s="18">
        <f>W1148</f>
        <v>50</v>
      </c>
      <c r="X1147" s="18">
        <f t="shared" si="277"/>
        <v>3212</v>
      </c>
    </row>
    <row r="1148" spans="1:27" x14ac:dyDescent="0.25">
      <c r="A1148" s="7" t="s">
        <v>54</v>
      </c>
      <c r="B1148" s="27" t="s">
        <v>541</v>
      </c>
      <c r="C1148" s="27" t="s">
        <v>34</v>
      </c>
      <c r="D1148" s="19">
        <v>3350</v>
      </c>
      <c r="E1148" s="19"/>
      <c r="F1148" s="18">
        <f t="shared" si="307"/>
        <v>3350</v>
      </c>
      <c r="G1148" s="19"/>
      <c r="H1148" s="18">
        <f t="shared" si="308"/>
        <v>3350</v>
      </c>
      <c r="I1148" s="19"/>
      <c r="J1148" s="18">
        <f t="shared" si="309"/>
        <v>3350</v>
      </c>
      <c r="K1148" s="44">
        <v>-300</v>
      </c>
      <c r="L1148" s="18">
        <f t="shared" si="310"/>
        <v>3050</v>
      </c>
      <c r="M1148" s="64"/>
      <c r="N1148" s="18">
        <f t="shared" si="311"/>
        <v>3050</v>
      </c>
      <c r="O1148" s="44">
        <v>168</v>
      </c>
      <c r="P1148" s="18">
        <f t="shared" si="318"/>
        <v>3218</v>
      </c>
      <c r="Q1148" s="64"/>
      <c r="R1148" s="18">
        <f t="shared" si="313"/>
        <v>3218</v>
      </c>
      <c r="S1148" s="64"/>
      <c r="T1148" s="18">
        <f t="shared" si="303"/>
        <v>3218</v>
      </c>
      <c r="U1148" s="44">
        <v>-56</v>
      </c>
      <c r="V1148" s="18">
        <f t="shared" si="300"/>
        <v>3162</v>
      </c>
      <c r="W1148" s="44">
        <v>50</v>
      </c>
      <c r="X1148" s="18">
        <f t="shared" si="277"/>
        <v>3212</v>
      </c>
      <c r="Z1148" s="43">
        <f>X1148+Y1148</f>
        <v>3212</v>
      </c>
      <c r="AA1148" s="43"/>
    </row>
    <row r="1149" spans="1:27" hidden="1" x14ac:dyDescent="0.25">
      <c r="A1149" s="13" t="s">
        <v>103</v>
      </c>
      <c r="B1149" s="24" t="s">
        <v>227</v>
      </c>
      <c r="C1149" s="24" t="s">
        <v>2</v>
      </c>
      <c r="D1149" s="18">
        <f>D1150</f>
        <v>0</v>
      </c>
      <c r="E1149" s="18">
        <f>E1150</f>
        <v>0</v>
      </c>
      <c r="F1149" s="18">
        <f t="shared" si="307"/>
        <v>0</v>
      </c>
      <c r="G1149" s="18">
        <f>G1150</f>
        <v>0</v>
      </c>
      <c r="H1149" s="18">
        <f t="shared" si="308"/>
        <v>0</v>
      </c>
      <c r="I1149" s="18">
        <f>I1150</f>
        <v>0</v>
      </c>
      <c r="J1149" s="18">
        <f t="shared" si="309"/>
        <v>0</v>
      </c>
      <c r="K1149" s="18">
        <f>K1150</f>
        <v>10332</v>
      </c>
      <c r="L1149" s="18">
        <f t="shared" si="310"/>
        <v>10332</v>
      </c>
      <c r="M1149" s="18">
        <f>M1150</f>
        <v>-4543.6000000000004</v>
      </c>
      <c r="N1149" s="18">
        <f t="shared" si="311"/>
        <v>5788.4</v>
      </c>
      <c r="O1149" s="18">
        <f>O1150</f>
        <v>0</v>
      </c>
      <c r="P1149" s="18">
        <f t="shared" si="318"/>
        <v>5788.4</v>
      </c>
      <c r="Q1149" s="18">
        <f>Q1150</f>
        <v>-5788.4</v>
      </c>
      <c r="R1149" s="18">
        <f t="shared" si="313"/>
        <v>0</v>
      </c>
      <c r="S1149" s="18">
        <f>S1150</f>
        <v>0</v>
      </c>
      <c r="T1149" s="18">
        <f t="shared" si="303"/>
        <v>0</v>
      </c>
      <c r="U1149" s="18">
        <f>U1150</f>
        <v>0</v>
      </c>
      <c r="V1149" s="18">
        <f t="shared" si="300"/>
        <v>0</v>
      </c>
      <c r="W1149" s="18">
        <f>W1150</f>
        <v>0</v>
      </c>
      <c r="X1149" s="18">
        <f t="shared" si="277"/>
        <v>0</v>
      </c>
    </row>
    <row r="1150" spans="1:27" hidden="1" x14ac:dyDescent="0.25">
      <c r="A1150" s="7" t="s">
        <v>54</v>
      </c>
      <c r="B1150" s="25" t="s">
        <v>227</v>
      </c>
      <c r="C1150" s="25" t="s">
        <v>34</v>
      </c>
      <c r="D1150" s="19">
        <f>10332-10332</f>
        <v>0</v>
      </c>
      <c r="E1150" s="19"/>
      <c r="F1150" s="18">
        <f t="shared" si="307"/>
        <v>0</v>
      </c>
      <c r="G1150" s="19"/>
      <c r="H1150" s="18">
        <f t="shared" si="308"/>
        <v>0</v>
      </c>
      <c r="I1150" s="19"/>
      <c r="J1150" s="18">
        <f t="shared" si="309"/>
        <v>0</v>
      </c>
      <c r="K1150" s="97">
        <v>10332</v>
      </c>
      <c r="L1150" s="18">
        <f t="shared" si="310"/>
        <v>10332</v>
      </c>
      <c r="M1150" s="62">
        <v>-4543.6000000000004</v>
      </c>
      <c r="N1150" s="18">
        <f t="shared" si="311"/>
        <v>5788.4</v>
      </c>
      <c r="O1150" s="64"/>
      <c r="P1150" s="18">
        <f t="shared" si="318"/>
        <v>5788.4</v>
      </c>
      <c r="Q1150" s="44">
        <v>-5788.4</v>
      </c>
      <c r="R1150" s="18">
        <f t="shared" si="313"/>
        <v>0</v>
      </c>
      <c r="S1150" s="64"/>
      <c r="T1150" s="18">
        <f t="shared" si="303"/>
        <v>0</v>
      </c>
      <c r="U1150" s="64"/>
      <c r="V1150" s="18">
        <f t="shared" si="300"/>
        <v>0</v>
      </c>
      <c r="W1150" s="64"/>
      <c r="X1150" s="18">
        <f t="shared" si="277"/>
        <v>0</v>
      </c>
      <c r="Z1150" s="43">
        <f>X1150+Y1150</f>
        <v>0</v>
      </c>
      <c r="AA1150" s="43"/>
    </row>
    <row r="1151" spans="1:27" ht="24.75" x14ac:dyDescent="0.25">
      <c r="A1151" s="28" t="s">
        <v>225</v>
      </c>
      <c r="B1151" s="29" t="s">
        <v>713</v>
      </c>
      <c r="C1151" s="29" t="s">
        <v>2</v>
      </c>
      <c r="D1151" s="19"/>
      <c r="E1151" s="19"/>
      <c r="F1151" s="18"/>
      <c r="G1151" s="19"/>
      <c r="H1151" s="18"/>
      <c r="I1151" s="19"/>
      <c r="J1151" s="18"/>
      <c r="K1151" s="47">
        <f>K1152+K1153</f>
        <v>12737.7</v>
      </c>
      <c r="L1151" s="18">
        <f t="shared" si="310"/>
        <v>12737.7</v>
      </c>
      <c r="M1151" s="47">
        <f>M1152+M1153</f>
        <v>0</v>
      </c>
      <c r="N1151" s="18">
        <f t="shared" si="311"/>
        <v>12737.7</v>
      </c>
      <c r="O1151" s="47">
        <f>O1152+O1153</f>
        <v>-1000</v>
      </c>
      <c r="P1151" s="18">
        <f t="shared" si="318"/>
        <v>11737.7</v>
      </c>
      <c r="Q1151" s="47">
        <f>Q1152+Q1153</f>
        <v>5700</v>
      </c>
      <c r="R1151" s="18">
        <f t="shared" si="313"/>
        <v>17437.7</v>
      </c>
      <c r="S1151" s="47">
        <f>S1152+S1153</f>
        <v>-800</v>
      </c>
      <c r="T1151" s="18">
        <f t="shared" si="303"/>
        <v>16637.7</v>
      </c>
      <c r="U1151" s="84">
        <f>U1152+U1153</f>
        <v>-188</v>
      </c>
      <c r="V1151" s="18">
        <f t="shared" si="300"/>
        <v>16449.7</v>
      </c>
      <c r="W1151" s="84">
        <f>W1152+W1153</f>
        <v>6083.8</v>
      </c>
      <c r="X1151" s="18">
        <f t="shared" si="277"/>
        <v>22533.5</v>
      </c>
    </row>
    <row r="1152" spans="1:27" hidden="1" x14ac:dyDescent="0.25">
      <c r="A1152" s="7" t="s">
        <v>54</v>
      </c>
      <c r="B1152" s="31" t="s">
        <v>713</v>
      </c>
      <c r="C1152" s="31" t="s">
        <v>34</v>
      </c>
      <c r="D1152" s="19"/>
      <c r="E1152" s="19"/>
      <c r="F1152" s="18"/>
      <c r="G1152" s="19"/>
      <c r="H1152" s="18"/>
      <c r="I1152" s="19"/>
      <c r="J1152" s="18"/>
      <c r="K1152" s="97">
        <v>5000</v>
      </c>
      <c r="L1152" s="18">
        <f t="shared" si="310"/>
        <v>5000</v>
      </c>
      <c r="M1152" s="62">
        <v>-5000</v>
      </c>
      <c r="N1152" s="18">
        <f t="shared" si="311"/>
        <v>0</v>
      </c>
      <c r="O1152" s="64"/>
      <c r="P1152" s="18">
        <f t="shared" si="318"/>
        <v>0</v>
      </c>
      <c r="Q1152" s="44">
        <v>5000</v>
      </c>
      <c r="R1152" s="18">
        <f t="shared" si="313"/>
        <v>5000</v>
      </c>
      <c r="S1152" s="44">
        <f>-1000+200-4000</f>
        <v>-4800</v>
      </c>
      <c r="T1152" s="18">
        <f t="shared" si="303"/>
        <v>200</v>
      </c>
      <c r="U1152" s="44">
        <v>-200</v>
      </c>
      <c r="V1152" s="18">
        <f t="shared" si="300"/>
        <v>0</v>
      </c>
      <c r="W1152" s="112">
        <f>200-200</f>
        <v>0</v>
      </c>
      <c r="X1152" s="18">
        <f t="shared" si="277"/>
        <v>0</v>
      </c>
      <c r="Y1152" s="43">
        <v>-200</v>
      </c>
      <c r="Z1152" s="43">
        <f t="shared" ref="Z1152:Z1153" si="322">X1152+Y1152</f>
        <v>-200</v>
      </c>
      <c r="AA1152" s="43"/>
    </row>
    <row r="1153" spans="1:27" ht="24.75" x14ac:dyDescent="0.25">
      <c r="A1153" s="8" t="s">
        <v>509</v>
      </c>
      <c r="B1153" s="31" t="s">
        <v>713</v>
      </c>
      <c r="C1153" s="31" t="s">
        <v>201</v>
      </c>
      <c r="D1153" s="19"/>
      <c r="E1153" s="19"/>
      <c r="F1153" s="18"/>
      <c r="G1153" s="19"/>
      <c r="H1153" s="18"/>
      <c r="I1153" s="19"/>
      <c r="J1153" s="18"/>
      <c r="K1153" s="97">
        <v>7737.7</v>
      </c>
      <c r="L1153" s="18">
        <f t="shared" si="310"/>
        <v>7737.7</v>
      </c>
      <c r="M1153" s="62">
        <v>5000</v>
      </c>
      <c r="N1153" s="18">
        <f t="shared" si="311"/>
        <v>12737.7</v>
      </c>
      <c r="O1153" s="96">
        <v>-1000</v>
      </c>
      <c r="P1153" s="18">
        <f t="shared" si="318"/>
        <v>11737.7</v>
      </c>
      <c r="Q1153" s="44">
        <f>10100-4000-5400</f>
        <v>700</v>
      </c>
      <c r="R1153" s="18">
        <f t="shared" si="313"/>
        <v>12437.7</v>
      </c>
      <c r="S1153" s="62">
        <v>4000</v>
      </c>
      <c r="T1153" s="18">
        <f t="shared" si="303"/>
        <v>16437.7</v>
      </c>
      <c r="U1153" s="44">
        <f>-5000-900+5912</f>
        <v>12</v>
      </c>
      <c r="V1153" s="18">
        <f t="shared" si="300"/>
        <v>16449.7</v>
      </c>
      <c r="W1153" s="112">
        <f>5000+900+1900-1716.2</f>
        <v>6083.8</v>
      </c>
      <c r="X1153" s="18">
        <f t="shared" si="277"/>
        <v>22533.5</v>
      </c>
      <c r="Y1153" s="43">
        <f>-816.2-900</f>
        <v>-1716.2</v>
      </c>
      <c r="Z1153" s="43">
        <f t="shared" si="322"/>
        <v>20817.3</v>
      </c>
      <c r="AA1153" s="43"/>
    </row>
    <row r="1154" spans="1:27" x14ac:dyDescent="0.25">
      <c r="A1154" s="13" t="s">
        <v>482</v>
      </c>
      <c r="B1154" s="24" t="s">
        <v>228</v>
      </c>
      <c r="C1154" s="24" t="s">
        <v>2</v>
      </c>
      <c r="D1154" s="18">
        <f>D1155+D1156</f>
        <v>33679.1</v>
      </c>
      <c r="E1154" s="18">
        <f>E1155+E1156</f>
        <v>0</v>
      </c>
      <c r="F1154" s="18">
        <f t="shared" si="307"/>
        <v>33679.1</v>
      </c>
      <c r="G1154" s="18">
        <f>G1155+G1156</f>
        <v>0</v>
      </c>
      <c r="H1154" s="18">
        <f t="shared" si="308"/>
        <v>33679.1</v>
      </c>
      <c r="I1154" s="18">
        <f>I1155+I1156</f>
        <v>-499.29999999999995</v>
      </c>
      <c r="J1154" s="18">
        <f t="shared" si="309"/>
        <v>33179.799999999996</v>
      </c>
      <c r="K1154" s="18">
        <f>K1155+K1156</f>
        <v>4819.6000000000004</v>
      </c>
      <c r="L1154" s="18">
        <f t="shared" si="310"/>
        <v>37999.399999999994</v>
      </c>
      <c r="M1154" s="18">
        <f>M1155+M1156</f>
        <v>-1100</v>
      </c>
      <c r="N1154" s="18">
        <f t="shared" si="311"/>
        <v>36899.399999999994</v>
      </c>
      <c r="O1154" s="18">
        <f>O1155+O1156</f>
        <v>0</v>
      </c>
      <c r="P1154" s="18">
        <f t="shared" si="318"/>
        <v>36899.399999999994</v>
      </c>
      <c r="Q1154" s="18">
        <f>Q1155+Q1156</f>
        <v>2872.8999999999996</v>
      </c>
      <c r="R1154" s="18">
        <f t="shared" si="313"/>
        <v>39772.299999999996</v>
      </c>
      <c r="S1154" s="18">
        <f>S1155+S1156</f>
        <v>1752.3</v>
      </c>
      <c r="T1154" s="18">
        <f t="shared" si="303"/>
        <v>41524.6</v>
      </c>
      <c r="U1154" s="18">
        <f>U1155+U1156</f>
        <v>759.90000000000009</v>
      </c>
      <c r="V1154" s="18">
        <f t="shared" si="300"/>
        <v>42284.5</v>
      </c>
      <c r="W1154" s="18">
        <f>W1155+W1156</f>
        <v>365.30000000000007</v>
      </c>
      <c r="X1154" s="18">
        <f t="shared" si="277"/>
        <v>42649.8</v>
      </c>
    </row>
    <row r="1155" spans="1:27" x14ac:dyDescent="0.25">
      <c r="A1155" s="7" t="s">
        <v>54</v>
      </c>
      <c r="B1155" s="25" t="s">
        <v>228</v>
      </c>
      <c r="C1155" s="25" t="s">
        <v>34</v>
      </c>
      <c r="D1155" s="19">
        <v>17259</v>
      </c>
      <c r="E1155" s="19"/>
      <c r="F1155" s="18">
        <f t="shared" si="307"/>
        <v>17259</v>
      </c>
      <c r="G1155" s="19"/>
      <c r="H1155" s="18">
        <f t="shared" si="308"/>
        <v>17259</v>
      </c>
      <c r="I1155" s="62">
        <v>-1380</v>
      </c>
      <c r="J1155" s="18">
        <f t="shared" si="309"/>
        <v>15879</v>
      </c>
      <c r="K1155" s="44">
        <f>900+3331.5</f>
        <v>4231.5</v>
      </c>
      <c r="L1155" s="18">
        <f t="shared" si="310"/>
        <v>20110.5</v>
      </c>
      <c r="M1155" s="62">
        <v>-1100</v>
      </c>
      <c r="N1155" s="18">
        <f t="shared" si="311"/>
        <v>19010.5</v>
      </c>
      <c r="O1155" s="64"/>
      <c r="P1155" s="18">
        <f t="shared" si="318"/>
        <v>19010.5</v>
      </c>
      <c r="Q1155" s="44">
        <f>720+762.6</f>
        <v>1482.6</v>
      </c>
      <c r="R1155" s="18">
        <f t="shared" si="313"/>
        <v>20493.099999999999</v>
      </c>
      <c r="S1155" s="44">
        <f>100.7+200+43+148.6</f>
        <v>492.29999999999995</v>
      </c>
      <c r="T1155" s="18">
        <f t="shared" si="303"/>
        <v>20985.399999999998</v>
      </c>
      <c r="U1155" s="85">
        <f>145-1010.4-61.8-8.8+853.6</f>
        <v>-82.399999999999864</v>
      </c>
      <c r="V1155" s="18">
        <f t="shared" si="300"/>
        <v>20902.999999999996</v>
      </c>
      <c r="W1155" s="85">
        <f>35.7-199.6</f>
        <v>-163.89999999999998</v>
      </c>
      <c r="X1155" s="18">
        <f t="shared" si="277"/>
        <v>20739.099999999995</v>
      </c>
      <c r="Y1155" s="43">
        <v>-199.6</v>
      </c>
      <c r="Z1155" s="43">
        <f t="shared" ref="Z1155:Z1156" si="323">X1155+Y1155</f>
        <v>20539.499999999996</v>
      </c>
      <c r="AA1155" s="43"/>
    </row>
    <row r="1156" spans="1:27" x14ac:dyDescent="0.25">
      <c r="A1156" s="7" t="s">
        <v>503</v>
      </c>
      <c r="B1156" s="25" t="s">
        <v>228</v>
      </c>
      <c r="C1156" s="25" t="s">
        <v>35</v>
      </c>
      <c r="D1156" s="19">
        <v>16420.099999999999</v>
      </c>
      <c r="E1156" s="19"/>
      <c r="F1156" s="18">
        <f t="shared" si="307"/>
        <v>16420.099999999999</v>
      </c>
      <c r="G1156" s="19"/>
      <c r="H1156" s="18">
        <f t="shared" si="308"/>
        <v>16420.099999999999</v>
      </c>
      <c r="I1156" s="62">
        <v>880.7</v>
      </c>
      <c r="J1156" s="18">
        <f t="shared" si="309"/>
        <v>17300.8</v>
      </c>
      <c r="K1156" s="106">
        <v>588.1</v>
      </c>
      <c r="L1156" s="18">
        <f t="shared" si="310"/>
        <v>17888.899999999998</v>
      </c>
      <c r="M1156" s="64"/>
      <c r="N1156" s="18">
        <f t="shared" si="311"/>
        <v>17888.899999999998</v>
      </c>
      <c r="O1156" s="64"/>
      <c r="P1156" s="18">
        <f t="shared" si="318"/>
        <v>17888.899999999998</v>
      </c>
      <c r="Q1156" s="44">
        <f>300+1090.3</f>
        <v>1390.3</v>
      </c>
      <c r="R1156" s="18">
        <f t="shared" si="313"/>
        <v>19279.199999999997</v>
      </c>
      <c r="S1156" s="44">
        <f>1000+60+200</f>
        <v>1260</v>
      </c>
      <c r="T1156" s="18">
        <f t="shared" si="303"/>
        <v>20539.199999999997</v>
      </c>
      <c r="U1156" s="44">
        <f>600+350-320.6+212.9</f>
        <v>842.3</v>
      </c>
      <c r="V1156" s="18">
        <f t="shared" si="300"/>
        <v>21381.499999999996</v>
      </c>
      <c r="W1156" s="112">
        <f>320.6-203.1+411.7</f>
        <v>529.20000000000005</v>
      </c>
      <c r="X1156" s="18">
        <f t="shared" si="277"/>
        <v>21910.699999999997</v>
      </c>
      <c r="Y1156" s="43">
        <v>411.7</v>
      </c>
      <c r="Z1156" s="43">
        <f t="shared" si="323"/>
        <v>22322.399999999998</v>
      </c>
      <c r="AA1156" s="43"/>
    </row>
    <row r="1157" spans="1:27" x14ac:dyDescent="0.25">
      <c r="A1157" s="13" t="s">
        <v>483</v>
      </c>
      <c r="B1157" s="24" t="s">
        <v>229</v>
      </c>
      <c r="C1157" s="24" t="s">
        <v>2</v>
      </c>
      <c r="D1157" s="20">
        <f>D1158+D1159</f>
        <v>19382.5</v>
      </c>
      <c r="E1157" s="20">
        <f>E1158+E1159</f>
        <v>0</v>
      </c>
      <c r="F1157" s="18">
        <f t="shared" si="307"/>
        <v>19382.5</v>
      </c>
      <c r="G1157" s="20">
        <f>G1158+G1159+G1160</f>
        <v>10000</v>
      </c>
      <c r="H1157" s="18">
        <f t="shared" si="308"/>
        <v>29382.5</v>
      </c>
      <c r="I1157" s="20">
        <f>I1158+I1159+I1160</f>
        <v>-31.9</v>
      </c>
      <c r="J1157" s="18">
        <f t="shared" si="309"/>
        <v>29350.6</v>
      </c>
      <c r="K1157" s="47">
        <f>K1158+K1159+K1160</f>
        <v>1309.9000000000001</v>
      </c>
      <c r="L1157" s="18">
        <f t="shared" si="310"/>
        <v>30660.5</v>
      </c>
      <c r="M1157" s="47">
        <f>M1158+M1159+M1160</f>
        <v>8346.1999999999989</v>
      </c>
      <c r="N1157" s="18">
        <f t="shared" si="311"/>
        <v>39006.699999999997</v>
      </c>
      <c r="O1157" s="47">
        <f>O1158+O1159+O1160</f>
        <v>1640.2</v>
      </c>
      <c r="P1157" s="18">
        <f t="shared" si="318"/>
        <v>40646.899999999994</v>
      </c>
      <c r="Q1157" s="47">
        <f>Q1158+Q1159+Q1160</f>
        <v>2049.1999999999998</v>
      </c>
      <c r="R1157" s="18">
        <f t="shared" si="313"/>
        <v>42696.099999999991</v>
      </c>
      <c r="S1157" s="47">
        <f>S1158+S1159+S1160</f>
        <v>1508.4</v>
      </c>
      <c r="T1157" s="18">
        <f t="shared" si="303"/>
        <v>44204.499999999993</v>
      </c>
      <c r="U1157" s="84">
        <f>U1158+U1159+U1160</f>
        <v>-393.7</v>
      </c>
      <c r="V1157" s="18">
        <f t="shared" si="300"/>
        <v>43810.799999999996</v>
      </c>
      <c r="W1157" s="84">
        <f>W1158+W1159+W1160</f>
        <v>-1292.4000000000001</v>
      </c>
      <c r="X1157" s="18">
        <f t="shared" si="277"/>
        <v>42518.399999999994</v>
      </c>
    </row>
    <row r="1158" spans="1:27" x14ac:dyDescent="0.25">
      <c r="A1158" s="7" t="s">
        <v>54</v>
      </c>
      <c r="B1158" s="25" t="s">
        <v>229</v>
      </c>
      <c r="C1158" s="25" t="s">
        <v>34</v>
      </c>
      <c r="D1158" s="19">
        <v>19372.5</v>
      </c>
      <c r="E1158" s="19"/>
      <c r="F1158" s="18">
        <f t="shared" si="307"/>
        <v>19372.5</v>
      </c>
      <c r="G1158" s="19"/>
      <c r="H1158" s="18">
        <f t="shared" si="308"/>
        <v>19372.5</v>
      </c>
      <c r="I1158" s="62">
        <v>-31.9</v>
      </c>
      <c r="J1158" s="18">
        <f t="shared" si="309"/>
        <v>19340.599999999999</v>
      </c>
      <c r="K1158" s="44">
        <f>36.2+25-751.3</f>
        <v>-690.09999999999991</v>
      </c>
      <c r="L1158" s="18">
        <f t="shared" si="310"/>
        <v>18650.5</v>
      </c>
      <c r="M1158" s="81">
        <f>350+200+134+3000+3249.4</f>
        <v>6933.4</v>
      </c>
      <c r="N1158" s="18">
        <f t="shared" si="311"/>
        <v>25583.9</v>
      </c>
      <c r="O1158" s="44">
        <f>597.7+642.5+400</f>
        <v>1640.2</v>
      </c>
      <c r="P1158" s="18">
        <f t="shared" si="318"/>
        <v>27224.100000000002</v>
      </c>
      <c r="Q1158" s="44">
        <f>646-1061.5</f>
        <v>-415.5</v>
      </c>
      <c r="R1158" s="18">
        <f t="shared" si="313"/>
        <v>26808.600000000002</v>
      </c>
      <c r="S1158" s="44">
        <f>77+1700-268.6</f>
        <v>1508.4</v>
      </c>
      <c r="T1158" s="18">
        <f t="shared" si="303"/>
        <v>28317.000000000004</v>
      </c>
      <c r="U1158" s="44">
        <f>-320-49.9-120+96.2</f>
        <v>-393.7</v>
      </c>
      <c r="V1158" s="18">
        <f t="shared" si="300"/>
        <v>27923.300000000003</v>
      </c>
      <c r="W1158" s="112">
        <f>120-60.5-0.4-1341.5</f>
        <v>-1282.4000000000001</v>
      </c>
      <c r="X1158" s="18">
        <f t="shared" si="277"/>
        <v>26640.9</v>
      </c>
      <c r="Y1158" s="43">
        <v>-1341.5</v>
      </c>
      <c r="Z1158" s="43">
        <f t="shared" ref="Z1158:Z1160" si="324">X1158+Y1158</f>
        <v>25299.4</v>
      </c>
      <c r="AA1158" s="43"/>
    </row>
    <row r="1159" spans="1:27" hidden="1" x14ac:dyDescent="0.25">
      <c r="A1159" s="7" t="s">
        <v>503</v>
      </c>
      <c r="B1159" s="25" t="s">
        <v>229</v>
      </c>
      <c r="C1159" s="25" t="s">
        <v>35</v>
      </c>
      <c r="D1159" s="19">
        <v>10</v>
      </c>
      <c r="E1159" s="19"/>
      <c r="F1159" s="18">
        <f t="shared" si="307"/>
        <v>10</v>
      </c>
      <c r="G1159" s="19"/>
      <c r="H1159" s="18">
        <f t="shared" si="308"/>
        <v>10</v>
      </c>
      <c r="I1159" s="19"/>
      <c r="J1159" s="18">
        <f t="shared" si="309"/>
        <v>10</v>
      </c>
      <c r="K1159" s="64"/>
      <c r="L1159" s="18">
        <f t="shared" si="310"/>
        <v>10</v>
      </c>
      <c r="M1159" s="64"/>
      <c r="N1159" s="18">
        <f t="shared" si="311"/>
        <v>10</v>
      </c>
      <c r="O1159" s="64"/>
      <c r="P1159" s="18">
        <f t="shared" si="318"/>
        <v>10</v>
      </c>
      <c r="Q1159" s="64"/>
      <c r="R1159" s="18">
        <f t="shared" si="313"/>
        <v>10</v>
      </c>
      <c r="S1159" s="64"/>
      <c r="T1159" s="18">
        <f t="shared" si="303"/>
        <v>10</v>
      </c>
      <c r="U1159" s="64"/>
      <c r="V1159" s="18">
        <f t="shared" si="300"/>
        <v>10</v>
      </c>
      <c r="W1159" s="44">
        <v>-10</v>
      </c>
      <c r="X1159" s="18">
        <f t="shared" si="277"/>
        <v>0</v>
      </c>
      <c r="Y1159" s="43">
        <v>-10</v>
      </c>
      <c r="Z1159" s="43">
        <f t="shared" si="324"/>
        <v>-10</v>
      </c>
      <c r="AA1159" s="43"/>
    </row>
    <row r="1160" spans="1:27" x14ac:dyDescent="0.25">
      <c r="A1160" s="9" t="s">
        <v>266</v>
      </c>
      <c r="B1160" s="25" t="s">
        <v>229</v>
      </c>
      <c r="C1160" s="25" t="s">
        <v>267</v>
      </c>
      <c r="D1160" s="19"/>
      <c r="E1160" s="19"/>
      <c r="F1160" s="18"/>
      <c r="G1160" s="44">
        <v>10000</v>
      </c>
      <c r="H1160" s="18">
        <f t="shared" si="308"/>
        <v>10000</v>
      </c>
      <c r="I1160" s="64"/>
      <c r="J1160" s="18">
        <f t="shared" si="309"/>
        <v>10000</v>
      </c>
      <c r="K1160" s="97">
        <v>2000</v>
      </c>
      <c r="L1160" s="18">
        <f t="shared" si="310"/>
        <v>12000</v>
      </c>
      <c r="M1160" s="44">
        <f>-87.2+1500</f>
        <v>1412.8</v>
      </c>
      <c r="N1160" s="18">
        <f t="shared" si="311"/>
        <v>13412.8</v>
      </c>
      <c r="O1160" s="64"/>
      <c r="P1160" s="18">
        <f t="shared" si="318"/>
        <v>13412.8</v>
      </c>
      <c r="Q1160" s="44">
        <f>2500-35.3</f>
        <v>2464.6999999999998</v>
      </c>
      <c r="R1160" s="18">
        <f t="shared" si="313"/>
        <v>15877.5</v>
      </c>
      <c r="S1160" s="64"/>
      <c r="T1160" s="18">
        <f t="shared" si="303"/>
        <v>15877.5</v>
      </c>
      <c r="U1160" s="64"/>
      <c r="V1160" s="18">
        <f t="shared" si="300"/>
        <v>15877.5</v>
      </c>
      <c r="W1160" s="64"/>
      <c r="X1160" s="18">
        <f t="shared" si="277"/>
        <v>15877.5</v>
      </c>
      <c r="Z1160" s="43">
        <f t="shared" si="324"/>
        <v>15877.5</v>
      </c>
      <c r="AA1160" s="43"/>
    </row>
    <row r="1161" spans="1:27" x14ac:dyDescent="0.25">
      <c r="A1161" s="13" t="s">
        <v>484</v>
      </c>
      <c r="B1161" s="24" t="s">
        <v>230</v>
      </c>
      <c r="C1161" s="24" t="s">
        <v>2</v>
      </c>
      <c r="D1161" s="18">
        <f>D1162</f>
        <v>3721.9</v>
      </c>
      <c r="E1161" s="18">
        <f>E1162</f>
        <v>0</v>
      </c>
      <c r="F1161" s="18">
        <f t="shared" si="307"/>
        <v>3721.9</v>
      </c>
      <c r="G1161" s="18">
        <f>G1162</f>
        <v>0</v>
      </c>
      <c r="H1161" s="18">
        <f t="shared" si="308"/>
        <v>3721.9</v>
      </c>
      <c r="I1161" s="18">
        <f>I1162</f>
        <v>-0.1</v>
      </c>
      <c r="J1161" s="18">
        <f t="shared" si="309"/>
        <v>3721.8</v>
      </c>
      <c r="K1161" s="47">
        <f>K1162</f>
        <v>0</v>
      </c>
      <c r="L1161" s="18">
        <f t="shared" si="310"/>
        <v>3721.8</v>
      </c>
      <c r="M1161" s="47">
        <f>M1162</f>
        <v>33</v>
      </c>
      <c r="N1161" s="18">
        <f t="shared" si="311"/>
        <v>3754.8</v>
      </c>
      <c r="O1161" s="47">
        <f>O1162</f>
        <v>0</v>
      </c>
      <c r="P1161" s="18">
        <f t="shared" si="318"/>
        <v>3754.8</v>
      </c>
      <c r="Q1161" s="47">
        <f>Q1162</f>
        <v>-209</v>
      </c>
      <c r="R1161" s="18">
        <f t="shared" si="313"/>
        <v>3545.8</v>
      </c>
      <c r="S1161" s="47">
        <f>S1162</f>
        <v>0</v>
      </c>
      <c r="T1161" s="18">
        <f t="shared" si="303"/>
        <v>3545.8</v>
      </c>
      <c r="U1161" s="84">
        <f>U1162</f>
        <v>-1168</v>
      </c>
      <c r="V1161" s="18">
        <f t="shared" si="300"/>
        <v>2377.8000000000002</v>
      </c>
      <c r="W1161" s="84">
        <f>W1162</f>
        <v>80.600000000000023</v>
      </c>
      <c r="X1161" s="18">
        <f t="shared" si="277"/>
        <v>2458.4</v>
      </c>
    </row>
    <row r="1162" spans="1:27" x14ac:dyDescent="0.25">
      <c r="A1162" s="7" t="s">
        <v>54</v>
      </c>
      <c r="B1162" s="25" t="s">
        <v>230</v>
      </c>
      <c r="C1162" s="25" t="s">
        <v>34</v>
      </c>
      <c r="D1162" s="19">
        <v>3721.9</v>
      </c>
      <c r="E1162" s="19"/>
      <c r="F1162" s="18">
        <f t="shared" si="307"/>
        <v>3721.9</v>
      </c>
      <c r="G1162" s="19"/>
      <c r="H1162" s="18">
        <f t="shared" si="308"/>
        <v>3721.9</v>
      </c>
      <c r="I1162" s="62">
        <v>-0.1</v>
      </c>
      <c r="J1162" s="18">
        <f t="shared" si="309"/>
        <v>3721.8</v>
      </c>
      <c r="K1162" s="64"/>
      <c r="L1162" s="18">
        <f t="shared" si="310"/>
        <v>3721.8</v>
      </c>
      <c r="M1162" s="62">
        <v>33</v>
      </c>
      <c r="N1162" s="18">
        <f t="shared" si="311"/>
        <v>3754.8</v>
      </c>
      <c r="O1162" s="64"/>
      <c r="P1162" s="18">
        <f t="shared" si="318"/>
        <v>3754.8</v>
      </c>
      <c r="Q1162" s="44">
        <v>-209</v>
      </c>
      <c r="R1162" s="18">
        <f t="shared" si="313"/>
        <v>3545.8</v>
      </c>
      <c r="S1162" s="64"/>
      <c r="T1162" s="18">
        <f t="shared" si="303"/>
        <v>3545.8</v>
      </c>
      <c r="U1162" s="44">
        <f>-320-54.9-427.6-365.5</f>
        <v>-1168</v>
      </c>
      <c r="V1162" s="18">
        <f t="shared" si="300"/>
        <v>2377.8000000000002</v>
      </c>
      <c r="W1162" s="112">
        <f>427.6-347</f>
        <v>80.600000000000023</v>
      </c>
      <c r="X1162" s="18">
        <f t="shared" si="277"/>
        <v>2458.4</v>
      </c>
      <c r="Y1162" s="43">
        <v>-347</v>
      </c>
      <c r="Z1162" s="43">
        <f>X1162+Y1162</f>
        <v>2111.4</v>
      </c>
      <c r="AA1162" s="43"/>
    </row>
    <row r="1163" spans="1:27" ht="48.75" x14ac:dyDescent="0.25">
      <c r="A1163" s="28" t="s">
        <v>727</v>
      </c>
      <c r="B1163" s="26" t="s">
        <v>728</v>
      </c>
      <c r="C1163" s="27"/>
      <c r="D1163" s="19"/>
      <c r="E1163" s="19"/>
      <c r="F1163" s="18"/>
      <c r="G1163" s="19"/>
      <c r="H1163" s="18"/>
      <c r="I1163" s="62"/>
      <c r="J1163" s="18"/>
      <c r="K1163" s="20">
        <f>K1165+K1164</f>
        <v>46271.6</v>
      </c>
      <c r="L1163" s="18">
        <f t="shared" si="310"/>
        <v>46271.6</v>
      </c>
      <c r="M1163" s="20">
        <f>M1165+M1164</f>
        <v>0</v>
      </c>
      <c r="N1163" s="18">
        <f t="shared" si="311"/>
        <v>46271.6</v>
      </c>
      <c r="O1163" s="20">
        <f>O1165+O1164</f>
        <v>0</v>
      </c>
      <c r="P1163" s="18">
        <f t="shared" si="318"/>
        <v>46271.6</v>
      </c>
      <c r="Q1163" s="20">
        <f>Q1165+Q1164</f>
        <v>0</v>
      </c>
      <c r="R1163" s="18">
        <f t="shared" si="313"/>
        <v>46271.6</v>
      </c>
      <c r="S1163" s="20">
        <f>S1165+S1164</f>
        <v>0</v>
      </c>
      <c r="T1163" s="18">
        <f t="shared" si="303"/>
        <v>46271.6</v>
      </c>
      <c r="U1163" s="20">
        <f>U1165+U1164</f>
        <v>0</v>
      </c>
      <c r="V1163" s="18">
        <f t="shared" si="300"/>
        <v>46271.6</v>
      </c>
      <c r="W1163" s="20">
        <f>W1165+W1164</f>
        <v>0</v>
      </c>
      <c r="X1163" s="18">
        <f t="shared" si="277"/>
        <v>46271.6</v>
      </c>
    </row>
    <row r="1164" spans="1:27" ht="24.75" x14ac:dyDescent="0.25">
      <c r="A1164" s="7" t="s">
        <v>509</v>
      </c>
      <c r="B1164" s="27" t="s">
        <v>728</v>
      </c>
      <c r="C1164" s="27" t="s">
        <v>201</v>
      </c>
      <c r="D1164" s="19"/>
      <c r="E1164" s="19"/>
      <c r="F1164" s="18"/>
      <c r="G1164" s="19"/>
      <c r="H1164" s="18"/>
      <c r="I1164" s="62"/>
      <c r="J1164" s="18"/>
      <c r="K1164" s="97">
        <v>5121.7</v>
      </c>
      <c r="L1164" s="18">
        <f t="shared" si="310"/>
        <v>5121.7</v>
      </c>
      <c r="M1164" s="64"/>
      <c r="N1164" s="18">
        <f t="shared" si="311"/>
        <v>5121.7</v>
      </c>
      <c r="O1164" s="64"/>
      <c r="P1164" s="18">
        <f t="shared" si="318"/>
        <v>5121.7</v>
      </c>
      <c r="Q1164" s="64"/>
      <c r="R1164" s="18">
        <f t="shared" si="313"/>
        <v>5121.7</v>
      </c>
      <c r="S1164" s="64"/>
      <c r="T1164" s="18">
        <f t="shared" si="303"/>
        <v>5121.7</v>
      </c>
      <c r="U1164" s="64"/>
      <c r="V1164" s="18">
        <f t="shared" si="300"/>
        <v>5121.7</v>
      </c>
      <c r="W1164" s="64"/>
      <c r="X1164" s="18">
        <f t="shared" si="277"/>
        <v>5121.7</v>
      </c>
      <c r="Z1164" s="43">
        <f t="shared" ref="Z1164:Z1165" si="325">X1164+Y1164</f>
        <v>5121.7</v>
      </c>
      <c r="AA1164" s="43"/>
    </row>
    <row r="1165" spans="1:27" ht="24.75" x14ac:dyDescent="0.25">
      <c r="A1165" s="7" t="s">
        <v>509</v>
      </c>
      <c r="B1165" s="27" t="s">
        <v>728</v>
      </c>
      <c r="C1165" s="27" t="s">
        <v>201</v>
      </c>
      <c r="D1165" s="19"/>
      <c r="E1165" s="19"/>
      <c r="F1165" s="18"/>
      <c r="G1165" s="19"/>
      <c r="H1165" s="18"/>
      <c r="I1165" s="62"/>
      <c r="J1165" s="18"/>
      <c r="K1165" s="45">
        <v>41149.9</v>
      </c>
      <c r="L1165" s="18">
        <f t="shared" si="310"/>
        <v>41149.9</v>
      </c>
      <c r="M1165" s="64"/>
      <c r="N1165" s="18">
        <f t="shared" si="311"/>
        <v>41149.9</v>
      </c>
      <c r="O1165" s="64"/>
      <c r="P1165" s="18">
        <f t="shared" si="318"/>
        <v>41149.9</v>
      </c>
      <c r="Q1165" s="64"/>
      <c r="R1165" s="18">
        <f t="shared" si="313"/>
        <v>41149.9</v>
      </c>
      <c r="S1165" s="64"/>
      <c r="T1165" s="18">
        <f t="shared" si="303"/>
        <v>41149.9</v>
      </c>
      <c r="U1165" s="64"/>
      <c r="V1165" s="18">
        <f t="shared" si="300"/>
        <v>41149.9</v>
      </c>
      <c r="W1165" s="64"/>
      <c r="X1165" s="18">
        <f t="shared" si="277"/>
        <v>41149.9</v>
      </c>
      <c r="Z1165" s="43">
        <f t="shared" si="325"/>
        <v>41149.9</v>
      </c>
      <c r="AA1165" s="43"/>
    </row>
    <row r="1166" spans="1:27" x14ac:dyDescent="0.25">
      <c r="A1166" s="33" t="s">
        <v>28</v>
      </c>
      <c r="B1166" s="26" t="s">
        <v>539</v>
      </c>
      <c r="C1166" s="26"/>
      <c r="D1166" s="20">
        <f>D1173</f>
        <v>2736.7</v>
      </c>
      <c r="E1166" s="20">
        <f>E1173</f>
        <v>0</v>
      </c>
      <c r="F1166" s="18">
        <f t="shared" si="307"/>
        <v>2736.7</v>
      </c>
      <c r="G1166" s="20">
        <f>G1173</f>
        <v>0</v>
      </c>
      <c r="H1166" s="18">
        <f t="shared" si="308"/>
        <v>2736.7</v>
      </c>
      <c r="I1166" s="20">
        <f>I1173</f>
        <v>0</v>
      </c>
      <c r="J1166" s="18">
        <f t="shared" si="309"/>
        <v>2736.7</v>
      </c>
      <c r="K1166" s="20">
        <f>K1173</f>
        <v>2943.3</v>
      </c>
      <c r="L1166" s="18">
        <f t="shared" si="310"/>
        <v>5680</v>
      </c>
      <c r="M1166" s="20">
        <f>M1173</f>
        <v>1.4432899320127035E-15</v>
      </c>
      <c r="N1166" s="18">
        <f t="shared" si="311"/>
        <v>5680</v>
      </c>
      <c r="O1166" s="20">
        <f>O1173</f>
        <v>0</v>
      </c>
      <c r="P1166" s="18">
        <f t="shared" si="318"/>
        <v>5680</v>
      </c>
      <c r="Q1166" s="20">
        <f>Q1173</f>
        <v>3878.2</v>
      </c>
      <c r="R1166" s="18">
        <f t="shared" si="313"/>
        <v>9558.2000000000007</v>
      </c>
      <c r="S1166" s="20">
        <f>S1173</f>
        <v>0</v>
      </c>
      <c r="T1166" s="18">
        <f t="shared" si="303"/>
        <v>9558.2000000000007</v>
      </c>
      <c r="U1166" s="20">
        <f>U1173+U1170+U1167</f>
        <v>298.3</v>
      </c>
      <c r="V1166" s="18">
        <f t="shared" si="300"/>
        <v>9856.5</v>
      </c>
      <c r="W1166" s="20">
        <f>W1173+W1170+W1167</f>
        <v>-102</v>
      </c>
      <c r="X1166" s="18">
        <f t="shared" si="277"/>
        <v>9754.5</v>
      </c>
    </row>
    <row r="1167" spans="1:27" x14ac:dyDescent="0.25">
      <c r="A1167" s="33" t="s">
        <v>662</v>
      </c>
      <c r="B1167" s="26" t="s">
        <v>1293</v>
      </c>
      <c r="C1167" s="26" t="s">
        <v>2</v>
      </c>
      <c r="D1167" s="20"/>
      <c r="E1167" s="20"/>
      <c r="F1167" s="18"/>
      <c r="G1167" s="20"/>
      <c r="H1167" s="18"/>
      <c r="I1167" s="20"/>
      <c r="J1167" s="18"/>
      <c r="K1167" s="20"/>
      <c r="L1167" s="18"/>
      <c r="M1167" s="20"/>
      <c r="N1167" s="18"/>
      <c r="O1167" s="20"/>
      <c r="P1167" s="18"/>
      <c r="Q1167" s="20"/>
      <c r="R1167" s="18"/>
      <c r="S1167" s="20"/>
      <c r="T1167" s="18"/>
      <c r="U1167" s="20">
        <f>U1168+U1169</f>
        <v>193.10000000000002</v>
      </c>
      <c r="V1167" s="18">
        <f t="shared" si="300"/>
        <v>193.10000000000002</v>
      </c>
      <c r="W1167" s="20">
        <f>W1168+W1169</f>
        <v>0</v>
      </c>
      <c r="X1167" s="18">
        <f t="shared" si="277"/>
        <v>193.10000000000002</v>
      </c>
    </row>
    <row r="1168" spans="1:27" x14ac:dyDescent="0.25">
      <c r="A1168" s="8" t="s">
        <v>496</v>
      </c>
      <c r="B1168" s="27" t="s">
        <v>1293</v>
      </c>
      <c r="C1168" s="27" t="s">
        <v>71</v>
      </c>
      <c r="D1168" s="20"/>
      <c r="E1168" s="20"/>
      <c r="F1168" s="18"/>
      <c r="G1168" s="20"/>
      <c r="H1168" s="18"/>
      <c r="I1168" s="20"/>
      <c r="J1168" s="18"/>
      <c r="K1168" s="20"/>
      <c r="L1168" s="18"/>
      <c r="M1168" s="20"/>
      <c r="N1168" s="18"/>
      <c r="O1168" s="20"/>
      <c r="P1168" s="18"/>
      <c r="Q1168" s="20"/>
      <c r="R1168" s="18"/>
      <c r="S1168" s="20"/>
      <c r="T1168" s="18"/>
      <c r="U1168" s="157">
        <v>148.30000000000001</v>
      </c>
      <c r="V1168" s="18">
        <f t="shared" si="300"/>
        <v>148.30000000000001</v>
      </c>
      <c r="W1168" s="64"/>
      <c r="X1168" s="18">
        <f t="shared" si="277"/>
        <v>148.30000000000001</v>
      </c>
      <c r="Z1168" s="43">
        <f t="shared" ref="Z1168:Z1169" si="326">X1168+Y1168</f>
        <v>148.30000000000001</v>
      </c>
      <c r="AA1168" s="43"/>
    </row>
    <row r="1169" spans="1:27" ht="24.75" x14ac:dyDescent="0.25">
      <c r="A1169" s="8" t="s">
        <v>497</v>
      </c>
      <c r="B1169" s="27" t="s">
        <v>1293</v>
      </c>
      <c r="C1169" s="27" t="s">
        <v>74</v>
      </c>
      <c r="D1169" s="20"/>
      <c r="E1169" s="20"/>
      <c r="F1169" s="18"/>
      <c r="G1169" s="20"/>
      <c r="H1169" s="18"/>
      <c r="I1169" s="20"/>
      <c r="J1169" s="18"/>
      <c r="K1169" s="20"/>
      <c r="L1169" s="18"/>
      <c r="M1169" s="20"/>
      <c r="N1169" s="18"/>
      <c r="O1169" s="20"/>
      <c r="P1169" s="18"/>
      <c r="Q1169" s="20"/>
      <c r="R1169" s="18"/>
      <c r="S1169" s="20"/>
      <c r="T1169" s="18"/>
      <c r="U1169" s="157">
        <v>44.8</v>
      </c>
      <c r="V1169" s="18">
        <f t="shared" si="300"/>
        <v>44.8</v>
      </c>
      <c r="W1169" s="64"/>
      <c r="X1169" s="18">
        <f t="shared" si="277"/>
        <v>44.8</v>
      </c>
      <c r="Z1169" s="43">
        <f t="shared" si="326"/>
        <v>44.8</v>
      </c>
      <c r="AA1169" s="43"/>
    </row>
    <row r="1170" spans="1:27" x14ac:dyDescent="0.25">
      <c r="A1170" s="101" t="s">
        <v>734</v>
      </c>
      <c r="B1170" s="26" t="s">
        <v>1291</v>
      </c>
      <c r="C1170" s="26" t="s">
        <v>2</v>
      </c>
      <c r="D1170" s="20"/>
      <c r="E1170" s="20"/>
      <c r="F1170" s="18"/>
      <c r="G1170" s="20"/>
      <c r="H1170" s="18"/>
      <c r="I1170" s="20"/>
      <c r="J1170" s="18"/>
      <c r="K1170" s="20"/>
      <c r="L1170" s="18"/>
      <c r="M1170" s="20"/>
      <c r="N1170" s="18"/>
      <c r="O1170" s="20"/>
      <c r="P1170" s="18"/>
      <c r="Q1170" s="20"/>
      <c r="R1170" s="18"/>
      <c r="S1170" s="20"/>
      <c r="T1170" s="18"/>
      <c r="U1170" s="20">
        <f>U1171+U1172</f>
        <v>105.19999999999999</v>
      </c>
      <c r="V1170" s="18">
        <f t="shared" si="300"/>
        <v>105.19999999999999</v>
      </c>
      <c r="W1170" s="20">
        <f>W1171+W1172</f>
        <v>0</v>
      </c>
      <c r="X1170" s="18">
        <f t="shared" si="277"/>
        <v>105.19999999999999</v>
      </c>
    </row>
    <row r="1171" spans="1:27" x14ac:dyDescent="0.25">
      <c r="A1171" s="8" t="s">
        <v>496</v>
      </c>
      <c r="B1171" s="27" t="s">
        <v>1291</v>
      </c>
      <c r="C1171" s="27" t="s">
        <v>71</v>
      </c>
      <c r="D1171" s="20"/>
      <c r="E1171" s="20"/>
      <c r="F1171" s="18"/>
      <c r="G1171" s="20"/>
      <c r="H1171" s="18"/>
      <c r="I1171" s="20"/>
      <c r="J1171" s="18"/>
      <c r="K1171" s="20"/>
      <c r="L1171" s="18"/>
      <c r="M1171" s="20"/>
      <c r="N1171" s="18"/>
      <c r="O1171" s="20"/>
      <c r="P1171" s="18"/>
      <c r="Q1171" s="20"/>
      <c r="R1171" s="18"/>
      <c r="S1171" s="20"/>
      <c r="T1171" s="18"/>
      <c r="U1171" s="151">
        <v>80.8</v>
      </c>
      <c r="V1171" s="18">
        <f t="shared" si="300"/>
        <v>80.8</v>
      </c>
      <c r="W1171" s="64"/>
      <c r="X1171" s="18">
        <f t="shared" si="277"/>
        <v>80.8</v>
      </c>
      <c r="Z1171" s="43">
        <f t="shared" ref="Z1171:Z1172" si="327">X1171+Y1171</f>
        <v>80.8</v>
      </c>
      <c r="AA1171" s="43"/>
    </row>
    <row r="1172" spans="1:27" ht="24.75" x14ac:dyDescent="0.25">
      <c r="A1172" s="8" t="s">
        <v>497</v>
      </c>
      <c r="B1172" s="27" t="s">
        <v>1291</v>
      </c>
      <c r="C1172" s="27" t="s">
        <v>74</v>
      </c>
      <c r="D1172" s="20"/>
      <c r="E1172" s="20"/>
      <c r="F1172" s="18"/>
      <c r="G1172" s="20"/>
      <c r="H1172" s="18"/>
      <c r="I1172" s="20"/>
      <c r="J1172" s="18"/>
      <c r="K1172" s="20"/>
      <c r="L1172" s="18"/>
      <c r="M1172" s="20"/>
      <c r="N1172" s="18"/>
      <c r="O1172" s="20"/>
      <c r="P1172" s="18"/>
      <c r="Q1172" s="20"/>
      <c r="R1172" s="18"/>
      <c r="S1172" s="20"/>
      <c r="T1172" s="18"/>
      <c r="U1172" s="151">
        <v>24.4</v>
      </c>
      <c r="V1172" s="18">
        <f t="shared" si="300"/>
        <v>24.4</v>
      </c>
      <c r="W1172" s="64"/>
      <c r="X1172" s="18">
        <f t="shared" si="277"/>
        <v>24.4</v>
      </c>
      <c r="Z1172" s="43">
        <f t="shared" si="327"/>
        <v>24.4</v>
      </c>
      <c r="AA1172" s="43"/>
    </row>
    <row r="1173" spans="1:27" ht="24.75" customHeight="1" x14ac:dyDescent="0.25">
      <c r="A1173" s="33" t="s">
        <v>30</v>
      </c>
      <c r="B1173" s="26" t="s">
        <v>540</v>
      </c>
      <c r="C1173" s="26" t="s">
        <v>2</v>
      </c>
      <c r="D1173" s="20">
        <f>D1174+D1176</f>
        <v>2736.7</v>
      </c>
      <c r="E1173" s="20">
        <f>E1174+E1176</f>
        <v>0</v>
      </c>
      <c r="F1173" s="18">
        <f t="shared" si="307"/>
        <v>2736.7</v>
      </c>
      <c r="G1173" s="20">
        <f>G1174+G1176</f>
        <v>0</v>
      </c>
      <c r="H1173" s="18">
        <f t="shared" si="308"/>
        <v>2736.7</v>
      </c>
      <c r="I1173" s="20">
        <f>I1174+I1176</f>
        <v>0</v>
      </c>
      <c r="J1173" s="18">
        <f t="shared" si="309"/>
        <v>2736.7</v>
      </c>
      <c r="K1173" s="20">
        <f>K1174+K1176</f>
        <v>2943.3</v>
      </c>
      <c r="L1173" s="18">
        <f t="shared" si="310"/>
        <v>5680</v>
      </c>
      <c r="M1173" s="20">
        <f>M1174+M1176+M1175+M1177</f>
        <v>1.4432899320127035E-15</v>
      </c>
      <c r="N1173" s="18">
        <f t="shared" si="311"/>
        <v>5680</v>
      </c>
      <c r="O1173" s="20">
        <f>O1174+O1176+O1175+O1177</f>
        <v>0</v>
      </c>
      <c r="P1173" s="18">
        <f t="shared" si="318"/>
        <v>5680</v>
      </c>
      <c r="Q1173" s="20">
        <f>Q1174+Q1176+Q1175+Q1177</f>
        <v>3878.2</v>
      </c>
      <c r="R1173" s="18">
        <f t="shared" si="313"/>
        <v>9558.2000000000007</v>
      </c>
      <c r="S1173" s="20">
        <f>S1174+S1176+S1175+S1177</f>
        <v>0</v>
      </c>
      <c r="T1173" s="18">
        <f t="shared" si="303"/>
        <v>9558.2000000000007</v>
      </c>
      <c r="U1173" s="20">
        <f>U1174+U1176+U1175+U1177</f>
        <v>0</v>
      </c>
      <c r="V1173" s="18">
        <f t="shared" si="300"/>
        <v>9558.2000000000007</v>
      </c>
      <c r="W1173" s="20">
        <f>W1174+W1176+W1175+W1177</f>
        <v>-102</v>
      </c>
      <c r="X1173" s="18">
        <f t="shared" si="277"/>
        <v>9456.2000000000007</v>
      </c>
    </row>
    <row r="1174" spans="1:27" x14ac:dyDescent="0.25">
      <c r="A1174" s="8" t="s">
        <v>496</v>
      </c>
      <c r="B1174" s="27" t="s">
        <v>540</v>
      </c>
      <c r="C1174" s="27" t="s">
        <v>71</v>
      </c>
      <c r="D1174" s="21">
        <v>2101.6999999999998</v>
      </c>
      <c r="E1174" s="21"/>
      <c r="F1174" s="18">
        <f t="shared" si="307"/>
        <v>2101.6999999999998</v>
      </c>
      <c r="G1174" s="21"/>
      <c r="H1174" s="18">
        <f t="shared" si="308"/>
        <v>2101.6999999999998</v>
      </c>
      <c r="I1174" s="21"/>
      <c r="J1174" s="18">
        <f t="shared" si="309"/>
        <v>2101.6999999999998</v>
      </c>
      <c r="K1174" s="106">
        <v>2336.3000000000002</v>
      </c>
      <c r="L1174" s="18">
        <f t="shared" si="310"/>
        <v>4438</v>
      </c>
      <c r="M1174" s="62">
        <v>-63.4</v>
      </c>
      <c r="N1174" s="18">
        <f t="shared" si="311"/>
        <v>4374.6000000000004</v>
      </c>
      <c r="O1174" s="64"/>
      <c r="P1174" s="18">
        <f t="shared" si="318"/>
        <v>4374.6000000000004</v>
      </c>
      <c r="Q1174" s="44">
        <f>801.1+2200</f>
        <v>3001.1</v>
      </c>
      <c r="R1174" s="18">
        <f t="shared" si="313"/>
        <v>7375.7000000000007</v>
      </c>
      <c r="S1174" s="64"/>
      <c r="T1174" s="18">
        <f t="shared" si="303"/>
        <v>7375.7000000000007</v>
      </c>
      <c r="U1174" s="64"/>
      <c r="V1174" s="18">
        <f t="shared" si="300"/>
        <v>7375.7000000000007</v>
      </c>
      <c r="W1174" s="44">
        <v>-102</v>
      </c>
      <c r="X1174" s="18">
        <f t="shared" si="277"/>
        <v>7273.7000000000007</v>
      </c>
      <c r="Y1174" s="43">
        <v>-102</v>
      </c>
      <c r="Z1174" s="43">
        <f t="shared" ref="Z1174:Z1177" si="328">X1174+Y1174</f>
        <v>7171.7000000000007</v>
      </c>
      <c r="AA1174" s="43"/>
    </row>
    <row r="1175" spans="1:27" x14ac:dyDescent="0.25">
      <c r="A1175" s="7" t="s">
        <v>72</v>
      </c>
      <c r="B1175" s="27" t="s">
        <v>540</v>
      </c>
      <c r="C1175" s="27" t="s">
        <v>73</v>
      </c>
      <c r="D1175" s="21"/>
      <c r="E1175" s="21"/>
      <c r="F1175" s="18"/>
      <c r="G1175" s="21"/>
      <c r="H1175" s="18"/>
      <c r="I1175" s="21"/>
      <c r="J1175" s="18"/>
      <c r="K1175" s="106"/>
      <c r="L1175" s="18"/>
      <c r="M1175" s="62">
        <v>63</v>
      </c>
      <c r="N1175" s="18">
        <f t="shared" si="311"/>
        <v>63</v>
      </c>
      <c r="O1175" s="64"/>
      <c r="P1175" s="18">
        <f t="shared" si="318"/>
        <v>63</v>
      </c>
      <c r="Q1175" s="64"/>
      <c r="R1175" s="18">
        <f t="shared" si="313"/>
        <v>63</v>
      </c>
      <c r="S1175" s="64"/>
      <c r="T1175" s="18">
        <f t="shared" si="303"/>
        <v>63</v>
      </c>
      <c r="U1175" s="64"/>
      <c r="V1175" s="18">
        <f t="shared" si="300"/>
        <v>63</v>
      </c>
      <c r="W1175" s="64"/>
      <c r="X1175" s="18">
        <f t="shared" si="277"/>
        <v>63</v>
      </c>
      <c r="Z1175" s="43">
        <f t="shared" si="328"/>
        <v>63</v>
      </c>
      <c r="AA1175" s="43"/>
    </row>
    <row r="1176" spans="1:27" ht="24.75" x14ac:dyDescent="0.25">
      <c r="A1176" s="8" t="s">
        <v>497</v>
      </c>
      <c r="B1176" s="27" t="s">
        <v>540</v>
      </c>
      <c r="C1176" s="27" t="s">
        <v>74</v>
      </c>
      <c r="D1176" s="21">
        <v>635</v>
      </c>
      <c r="E1176" s="21"/>
      <c r="F1176" s="18">
        <f t="shared" si="307"/>
        <v>635</v>
      </c>
      <c r="G1176" s="21"/>
      <c r="H1176" s="18">
        <f t="shared" si="308"/>
        <v>635</v>
      </c>
      <c r="I1176" s="21"/>
      <c r="J1176" s="18">
        <f t="shared" si="309"/>
        <v>635</v>
      </c>
      <c r="K1176" s="106">
        <v>607</v>
      </c>
      <c r="L1176" s="18">
        <f t="shared" si="310"/>
        <v>1242</v>
      </c>
      <c r="M1176" s="64"/>
      <c r="N1176" s="18">
        <f t="shared" si="311"/>
        <v>1242</v>
      </c>
      <c r="O1176" s="64"/>
      <c r="P1176" s="18">
        <f t="shared" si="318"/>
        <v>1242</v>
      </c>
      <c r="Q1176" s="44">
        <f>177.1+700</f>
        <v>877.1</v>
      </c>
      <c r="R1176" s="18">
        <f t="shared" si="313"/>
        <v>2119.1</v>
      </c>
      <c r="S1176" s="64"/>
      <c r="T1176" s="18">
        <f t="shared" si="303"/>
        <v>2119.1</v>
      </c>
      <c r="U1176" s="64"/>
      <c r="V1176" s="18">
        <f t="shared" si="300"/>
        <v>2119.1</v>
      </c>
      <c r="W1176" s="64"/>
      <c r="X1176" s="18">
        <f t="shared" si="277"/>
        <v>2119.1</v>
      </c>
      <c r="Z1176" s="43">
        <f t="shared" si="328"/>
        <v>2119.1</v>
      </c>
      <c r="AA1176" s="43"/>
    </row>
    <row r="1177" spans="1:27" x14ac:dyDescent="0.25">
      <c r="A1177" s="7" t="s">
        <v>39</v>
      </c>
      <c r="B1177" s="27" t="s">
        <v>540</v>
      </c>
      <c r="C1177" s="27" t="s">
        <v>40</v>
      </c>
      <c r="D1177" s="21"/>
      <c r="E1177" s="21"/>
      <c r="F1177" s="18"/>
      <c r="G1177" s="21"/>
      <c r="H1177" s="18"/>
      <c r="I1177" s="21"/>
      <c r="J1177" s="18"/>
      <c r="K1177" s="106"/>
      <c r="L1177" s="18"/>
      <c r="M1177" s="62">
        <v>0.4</v>
      </c>
      <c r="N1177" s="18">
        <f t="shared" si="311"/>
        <v>0.4</v>
      </c>
      <c r="O1177" s="64"/>
      <c r="P1177" s="18">
        <f t="shared" si="318"/>
        <v>0.4</v>
      </c>
      <c r="Q1177" s="64"/>
      <c r="R1177" s="18">
        <f t="shared" si="313"/>
        <v>0.4</v>
      </c>
      <c r="S1177" s="64"/>
      <c r="T1177" s="18">
        <f t="shared" ref="T1177:T1204" si="329">R1177+S1177</f>
        <v>0.4</v>
      </c>
      <c r="U1177" s="64"/>
      <c r="V1177" s="18">
        <f t="shared" si="300"/>
        <v>0.4</v>
      </c>
      <c r="W1177" s="64"/>
      <c r="X1177" s="18">
        <f t="shared" si="277"/>
        <v>0.4</v>
      </c>
      <c r="Z1177" s="43">
        <f t="shared" si="328"/>
        <v>0.4</v>
      </c>
      <c r="AA1177" s="43"/>
    </row>
    <row r="1178" spans="1:27" ht="18" customHeight="1" x14ac:dyDescent="0.25">
      <c r="A1178" s="13" t="s">
        <v>535</v>
      </c>
      <c r="B1178" s="24" t="s">
        <v>536</v>
      </c>
      <c r="C1178" s="25"/>
      <c r="D1178" s="18">
        <f>D1181</f>
        <v>3620.3</v>
      </c>
      <c r="E1178" s="18">
        <f>E1181</f>
        <v>203924.3</v>
      </c>
      <c r="F1178" s="18">
        <f t="shared" si="307"/>
        <v>207544.59999999998</v>
      </c>
      <c r="G1178" s="18">
        <f>G1181</f>
        <v>0</v>
      </c>
      <c r="H1178" s="18">
        <f t="shared" si="308"/>
        <v>207544.59999999998</v>
      </c>
      <c r="I1178" s="47">
        <f>I1181</f>
        <v>0</v>
      </c>
      <c r="J1178" s="18">
        <f t="shared" si="309"/>
        <v>207544.59999999998</v>
      </c>
      <c r="K1178" s="47">
        <f>K1181</f>
        <v>0</v>
      </c>
      <c r="L1178" s="18">
        <f t="shared" si="310"/>
        <v>207544.59999999998</v>
      </c>
      <c r="M1178" s="47">
        <f>M1181</f>
        <v>19.100000000000001</v>
      </c>
      <c r="N1178" s="18">
        <f t="shared" si="311"/>
        <v>207563.69999999998</v>
      </c>
      <c r="O1178" s="47">
        <f>O1181</f>
        <v>0</v>
      </c>
      <c r="P1178" s="18">
        <f t="shared" si="318"/>
        <v>207563.69999999998</v>
      </c>
      <c r="Q1178" s="47">
        <f>Q1181</f>
        <v>0</v>
      </c>
      <c r="R1178" s="18">
        <f t="shared" si="313"/>
        <v>207563.69999999998</v>
      </c>
      <c r="S1178" s="47">
        <f>S1181</f>
        <v>-10000</v>
      </c>
      <c r="T1178" s="18">
        <f t="shared" si="329"/>
        <v>197563.69999999998</v>
      </c>
      <c r="U1178" s="47">
        <f>U1181+U1179</f>
        <v>0</v>
      </c>
      <c r="V1178" s="18">
        <f t="shared" si="300"/>
        <v>197563.69999999998</v>
      </c>
      <c r="W1178" s="47">
        <f>W1181+W1179</f>
        <v>105199.4</v>
      </c>
      <c r="X1178" s="18">
        <f t="shared" si="277"/>
        <v>302763.09999999998</v>
      </c>
    </row>
    <row r="1179" spans="1:27" ht="27.75" customHeight="1" x14ac:dyDescent="0.25">
      <c r="A1179" s="33" t="s">
        <v>1295</v>
      </c>
      <c r="B1179" s="24" t="s">
        <v>1296</v>
      </c>
      <c r="C1179" s="25"/>
      <c r="D1179" s="18"/>
      <c r="E1179" s="18"/>
      <c r="F1179" s="18"/>
      <c r="G1179" s="18"/>
      <c r="H1179" s="18"/>
      <c r="I1179" s="47"/>
      <c r="J1179" s="18"/>
      <c r="K1179" s="47"/>
      <c r="L1179" s="18"/>
      <c r="M1179" s="47"/>
      <c r="N1179" s="18"/>
      <c r="O1179" s="47"/>
      <c r="P1179" s="18"/>
      <c r="Q1179" s="47"/>
      <c r="R1179" s="18"/>
      <c r="S1179" s="47"/>
      <c r="T1179" s="18"/>
      <c r="U1179" s="153">
        <f>U1180</f>
        <v>6556.8</v>
      </c>
      <c r="V1179" s="18">
        <f t="shared" si="300"/>
        <v>6556.8</v>
      </c>
      <c r="W1179" s="153">
        <f>W1180</f>
        <v>0</v>
      </c>
      <c r="X1179" s="18">
        <f t="shared" si="277"/>
        <v>6556.8</v>
      </c>
    </row>
    <row r="1180" spans="1:27" ht="29.25" customHeight="1" x14ac:dyDescent="0.25">
      <c r="A1180" s="8" t="s">
        <v>509</v>
      </c>
      <c r="B1180" s="25" t="s">
        <v>1296</v>
      </c>
      <c r="C1180" s="25" t="s">
        <v>201</v>
      </c>
      <c r="D1180" s="18"/>
      <c r="E1180" s="18"/>
      <c r="F1180" s="18"/>
      <c r="G1180" s="18"/>
      <c r="H1180" s="18"/>
      <c r="I1180" s="47"/>
      <c r="J1180" s="18"/>
      <c r="K1180" s="47"/>
      <c r="L1180" s="18"/>
      <c r="M1180" s="47"/>
      <c r="N1180" s="18"/>
      <c r="O1180" s="47"/>
      <c r="P1180" s="18"/>
      <c r="Q1180" s="47"/>
      <c r="R1180" s="18"/>
      <c r="S1180" s="47"/>
      <c r="T1180" s="18"/>
      <c r="U1180" s="122">
        <v>6556.8</v>
      </c>
      <c r="V1180" s="18">
        <f t="shared" si="300"/>
        <v>6556.8</v>
      </c>
      <c r="W1180" s="64"/>
      <c r="X1180" s="18">
        <f t="shared" si="277"/>
        <v>6556.8</v>
      </c>
      <c r="Z1180" s="43">
        <f>X1180+Y1180</f>
        <v>6556.8</v>
      </c>
      <c r="AA1180" s="43"/>
    </row>
    <row r="1181" spans="1:27" ht="24.75" x14ac:dyDescent="0.25">
      <c r="A1181" s="13" t="s">
        <v>538</v>
      </c>
      <c r="B1181" s="24" t="s">
        <v>537</v>
      </c>
      <c r="C1181" s="24" t="s">
        <v>2</v>
      </c>
      <c r="D1181" s="18">
        <f>D1183</f>
        <v>3620.3</v>
      </c>
      <c r="E1181" s="18">
        <f>E1183</f>
        <v>203924.3</v>
      </c>
      <c r="F1181" s="18">
        <f t="shared" si="307"/>
        <v>207544.59999999998</v>
      </c>
      <c r="G1181" s="18">
        <f>G1183</f>
        <v>0</v>
      </c>
      <c r="H1181" s="18">
        <f t="shared" si="308"/>
        <v>207544.59999999998</v>
      </c>
      <c r="I1181" s="47">
        <f>I1183</f>
        <v>0</v>
      </c>
      <c r="J1181" s="18">
        <f t="shared" si="309"/>
        <v>207544.59999999998</v>
      </c>
      <c r="K1181" s="47">
        <f>K1183</f>
        <v>0</v>
      </c>
      <c r="L1181" s="18">
        <f t="shared" si="310"/>
        <v>207544.59999999998</v>
      </c>
      <c r="M1181" s="47">
        <f>M1183+M1182</f>
        <v>19.100000000000001</v>
      </c>
      <c r="N1181" s="18">
        <f t="shared" si="311"/>
        <v>207563.69999999998</v>
      </c>
      <c r="O1181" s="47">
        <f>O1183+O1182</f>
        <v>0</v>
      </c>
      <c r="P1181" s="18">
        <f t="shared" si="318"/>
        <v>207563.69999999998</v>
      </c>
      <c r="Q1181" s="47">
        <f>Q1183+Q1182</f>
        <v>0</v>
      </c>
      <c r="R1181" s="18">
        <f t="shared" si="313"/>
        <v>207563.69999999998</v>
      </c>
      <c r="S1181" s="47">
        <f>S1183+S1182</f>
        <v>-10000</v>
      </c>
      <c r="T1181" s="18">
        <f t="shared" si="329"/>
        <v>197563.69999999998</v>
      </c>
      <c r="U1181" s="47">
        <f>U1183+U1182</f>
        <v>-6556.8</v>
      </c>
      <c r="V1181" s="18">
        <f t="shared" si="300"/>
        <v>191006.9</v>
      </c>
      <c r="W1181" s="47">
        <f>W1183+W1182</f>
        <v>105199.4</v>
      </c>
      <c r="X1181" s="18">
        <f t="shared" si="277"/>
        <v>296206.3</v>
      </c>
    </row>
    <row r="1182" spans="1:27" ht="24.75" x14ac:dyDescent="0.25">
      <c r="A1182" s="7" t="s">
        <v>509</v>
      </c>
      <c r="B1182" s="25" t="s">
        <v>537</v>
      </c>
      <c r="C1182" s="25" t="s">
        <v>201</v>
      </c>
      <c r="D1182" s="18"/>
      <c r="E1182" s="18"/>
      <c r="F1182" s="18"/>
      <c r="G1182" s="18"/>
      <c r="H1182" s="18"/>
      <c r="I1182" s="47"/>
      <c r="J1182" s="18"/>
      <c r="K1182" s="47"/>
      <c r="L1182" s="18"/>
      <c r="M1182" s="44">
        <f>15+4.1</f>
        <v>19.100000000000001</v>
      </c>
      <c r="N1182" s="18">
        <f t="shared" si="311"/>
        <v>19.100000000000001</v>
      </c>
      <c r="O1182" s="64"/>
      <c r="P1182" s="18">
        <f t="shared" si="318"/>
        <v>19.100000000000001</v>
      </c>
      <c r="Q1182" s="64"/>
      <c r="R1182" s="18">
        <f t="shared" si="313"/>
        <v>19.100000000000001</v>
      </c>
      <c r="S1182" s="64"/>
      <c r="T1182" s="18">
        <f t="shared" si="329"/>
        <v>19.100000000000001</v>
      </c>
      <c r="U1182" s="64"/>
      <c r="V1182" s="18">
        <f t="shared" si="300"/>
        <v>19.100000000000001</v>
      </c>
      <c r="W1182" s="44">
        <v>10.5</v>
      </c>
      <c r="X1182" s="18">
        <f t="shared" si="277"/>
        <v>29.6</v>
      </c>
      <c r="Y1182" s="43">
        <v>10.5</v>
      </c>
      <c r="Z1182" s="43">
        <f t="shared" ref="Z1182:Z1183" si="330">X1182+Y1182</f>
        <v>40.1</v>
      </c>
      <c r="AA1182" s="43"/>
    </row>
    <row r="1183" spans="1:27" ht="24.75" x14ac:dyDescent="0.25">
      <c r="A1183" s="7" t="s">
        <v>509</v>
      </c>
      <c r="B1183" s="25" t="s">
        <v>537</v>
      </c>
      <c r="C1183" s="25" t="s">
        <v>201</v>
      </c>
      <c r="D1183" s="19">
        <v>3620.3</v>
      </c>
      <c r="E1183" s="45">
        <v>203924.3</v>
      </c>
      <c r="F1183" s="18">
        <f t="shared" si="307"/>
        <v>207544.59999999998</v>
      </c>
      <c r="G1183" s="45">
        <f>41283.4-41283.4</f>
        <v>0</v>
      </c>
      <c r="H1183" s="18">
        <f t="shared" si="308"/>
        <v>207544.59999999998</v>
      </c>
      <c r="I1183" s="64"/>
      <c r="J1183" s="18">
        <f t="shared" si="309"/>
        <v>207544.59999999998</v>
      </c>
      <c r="K1183" s="64"/>
      <c r="L1183" s="18">
        <f t="shared" si="310"/>
        <v>207544.59999999998</v>
      </c>
      <c r="M1183" s="64"/>
      <c r="N1183" s="18">
        <f t="shared" si="311"/>
        <v>207544.59999999998</v>
      </c>
      <c r="O1183" s="64"/>
      <c r="P1183" s="18">
        <f t="shared" si="318"/>
        <v>207544.59999999998</v>
      </c>
      <c r="Q1183" s="64"/>
      <c r="R1183" s="18">
        <f t="shared" si="313"/>
        <v>207544.59999999998</v>
      </c>
      <c r="S1183" s="122">
        <v>-10000</v>
      </c>
      <c r="T1183" s="18">
        <f t="shared" si="329"/>
        <v>197544.59999999998</v>
      </c>
      <c r="U1183" s="122">
        <v>-6556.8</v>
      </c>
      <c r="V1183" s="18">
        <f t="shared" si="300"/>
        <v>190987.8</v>
      </c>
      <c r="W1183" s="45">
        <v>105188.9</v>
      </c>
      <c r="X1183" s="18">
        <f t="shared" si="277"/>
        <v>296176.69999999995</v>
      </c>
      <c r="Z1183" s="43">
        <f t="shared" si="330"/>
        <v>296176.69999999995</v>
      </c>
      <c r="AA1183" s="43"/>
    </row>
    <row r="1184" spans="1:27" ht="24.75" x14ac:dyDescent="0.25">
      <c r="A1184" s="33" t="s">
        <v>585</v>
      </c>
      <c r="B1184" s="26" t="s">
        <v>587</v>
      </c>
      <c r="C1184" s="26" t="s">
        <v>2</v>
      </c>
      <c r="D1184" s="18">
        <f>D1185+D1188</f>
        <v>478.9</v>
      </c>
      <c r="E1184" s="19"/>
      <c r="F1184" s="18">
        <f t="shared" si="307"/>
        <v>478.9</v>
      </c>
      <c r="G1184" s="18">
        <f>G1185+G1188</f>
        <v>19894.099999999999</v>
      </c>
      <c r="H1184" s="18">
        <f t="shared" si="308"/>
        <v>20373</v>
      </c>
      <c r="I1184" s="47">
        <f>I1185+I1188</f>
        <v>31.699999999999989</v>
      </c>
      <c r="J1184" s="18">
        <f t="shared" si="309"/>
        <v>20404.7</v>
      </c>
      <c r="K1184" s="47">
        <f>K1185+K1188</f>
        <v>87.2</v>
      </c>
      <c r="L1184" s="18">
        <f t="shared" si="310"/>
        <v>20491.900000000001</v>
      </c>
      <c r="M1184" s="47">
        <f>M1185+M1188+M1190</f>
        <v>1533.6</v>
      </c>
      <c r="N1184" s="18">
        <f t="shared" si="311"/>
        <v>22025.5</v>
      </c>
      <c r="O1184" s="47">
        <f>O1185+O1188+O1190</f>
        <v>0</v>
      </c>
      <c r="P1184" s="18">
        <f t="shared" si="318"/>
        <v>22025.5</v>
      </c>
      <c r="Q1184" s="47">
        <f>Q1185+Q1188+Q1190</f>
        <v>1214</v>
      </c>
      <c r="R1184" s="18">
        <f t="shared" si="313"/>
        <v>23239.5</v>
      </c>
      <c r="S1184" s="47">
        <f>S1185+S1188+S1190</f>
        <v>0</v>
      </c>
      <c r="T1184" s="18">
        <f t="shared" si="329"/>
        <v>23239.5</v>
      </c>
      <c r="U1184" s="47">
        <f>U1185+U1188+U1190</f>
        <v>-1.9000000000000001</v>
      </c>
      <c r="V1184" s="18">
        <f t="shared" si="300"/>
        <v>23237.599999999999</v>
      </c>
      <c r="W1184" s="47">
        <f>W1185+W1188+W1190</f>
        <v>-188.4</v>
      </c>
      <c r="X1184" s="18">
        <f t="shared" si="277"/>
        <v>23049.199999999997</v>
      </c>
    </row>
    <row r="1185" spans="1:27" ht="24.75" x14ac:dyDescent="0.25">
      <c r="A1185" s="33" t="s">
        <v>586</v>
      </c>
      <c r="B1185" s="26" t="s">
        <v>588</v>
      </c>
      <c r="C1185" s="26"/>
      <c r="D1185" s="19"/>
      <c r="E1185" s="19"/>
      <c r="F1185" s="18">
        <f t="shared" si="307"/>
        <v>0</v>
      </c>
      <c r="G1185" s="18">
        <f>G1186</f>
        <v>19894.099999999999</v>
      </c>
      <c r="H1185" s="18">
        <f t="shared" si="308"/>
        <v>19894.099999999999</v>
      </c>
      <c r="I1185" s="47">
        <f>I1186+I1187</f>
        <v>201</v>
      </c>
      <c r="J1185" s="18">
        <f t="shared" si="309"/>
        <v>20095.099999999999</v>
      </c>
      <c r="K1185" s="47">
        <f>K1186+K1187</f>
        <v>0</v>
      </c>
      <c r="L1185" s="18">
        <f t="shared" si="310"/>
        <v>20095.099999999999</v>
      </c>
      <c r="M1185" s="47">
        <f>M1186+M1187</f>
        <v>0</v>
      </c>
      <c r="N1185" s="18">
        <f t="shared" si="311"/>
        <v>20095.099999999999</v>
      </c>
      <c r="O1185" s="47">
        <f>O1186+O1187</f>
        <v>0</v>
      </c>
      <c r="P1185" s="18">
        <f t="shared" si="318"/>
        <v>20095.099999999999</v>
      </c>
      <c r="Q1185" s="47">
        <f>Q1186+Q1187</f>
        <v>0</v>
      </c>
      <c r="R1185" s="18">
        <f t="shared" si="313"/>
        <v>20095.099999999999</v>
      </c>
      <c r="S1185" s="47">
        <f>S1186+S1187</f>
        <v>0</v>
      </c>
      <c r="T1185" s="18">
        <f t="shared" si="329"/>
        <v>20095.099999999999</v>
      </c>
      <c r="U1185" s="47">
        <f>U1186+U1187</f>
        <v>0</v>
      </c>
      <c r="V1185" s="18">
        <f t="shared" si="300"/>
        <v>20095.099999999999</v>
      </c>
      <c r="W1185" s="47">
        <f>W1186+W1187</f>
        <v>0</v>
      </c>
      <c r="X1185" s="18">
        <f t="shared" si="277"/>
        <v>20095.099999999999</v>
      </c>
    </row>
    <row r="1186" spans="1:27" x14ac:dyDescent="0.25">
      <c r="A1186" s="7" t="s">
        <v>54</v>
      </c>
      <c r="B1186" s="27" t="s">
        <v>588</v>
      </c>
      <c r="C1186" s="27" t="s">
        <v>34</v>
      </c>
      <c r="D1186" s="19"/>
      <c r="E1186" s="19"/>
      <c r="F1186" s="18">
        <f t="shared" si="307"/>
        <v>0</v>
      </c>
      <c r="G1186" s="45">
        <v>19894.099999999999</v>
      </c>
      <c r="H1186" s="18">
        <f t="shared" si="308"/>
        <v>19894.099999999999</v>
      </c>
      <c r="I1186" s="64"/>
      <c r="J1186" s="18">
        <f t="shared" si="309"/>
        <v>19894.099999999999</v>
      </c>
      <c r="K1186" s="64"/>
      <c r="L1186" s="18">
        <f t="shared" si="310"/>
        <v>19894.099999999999</v>
      </c>
      <c r="M1186" s="64"/>
      <c r="N1186" s="18">
        <f t="shared" si="311"/>
        <v>19894.099999999999</v>
      </c>
      <c r="O1186" s="64"/>
      <c r="P1186" s="18">
        <f t="shared" si="318"/>
        <v>19894.099999999999</v>
      </c>
      <c r="Q1186" s="64"/>
      <c r="R1186" s="18">
        <f t="shared" si="313"/>
        <v>19894.099999999999</v>
      </c>
      <c r="S1186" s="64"/>
      <c r="T1186" s="18">
        <f t="shared" si="329"/>
        <v>19894.099999999999</v>
      </c>
      <c r="U1186" s="64"/>
      <c r="V1186" s="18">
        <f t="shared" si="300"/>
        <v>19894.099999999999</v>
      </c>
      <c r="W1186" s="64"/>
      <c r="X1186" s="18">
        <f t="shared" si="277"/>
        <v>19894.099999999999</v>
      </c>
      <c r="Z1186" s="43">
        <f t="shared" ref="Z1186:Z1187" si="331">X1186+Y1186</f>
        <v>19894.099999999999</v>
      </c>
      <c r="AA1186" s="43"/>
    </row>
    <row r="1187" spans="1:27" x14ac:dyDescent="0.25">
      <c r="A1187" s="7" t="s">
        <v>54</v>
      </c>
      <c r="B1187" s="27" t="s">
        <v>588</v>
      </c>
      <c r="C1187" s="27" t="s">
        <v>34</v>
      </c>
      <c r="D1187" s="19"/>
      <c r="E1187" s="19"/>
      <c r="F1187" s="18"/>
      <c r="G1187" s="45"/>
      <c r="H1187" s="18"/>
      <c r="I1187" s="44">
        <v>201</v>
      </c>
      <c r="J1187" s="82">
        <f t="shared" si="309"/>
        <v>201</v>
      </c>
      <c r="K1187" s="44"/>
      <c r="L1187" s="82">
        <f t="shared" si="310"/>
        <v>201</v>
      </c>
      <c r="M1187" s="44"/>
      <c r="N1187" s="82">
        <f t="shared" si="311"/>
        <v>201</v>
      </c>
      <c r="O1187" s="44"/>
      <c r="P1187" s="82">
        <f t="shared" si="318"/>
        <v>201</v>
      </c>
      <c r="Q1187" s="44"/>
      <c r="R1187" s="82">
        <f t="shared" si="313"/>
        <v>201</v>
      </c>
      <c r="S1187" s="64"/>
      <c r="T1187" s="82">
        <f t="shared" si="329"/>
        <v>201</v>
      </c>
      <c r="U1187" s="64"/>
      <c r="V1187" s="82">
        <f t="shared" si="300"/>
        <v>201</v>
      </c>
      <c r="W1187" s="64"/>
      <c r="X1187" s="82">
        <f t="shared" si="277"/>
        <v>201</v>
      </c>
      <c r="Z1187" s="43">
        <f t="shared" si="331"/>
        <v>201</v>
      </c>
      <c r="AA1187" s="43"/>
    </row>
    <row r="1188" spans="1:27" ht="36.75" x14ac:dyDescent="0.25">
      <c r="A1188" s="14" t="s">
        <v>233</v>
      </c>
      <c r="B1188" s="26" t="s">
        <v>528</v>
      </c>
      <c r="C1188" s="26" t="s">
        <v>2</v>
      </c>
      <c r="D1188" s="20">
        <f>D1189</f>
        <v>478.9</v>
      </c>
      <c r="E1188" s="20">
        <f>E1189</f>
        <v>0</v>
      </c>
      <c r="F1188" s="18">
        <f t="shared" si="307"/>
        <v>478.9</v>
      </c>
      <c r="G1188" s="20">
        <f>G1189</f>
        <v>0</v>
      </c>
      <c r="H1188" s="18">
        <f t="shared" si="308"/>
        <v>478.9</v>
      </c>
      <c r="I1188" s="20">
        <f>I1189</f>
        <v>-169.3</v>
      </c>
      <c r="J1188" s="18">
        <f t="shared" si="309"/>
        <v>309.59999999999997</v>
      </c>
      <c r="K1188" s="20">
        <f>K1189</f>
        <v>87.2</v>
      </c>
      <c r="L1188" s="18">
        <f t="shared" si="310"/>
        <v>396.79999999999995</v>
      </c>
      <c r="M1188" s="20">
        <f>M1189</f>
        <v>1459.6</v>
      </c>
      <c r="N1188" s="18">
        <f t="shared" si="311"/>
        <v>1856.3999999999999</v>
      </c>
      <c r="O1188" s="20">
        <f>O1189</f>
        <v>0</v>
      </c>
      <c r="P1188" s="18">
        <f t="shared" si="318"/>
        <v>1856.3999999999999</v>
      </c>
      <c r="Q1188" s="20">
        <f>Q1189</f>
        <v>1214</v>
      </c>
      <c r="R1188" s="18">
        <f t="shared" si="313"/>
        <v>3070.3999999999996</v>
      </c>
      <c r="S1188" s="20">
        <f>S1189</f>
        <v>0</v>
      </c>
      <c r="T1188" s="18">
        <f t="shared" si="329"/>
        <v>3070.3999999999996</v>
      </c>
      <c r="U1188" s="20">
        <f>U1189</f>
        <v>-1.9000000000000001</v>
      </c>
      <c r="V1188" s="18">
        <f t="shared" si="300"/>
        <v>3068.4999999999995</v>
      </c>
      <c r="W1188" s="20">
        <f>W1189</f>
        <v>-188.4</v>
      </c>
      <c r="X1188" s="18">
        <f t="shared" si="277"/>
        <v>2880.0999999999995</v>
      </c>
    </row>
    <row r="1189" spans="1:27" x14ac:dyDescent="0.25">
      <c r="A1189" s="9" t="s">
        <v>54</v>
      </c>
      <c r="B1189" s="27" t="s">
        <v>528</v>
      </c>
      <c r="C1189" s="27" t="s">
        <v>34</v>
      </c>
      <c r="D1189" s="21">
        <v>478.9</v>
      </c>
      <c r="E1189" s="21"/>
      <c r="F1189" s="18">
        <f t="shared" si="307"/>
        <v>478.9</v>
      </c>
      <c r="G1189" s="21"/>
      <c r="H1189" s="18">
        <f t="shared" si="308"/>
        <v>478.9</v>
      </c>
      <c r="I1189" s="44">
        <v>-169.3</v>
      </c>
      <c r="J1189" s="18">
        <f t="shared" si="309"/>
        <v>309.59999999999997</v>
      </c>
      <c r="K1189" s="106">
        <v>87.2</v>
      </c>
      <c r="L1189" s="18">
        <f t="shared" si="310"/>
        <v>396.79999999999995</v>
      </c>
      <c r="M1189" s="44">
        <f>59.6+1400</f>
        <v>1459.6</v>
      </c>
      <c r="N1189" s="18">
        <f t="shared" si="311"/>
        <v>1856.3999999999999</v>
      </c>
      <c r="O1189" s="64"/>
      <c r="P1189" s="18">
        <f t="shared" si="318"/>
        <v>1856.3999999999999</v>
      </c>
      <c r="Q1189" s="44">
        <v>1214</v>
      </c>
      <c r="R1189" s="18">
        <f t="shared" si="313"/>
        <v>3070.3999999999996</v>
      </c>
      <c r="S1189" s="64"/>
      <c r="T1189" s="18">
        <f t="shared" si="329"/>
        <v>3070.3999999999996</v>
      </c>
      <c r="U1189" s="44">
        <f>-2.1+0.2</f>
        <v>-1.9000000000000001</v>
      </c>
      <c r="V1189" s="18">
        <f t="shared" si="300"/>
        <v>3068.4999999999995</v>
      </c>
      <c r="W1189" s="44">
        <v>-188.4</v>
      </c>
      <c r="X1189" s="18">
        <f t="shared" si="277"/>
        <v>2880.0999999999995</v>
      </c>
      <c r="Y1189" s="43">
        <v>-188.4</v>
      </c>
      <c r="Z1189" s="43">
        <f>X1189+Y1189</f>
        <v>2691.6999999999994</v>
      </c>
      <c r="AA1189" s="43"/>
    </row>
    <row r="1190" spans="1:27" ht="24.75" x14ac:dyDescent="0.25">
      <c r="A1190" s="28" t="s">
        <v>780</v>
      </c>
      <c r="B1190" s="26" t="s">
        <v>781</v>
      </c>
      <c r="C1190" s="27"/>
      <c r="D1190" s="21"/>
      <c r="E1190" s="21"/>
      <c r="F1190" s="18"/>
      <c r="G1190" s="21"/>
      <c r="H1190" s="18"/>
      <c r="I1190" s="44"/>
      <c r="J1190" s="18"/>
      <c r="K1190" s="106"/>
      <c r="L1190" s="18"/>
      <c r="M1190" s="47">
        <f>M1191</f>
        <v>74</v>
      </c>
      <c r="N1190" s="18">
        <f t="shared" si="311"/>
        <v>74</v>
      </c>
      <c r="O1190" s="47">
        <f>O1191</f>
        <v>0</v>
      </c>
      <c r="P1190" s="18">
        <f t="shared" si="318"/>
        <v>74</v>
      </c>
      <c r="Q1190" s="47">
        <f>Q1191</f>
        <v>0</v>
      </c>
      <c r="R1190" s="18">
        <f t="shared" si="313"/>
        <v>74</v>
      </c>
      <c r="S1190" s="47">
        <f>S1191</f>
        <v>0</v>
      </c>
      <c r="T1190" s="18">
        <f t="shared" si="329"/>
        <v>74</v>
      </c>
      <c r="U1190" s="47">
        <f>U1191</f>
        <v>0</v>
      </c>
      <c r="V1190" s="18">
        <f t="shared" si="300"/>
        <v>74</v>
      </c>
      <c r="W1190" s="47">
        <f>W1191</f>
        <v>0</v>
      </c>
      <c r="X1190" s="18">
        <f t="shared" si="277"/>
        <v>74</v>
      </c>
    </row>
    <row r="1191" spans="1:27" x14ac:dyDescent="0.25">
      <c r="A1191" s="7" t="s">
        <v>54</v>
      </c>
      <c r="B1191" s="27" t="s">
        <v>781</v>
      </c>
      <c r="C1191" s="27" t="s">
        <v>34</v>
      </c>
      <c r="D1191" s="21"/>
      <c r="E1191" s="21"/>
      <c r="F1191" s="18"/>
      <c r="G1191" s="21"/>
      <c r="H1191" s="18"/>
      <c r="I1191" s="44"/>
      <c r="J1191" s="18"/>
      <c r="K1191" s="106"/>
      <c r="L1191" s="18"/>
      <c r="M1191" s="44">
        <v>74</v>
      </c>
      <c r="N1191" s="18">
        <f t="shared" si="311"/>
        <v>74</v>
      </c>
      <c r="O1191" s="64"/>
      <c r="P1191" s="18">
        <f t="shared" si="318"/>
        <v>74</v>
      </c>
      <c r="Q1191" s="64"/>
      <c r="R1191" s="18">
        <f t="shared" si="313"/>
        <v>74</v>
      </c>
      <c r="S1191" s="64"/>
      <c r="T1191" s="18">
        <f t="shared" si="329"/>
        <v>74</v>
      </c>
      <c r="U1191" s="64"/>
      <c r="V1191" s="18">
        <f t="shared" si="300"/>
        <v>74</v>
      </c>
      <c r="W1191" s="64"/>
      <c r="X1191" s="18">
        <f t="shared" si="277"/>
        <v>74</v>
      </c>
      <c r="Z1191" s="43">
        <f>X1191+Y1191</f>
        <v>74</v>
      </c>
      <c r="AA1191" s="43"/>
    </row>
    <row r="1192" spans="1:27" ht="36.75" x14ac:dyDescent="0.25">
      <c r="A1192" s="13" t="s">
        <v>197</v>
      </c>
      <c r="B1192" s="24" t="s">
        <v>198</v>
      </c>
      <c r="C1192" s="24" t="s">
        <v>2</v>
      </c>
      <c r="D1192" s="18">
        <f>D1195</f>
        <v>1328.9</v>
      </c>
      <c r="E1192" s="18">
        <f>E1195+E1193</f>
        <v>42968</v>
      </c>
      <c r="F1192" s="18">
        <f t="shared" si="307"/>
        <v>44296.9</v>
      </c>
      <c r="G1192" s="18">
        <f>G1195+G1193</f>
        <v>0</v>
      </c>
      <c r="H1192" s="18">
        <f t="shared" si="308"/>
        <v>44296.9</v>
      </c>
      <c r="I1192" s="18">
        <f>I1195+I1193</f>
        <v>0</v>
      </c>
      <c r="J1192" s="18">
        <f t="shared" si="309"/>
        <v>44296.9</v>
      </c>
      <c r="K1192" s="18">
        <f>K1195+K1193</f>
        <v>0</v>
      </c>
      <c r="L1192" s="18">
        <f t="shared" si="310"/>
        <v>44296.9</v>
      </c>
      <c r="M1192" s="18">
        <f>M1195+M1193</f>
        <v>19903.399999999998</v>
      </c>
      <c r="N1192" s="18">
        <f t="shared" si="311"/>
        <v>64200.3</v>
      </c>
      <c r="O1192" s="18">
        <f>O1195+O1193</f>
        <v>28831.8</v>
      </c>
      <c r="P1192" s="18">
        <f t="shared" si="318"/>
        <v>93032.1</v>
      </c>
      <c r="Q1192" s="18">
        <f>Q1195+Q1193</f>
        <v>0</v>
      </c>
      <c r="R1192" s="18">
        <f t="shared" si="313"/>
        <v>93032.1</v>
      </c>
      <c r="S1192" s="18">
        <f>S1195+S1193+S1197</f>
        <v>10</v>
      </c>
      <c r="T1192" s="18">
        <f t="shared" si="329"/>
        <v>93042.1</v>
      </c>
      <c r="U1192" s="18">
        <f>U1195+U1193+U1197</f>
        <v>2400</v>
      </c>
      <c r="V1192" s="18">
        <f t="shared" si="300"/>
        <v>95442.1</v>
      </c>
      <c r="W1192" s="18">
        <f>W1195+W1193+W1197</f>
        <v>-28833.3</v>
      </c>
      <c r="X1192" s="18">
        <f t="shared" si="277"/>
        <v>66608.800000000003</v>
      </c>
    </row>
    <row r="1193" spans="1:27" ht="36.75" x14ac:dyDescent="0.25">
      <c r="A1193" s="13" t="s">
        <v>197</v>
      </c>
      <c r="B1193" s="29" t="s">
        <v>566</v>
      </c>
      <c r="C1193" s="29" t="s">
        <v>2</v>
      </c>
      <c r="D1193" s="18"/>
      <c r="E1193" s="20">
        <f>E1194</f>
        <v>42968</v>
      </c>
      <c r="F1193" s="18">
        <f t="shared" si="307"/>
        <v>42968</v>
      </c>
      <c r="G1193" s="20">
        <f>G1194</f>
        <v>0</v>
      </c>
      <c r="H1193" s="18">
        <f t="shared" si="308"/>
        <v>42968</v>
      </c>
      <c r="I1193" s="20">
        <f>I1194</f>
        <v>0</v>
      </c>
      <c r="J1193" s="18">
        <f t="shared" si="309"/>
        <v>42968</v>
      </c>
      <c r="K1193" s="20">
        <f>K1194</f>
        <v>0</v>
      </c>
      <c r="L1193" s="18">
        <f t="shared" si="310"/>
        <v>42968</v>
      </c>
      <c r="M1193" s="20">
        <f>M1194</f>
        <v>19306.3</v>
      </c>
      <c r="N1193" s="18">
        <f t="shared" si="311"/>
        <v>62274.3</v>
      </c>
      <c r="O1193" s="20">
        <f>O1194</f>
        <v>27966.799999999999</v>
      </c>
      <c r="P1193" s="18">
        <f t="shared" si="318"/>
        <v>90241.1</v>
      </c>
      <c r="Q1193" s="20">
        <f>Q1194</f>
        <v>0</v>
      </c>
      <c r="R1193" s="18">
        <f t="shared" si="313"/>
        <v>90241.1</v>
      </c>
      <c r="S1193" s="20">
        <f>S1194</f>
        <v>0</v>
      </c>
      <c r="T1193" s="18">
        <f t="shared" si="329"/>
        <v>90241.1</v>
      </c>
      <c r="U1193" s="20">
        <f>U1194</f>
        <v>0</v>
      </c>
      <c r="V1193" s="18">
        <f t="shared" si="300"/>
        <v>90241.1</v>
      </c>
      <c r="W1193" s="20">
        <f>W1194</f>
        <v>-27968.3</v>
      </c>
      <c r="X1193" s="18">
        <f t="shared" si="277"/>
        <v>62272.800000000003</v>
      </c>
    </row>
    <row r="1194" spans="1:27" ht="24.75" x14ac:dyDescent="0.25">
      <c r="A1194" s="7" t="s">
        <v>509</v>
      </c>
      <c r="B1194" s="31" t="s">
        <v>566</v>
      </c>
      <c r="C1194" s="31" t="s">
        <v>201</v>
      </c>
      <c r="D1194" s="18"/>
      <c r="E1194" s="45">
        <v>42968</v>
      </c>
      <c r="F1194" s="18">
        <f t="shared" si="307"/>
        <v>42968</v>
      </c>
      <c r="G1194" s="64"/>
      <c r="H1194" s="18">
        <f t="shared" si="308"/>
        <v>42968</v>
      </c>
      <c r="I1194" s="64"/>
      <c r="J1194" s="18">
        <f t="shared" si="309"/>
        <v>42968</v>
      </c>
      <c r="K1194" s="64"/>
      <c r="L1194" s="18">
        <f t="shared" si="310"/>
        <v>42968</v>
      </c>
      <c r="M1194" s="45">
        <v>19306.3</v>
      </c>
      <c r="N1194" s="18">
        <f t="shared" si="311"/>
        <v>62274.3</v>
      </c>
      <c r="O1194" s="122">
        <v>27966.799999999999</v>
      </c>
      <c r="P1194" s="18">
        <f t="shared" si="318"/>
        <v>90241.1</v>
      </c>
      <c r="Q1194" s="64"/>
      <c r="R1194" s="18">
        <f t="shared" si="313"/>
        <v>90241.1</v>
      </c>
      <c r="S1194" s="64"/>
      <c r="T1194" s="18">
        <f t="shared" si="329"/>
        <v>90241.1</v>
      </c>
      <c r="U1194" s="64"/>
      <c r="V1194" s="18">
        <f t="shared" si="300"/>
        <v>90241.1</v>
      </c>
      <c r="W1194" s="45">
        <v>-27968.3</v>
      </c>
      <c r="X1194" s="18">
        <f t="shared" si="277"/>
        <v>62272.800000000003</v>
      </c>
      <c r="Z1194" s="43">
        <f>X1194+Y1194</f>
        <v>62272.800000000003</v>
      </c>
      <c r="AA1194" s="43"/>
    </row>
    <row r="1195" spans="1:27" ht="36.75" x14ac:dyDescent="0.25">
      <c r="A1195" s="13" t="s">
        <v>199</v>
      </c>
      <c r="B1195" s="24" t="s">
        <v>200</v>
      </c>
      <c r="C1195" s="24" t="s">
        <v>2</v>
      </c>
      <c r="D1195" s="18">
        <f>D1196</f>
        <v>1328.9</v>
      </c>
      <c r="E1195" s="18">
        <f>E1196</f>
        <v>0</v>
      </c>
      <c r="F1195" s="18">
        <f t="shared" si="307"/>
        <v>1328.9</v>
      </c>
      <c r="G1195" s="18">
        <f>G1196</f>
        <v>0</v>
      </c>
      <c r="H1195" s="18">
        <f t="shared" si="308"/>
        <v>1328.9</v>
      </c>
      <c r="I1195" s="18">
        <f>I1196</f>
        <v>0</v>
      </c>
      <c r="J1195" s="18">
        <f t="shared" si="309"/>
        <v>1328.9</v>
      </c>
      <c r="K1195" s="18">
        <f>K1196</f>
        <v>0</v>
      </c>
      <c r="L1195" s="18">
        <f t="shared" si="310"/>
        <v>1328.9</v>
      </c>
      <c r="M1195" s="18">
        <f>M1196</f>
        <v>597.1</v>
      </c>
      <c r="N1195" s="18">
        <f t="shared" si="311"/>
        <v>1926</v>
      </c>
      <c r="O1195" s="18">
        <f>O1196</f>
        <v>865</v>
      </c>
      <c r="P1195" s="18">
        <f t="shared" si="318"/>
        <v>2791</v>
      </c>
      <c r="Q1195" s="18">
        <f>Q1196</f>
        <v>0</v>
      </c>
      <c r="R1195" s="18">
        <f t="shared" si="313"/>
        <v>2791</v>
      </c>
      <c r="S1195" s="18">
        <f>S1196</f>
        <v>0</v>
      </c>
      <c r="T1195" s="18">
        <f t="shared" si="329"/>
        <v>2791</v>
      </c>
      <c r="U1195" s="18">
        <f>U1196</f>
        <v>0</v>
      </c>
      <c r="V1195" s="18">
        <f t="shared" si="300"/>
        <v>2791</v>
      </c>
      <c r="W1195" s="18">
        <f>W1196</f>
        <v>-865</v>
      </c>
      <c r="X1195" s="18">
        <f t="shared" si="277"/>
        <v>1926</v>
      </c>
    </row>
    <row r="1196" spans="1:27" ht="24.75" x14ac:dyDescent="0.25">
      <c r="A1196" s="7" t="s">
        <v>509</v>
      </c>
      <c r="B1196" s="25" t="s">
        <v>200</v>
      </c>
      <c r="C1196" s="25" t="s">
        <v>201</v>
      </c>
      <c r="D1196" s="19">
        <v>1328.9</v>
      </c>
      <c r="E1196" s="19"/>
      <c r="F1196" s="18">
        <f t="shared" si="307"/>
        <v>1328.9</v>
      </c>
      <c r="G1196" s="19"/>
      <c r="H1196" s="18">
        <f t="shared" si="308"/>
        <v>1328.9</v>
      </c>
      <c r="I1196" s="19"/>
      <c r="J1196" s="18">
        <f t="shared" si="309"/>
        <v>1328.9</v>
      </c>
      <c r="K1196" s="19"/>
      <c r="L1196" s="18">
        <f t="shared" si="310"/>
        <v>1328.9</v>
      </c>
      <c r="M1196" s="45">
        <v>597.1</v>
      </c>
      <c r="N1196" s="18">
        <f t="shared" si="311"/>
        <v>1926</v>
      </c>
      <c r="O1196" s="122">
        <v>865</v>
      </c>
      <c r="P1196" s="18">
        <f t="shared" si="318"/>
        <v>2791</v>
      </c>
      <c r="Q1196" s="64"/>
      <c r="R1196" s="18">
        <f t="shared" si="313"/>
        <v>2791</v>
      </c>
      <c r="S1196" s="64"/>
      <c r="T1196" s="18">
        <f t="shared" si="329"/>
        <v>2791</v>
      </c>
      <c r="U1196" s="64"/>
      <c r="V1196" s="18">
        <f t="shared" si="300"/>
        <v>2791</v>
      </c>
      <c r="W1196" s="45">
        <v>-865</v>
      </c>
      <c r="X1196" s="18">
        <f t="shared" si="277"/>
        <v>1926</v>
      </c>
      <c r="Z1196" s="43">
        <f>X1196+Y1196</f>
        <v>1926</v>
      </c>
      <c r="AA1196" s="43"/>
    </row>
    <row r="1197" spans="1:27" ht="24.75" x14ac:dyDescent="0.25">
      <c r="A1197" s="28" t="s">
        <v>1278</v>
      </c>
      <c r="B1197" s="24" t="s">
        <v>1277</v>
      </c>
      <c r="C1197" s="25"/>
      <c r="D1197" s="19"/>
      <c r="E1197" s="19"/>
      <c r="F1197" s="18"/>
      <c r="G1197" s="19"/>
      <c r="H1197" s="18"/>
      <c r="I1197" s="19"/>
      <c r="J1197" s="18"/>
      <c r="K1197" s="19"/>
      <c r="L1197" s="18"/>
      <c r="M1197" s="45"/>
      <c r="N1197" s="18"/>
      <c r="O1197" s="122"/>
      <c r="P1197" s="18"/>
      <c r="Q1197" s="64"/>
      <c r="R1197" s="18"/>
      <c r="S1197" s="47">
        <f>S1198</f>
        <v>10</v>
      </c>
      <c r="T1197" s="18">
        <f t="shared" si="329"/>
        <v>10</v>
      </c>
      <c r="U1197" s="47">
        <f>U1198</f>
        <v>2400</v>
      </c>
      <c r="V1197" s="18">
        <f t="shared" si="300"/>
        <v>2410</v>
      </c>
      <c r="W1197" s="47">
        <f>W1198</f>
        <v>0</v>
      </c>
      <c r="X1197" s="18">
        <f t="shared" si="277"/>
        <v>2410</v>
      </c>
    </row>
    <row r="1198" spans="1:27" ht="24.75" x14ac:dyDescent="0.25">
      <c r="A1198" s="7" t="s">
        <v>509</v>
      </c>
      <c r="B1198" s="25" t="s">
        <v>1277</v>
      </c>
      <c r="C1198" s="25" t="s">
        <v>201</v>
      </c>
      <c r="D1198" s="19"/>
      <c r="E1198" s="19"/>
      <c r="F1198" s="18"/>
      <c r="G1198" s="19"/>
      <c r="H1198" s="18"/>
      <c r="I1198" s="19"/>
      <c r="J1198" s="18"/>
      <c r="K1198" s="19"/>
      <c r="L1198" s="18"/>
      <c r="M1198" s="45"/>
      <c r="N1198" s="18"/>
      <c r="O1198" s="122"/>
      <c r="P1198" s="18"/>
      <c r="Q1198" s="64"/>
      <c r="R1198" s="18"/>
      <c r="S1198" s="62">
        <v>10</v>
      </c>
      <c r="T1198" s="18">
        <f t="shared" si="329"/>
        <v>10</v>
      </c>
      <c r="U1198" s="96">
        <v>2400</v>
      </c>
      <c r="V1198" s="18">
        <f t="shared" si="300"/>
        <v>2410</v>
      </c>
      <c r="W1198" s="64"/>
      <c r="X1198" s="18">
        <f t="shared" si="277"/>
        <v>2410</v>
      </c>
      <c r="Z1198" s="43">
        <f>X1198+Y1198</f>
        <v>2410</v>
      </c>
      <c r="AA1198" s="43"/>
    </row>
    <row r="1199" spans="1:27" ht="24.75" x14ac:dyDescent="0.25">
      <c r="A1199" s="13" t="s">
        <v>212</v>
      </c>
      <c r="B1199" s="24" t="s">
        <v>213</v>
      </c>
      <c r="C1199" s="24" t="s">
        <v>2</v>
      </c>
      <c r="D1199" s="18">
        <f>D1203+D1205+D1200</f>
        <v>32319.699999999997</v>
      </c>
      <c r="E1199" s="18">
        <f>E1203+E1200</f>
        <v>8999.9</v>
      </c>
      <c r="F1199" s="18">
        <f>F1203+F1205+F1200</f>
        <v>41319.599999999999</v>
      </c>
      <c r="G1199" s="18">
        <f>G1203+G1200+G1205</f>
        <v>-19894.099999999999</v>
      </c>
      <c r="H1199" s="18">
        <f t="shared" si="308"/>
        <v>21425.5</v>
      </c>
      <c r="I1199" s="18">
        <f>I1203+I1200</f>
        <v>0</v>
      </c>
      <c r="J1199" s="18">
        <f t="shared" si="309"/>
        <v>21425.5</v>
      </c>
      <c r="K1199" s="18">
        <f>K1203+K1200</f>
        <v>6899.9</v>
      </c>
      <c r="L1199" s="18">
        <f t="shared" si="310"/>
        <v>28325.4</v>
      </c>
      <c r="M1199" s="18">
        <f>M1203+M1200</f>
        <v>-6998.4000000000005</v>
      </c>
      <c r="N1199" s="18">
        <f t="shared" si="311"/>
        <v>21327</v>
      </c>
      <c r="O1199" s="18">
        <f>O1203+O1200</f>
        <v>0</v>
      </c>
      <c r="P1199" s="18">
        <f t="shared" si="318"/>
        <v>21327</v>
      </c>
      <c r="Q1199" s="18">
        <f>Q1203+Q1200</f>
        <v>0</v>
      </c>
      <c r="R1199" s="18">
        <f t="shared" si="313"/>
        <v>21327</v>
      </c>
      <c r="S1199" s="18">
        <f>S1203+S1200</f>
        <v>0</v>
      </c>
      <c r="T1199" s="18">
        <f t="shared" si="329"/>
        <v>21327</v>
      </c>
      <c r="U1199" s="18">
        <f>U1203+U1200</f>
        <v>0</v>
      </c>
      <c r="V1199" s="18">
        <f t="shared" si="300"/>
        <v>21327</v>
      </c>
      <c r="W1199" s="18">
        <f>W1203+W1200</f>
        <v>1531.7</v>
      </c>
      <c r="X1199" s="18">
        <f t="shared" si="277"/>
        <v>22858.7</v>
      </c>
    </row>
    <row r="1200" spans="1:27" ht="24.75" x14ac:dyDescent="0.25">
      <c r="A1200" s="48" t="s">
        <v>212</v>
      </c>
      <c r="B1200" s="49" t="s">
        <v>567</v>
      </c>
      <c r="C1200" s="50"/>
      <c r="D1200" s="18"/>
      <c r="E1200" s="20">
        <f>E1202</f>
        <v>9000</v>
      </c>
      <c r="F1200" s="18">
        <f t="shared" si="307"/>
        <v>9000</v>
      </c>
      <c r="G1200" s="20">
        <f>G1202</f>
        <v>0</v>
      </c>
      <c r="H1200" s="18">
        <f t="shared" si="308"/>
        <v>9000</v>
      </c>
      <c r="I1200" s="20">
        <f>I1202</f>
        <v>0</v>
      </c>
      <c r="J1200" s="18">
        <f t="shared" si="309"/>
        <v>9000</v>
      </c>
      <c r="K1200" s="20">
        <f>K1202</f>
        <v>6900</v>
      </c>
      <c r="L1200" s="18">
        <f t="shared" si="310"/>
        <v>15900</v>
      </c>
      <c r="M1200" s="20">
        <f>M1202+M1201</f>
        <v>-6998.6</v>
      </c>
      <c r="N1200" s="18">
        <f t="shared" si="311"/>
        <v>8901.4</v>
      </c>
      <c r="O1200" s="20">
        <f>O1202+O1201</f>
        <v>0</v>
      </c>
      <c r="P1200" s="18">
        <f t="shared" si="318"/>
        <v>8901.4</v>
      </c>
      <c r="Q1200" s="20">
        <f>Q1202+Q1201</f>
        <v>-1.4</v>
      </c>
      <c r="R1200" s="18">
        <f t="shared" si="313"/>
        <v>8900</v>
      </c>
      <c r="S1200" s="20">
        <f>S1202+S1201</f>
        <v>0</v>
      </c>
      <c r="T1200" s="18">
        <f t="shared" si="329"/>
        <v>8900</v>
      </c>
      <c r="U1200" s="20">
        <f>U1202+U1201</f>
        <v>0</v>
      </c>
      <c r="V1200" s="18">
        <f t="shared" si="300"/>
        <v>8900</v>
      </c>
      <c r="W1200" s="20">
        <f>W1202+W1201</f>
        <v>1531.7</v>
      </c>
      <c r="X1200" s="18">
        <f t="shared" ref="X1200:X1204" si="332">V1200+W1200</f>
        <v>10431.700000000001</v>
      </c>
    </row>
    <row r="1201" spans="1:27" ht="24.75" hidden="1" x14ac:dyDescent="0.25">
      <c r="A1201" s="7" t="s">
        <v>509</v>
      </c>
      <c r="B1201" s="50" t="s">
        <v>567</v>
      </c>
      <c r="C1201" s="50" t="s">
        <v>201</v>
      </c>
      <c r="D1201" s="18"/>
      <c r="E1201" s="20"/>
      <c r="F1201" s="18"/>
      <c r="G1201" s="20"/>
      <c r="H1201" s="18"/>
      <c r="I1201" s="20"/>
      <c r="J1201" s="18"/>
      <c r="K1201" s="20"/>
      <c r="L1201" s="18"/>
      <c r="M1201" s="44">
        <v>1.4</v>
      </c>
      <c r="N1201" s="18">
        <f t="shared" si="311"/>
        <v>1.4</v>
      </c>
      <c r="O1201" s="64"/>
      <c r="P1201" s="18">
        <f t="shared" si="318"/>
        <v>1.4</v>
      </c>
      <c r="Q1201" s="45">
        <v>-1.4</v>
      </c>
      <c r="R1201" s="18">
        <f t="shared" si="313"/>
        <v>0</v>
      </c>
      <c r="S1201" s="64"/>
      <c r="T1201" s="18">
        <f t="shared" si="329"/>
        <v>0</v>
      </c>
      <c r="U1201" s="64"/>
      <c r="V1201" s="18">
        <f t="shared" si="300"/>
        <v>0</v>
      </c>
      <c r="W1201" s="64"/>
      <c r="X1201" s="18">
        <f t="shared" si="332"/>
        <v>0</v>
      </c>
      <c r="Z1201" s="43">
        <f t="shared" ref="Z1201:Z1202" si="333">X1201+Y1201</f>
        <v>0</v>
      </c>
      <c r="AA1201" s="43"/>
    </row>
    <row r="1202" spans="1:27" ht="24.75" x14ac:dyDescent="0.25">
      <c r="A1202" s="7" t="s">
        <v>509</v>
      </c>
      <c r="B1202" s="50" t="s">
        <v>567</v>
      </c>
      <c r="C1202" s="50" t="s">
        <v>201</v>
      </c>
      <c r="D1202" s="18"/>
      <c r="E1202" s="45">
        <v>9000</v>
      </c>
      <c r="F1202" s="18">
        <f t="shared" si="307"/>
        <v>9000</v>
      </c>
      <c r="G1202" s="64"/>
      <c r="H1202" s="18">
        <f t="shared" si="308"/>
        <v>9000</v>
      </c>
      <c r="I1202" s="64"/>
      <c r="J1202" s="18">
        <f t="shared" si="309"/>
        <v>9000</v>
      </c>
      <c r="K1202" s="45">
        <v>6900</v>
      </c>
      <c r="L1202" s="18">
        <f t="shared" si="310"/>
        <v>15900</v>
      </c>
      <c r="M1202" s="45">
        <v>-7000</v>
      </c>
      <c r="N1202" s="18">
        <f t="shared" si="311"/>
        <v>8900</v>
      </c>
      <c r="O1202" s="64"/>
      <c r="P1202" s="18">
        <f t="shared" si="318"/>
        <v>8900</v>
      </c>
      <c r="Q1202" s="64"/>
      <c r="R1202" s="18">
        <f t="shared" si="313"/>
        <v>8900</v>
      </c>
      <c r="S1202" s="64"/>
      <c r="T1202" s="18">
        <f t="shared" si="329"/>
        <v>8900</v>
      </c>
      <c r="U1202" s="64"/>
      <c r="V1202" s="18">
        <f t="shared" si="300"/>
        <v>8900</v>
      </c>
      <c r="W1202" s="45">
        <v>1531.7</v>
      </c>
      <c r="X1202" s="18">
        <f t="shared" si="332"/>
        <v>10431.700000000001</v>
      </c>
      <c r="Z1202" s="43">
        <f t="shared" si="333"/>
        <v>10431.700000000001</v>
      </c>
      <c r="AA1202" s="43"/>
    </row>
    <row r="1203" spans="1:27" ht="24.75" x14ac:dyDescent="0.25">
      <c r="A1203" s="13" t="s">
        <v>214</v>
      </c>
      <c r="B1203" s="24" t="s">
        <v>215</v>
      </c>
      <c r="C1203" s="24" t="s">
        <v>2</v>
      </c>
      <c r="D1203" s="18">
        <f>D1204</f>
        <v>12425.6</v>
      </c>
      <c r="E1203" s="18">
        <f>E1204</f>
        <v>-0.1</v>
      </c>
      <c r="F1203" s="18">
        <f t="shared" si="307"/>
        <v>12425.5</v>
      </c>
      <c r="G1203" s="18">
        <f>G1204</f>
        <v>0</v>
      </c>
      <c r="H1203" s="18">
        <f t="shared" si="308"/>
        <v>12425.5</v>
      </c>
      <c r="I1203" s="18">
        <f>I1204</f>
        <v>0</v>
      </c>
      <c r="J1203" s="18">
        <f t="shared" si="309"/>
        <v>12425.5</v>
      </c>
      <c r="K1203" s="18">
        <f>K1204</f>
        <v>-0.1</v>
      </c>
      <c r="L1203" s="18">
        <f t="shared" si="310"/>
        <v>12425.4</v>
      </c>
      <c r="M1203" s="18">
        <f>M1204</f>
        <v>0.2</v>
      </c>
      <c r="N1203" s="18">
        <f t="shared" si="311"/>
        <v>12425.6</v>
      </c>
      <c r="O1203" s="18">
        <f>O1204</f>
        <v>0</v>
      </c>
      <c r="P1203" s="18">
        <f t="shared" si="318"/>
        <v>12425.6</v>
      </c>
      <c r="Q1203" s="18">
        <f>Q1204</f>
        <v>1.4</v>
      </c>
      <c r="R1203" s="18">
        <f t="shared" si="313"/>
        <v>12427</v>
      </c>
      <c r="S1203" s="18">
        <f>S1204</f>
        <v>0</v>
      </c>
      <c r="T1203" s="18">
        <f t="shared" si="329"/>
        <v>12427</v>
      </c>
      <c r="U1203" s="18">
        <f>U1204</f>
        <v>0</v>
      </c>
      <c r="V1203" s="18">
        <f t="shared" si="300"/>
        <v>12427</v>
      </c>
      <c r="W1203" s="18">
        <f>W1204</f>
        <v>0</v>
      </c>
      <c r="X1203" s="18">
        <f t="shared" si="332"/>
        <v>12427</v>
      </c>
    </row>
    <row r="1204" spans="1:27" ht="24.75" x14ac:dyDescent="0.25">
      <c r="A1204" s="7" t="s">
        <v>509</v>
      </c>
      <c r="B1204" s="25" t="s">
        <v>215</v>
      </c>
      <c r="C1204" s="25" t="s">
        <v>201</v>
      </c>
      <c r="D1204" s="19">
        <v>12425.6</v>
      </c>
      <c r="E1204" s="45">
        <v>-0.1</v>
      </c>
      <c r="F1204" s="18">
        <f t="shared" si="307"/>
        <v>12425.5</v>
      </c>
      <c r="G1204" s="64"/>
      <c r="H1204" s="18">
        <f t="shared" si="308"/>
        <v>12425.5</v>
      </c>
      <c r="I1204" s="64"/>
      <c r="J1204" s="18">
        <f t="shared" si="309"/>
        <v>12425.5</v>
      </c>
      <c r="K1204" s="45">
        <v>-0.1</v>
      </c>
      <c r="L1204" s="18">
        <f t="shared" si="310"/>
        <v>12425.4</v>
      </c>
      <c r="M1204" s="45">
        <v>0.2</v>
      </c>
      <c r="N1204" s="18">
        <f t="shared" si="311"/>
        <v>12425.6</v>
      </c>
      <c r="O1204" s="64"/>
      <c r="P1204" s="18">
        <f t="shared" si="318"/>
        <v>12425.6</v>
      </c>
      <c r="Q1204" s="45">
        <v>1.4</v>
      </c>
      <c r="R1204" s="18">
        <f t="shared" si="313"/>
        <v>12427</v>
      </c>
      <c r="S1204" s="64"/>
      <c r="T1204" s="18">
        <f t="shared" si="329"/>
        <v>12427</v>
      </c>
      <c r="U1204" s="64"/>
      <c r="V1204" s="18">
        <f t="shared" si="300"/>
        <v>12427</v>
      </c>
      <c r="W1204" s="64"/>
      <c r="X1204" s="18">
        <f t="shared" si="332"/>
        <v>12427</v>
      </c>
      <c r="Z1204" s="43">
        <f>X1204+Y1204</f>
        <v>12427</v>
      </c>
      <c r="AA1204" s="43"/>
    </row>
    <row r="1205" spans="1:27" ht="36.75" hidden="1" x14ac:dyDescent="0.25">
      <c r="A1205" s="13" t="s">
        <v>232</v>
      </c>
      <c r="B1205" s="24" t="s">
        <v>584</v>
      </c>
      <c r="C1205" s="24" t="s">
        <v>2</v>
      </c>
      <c r="D1205" s="18">
        <f>D1206</f>
        <v>19894.099999999999</v>
      </c>
      <c r="E1205" s="18">
        <f>E1206</f>
        <v>0</v>
      </c>
      <c r="F1205" s="18">
        <f>D1205+E1205</f>
        <v>19894.099999999999</v>
      </c>
      <c r="G1205" s="18">
        <f>G1206</f>
        <v>-19894.099999999999</v>
      </c>
      <c r="H1205" s="18">
        <f>F1205+G1205</f>
        <v>0</v>
      </c>
      <c r="I1205" s="47">
        <f>I1206</f>
        <v>0</v>
      </c>
      <c r="J1205" s="18">
        <f>H1205+I1205</f>
        <v>0</v>
      </c>
      <c r="K1205" s="47">
        <f>K1206</f>
        <v>0</v>
      </c>
      <c r="L1205" s="18">
        <f>J1205+K1205</f>
        <v>0</v>
      </c>
      <c r="M1205" s="47">
        <f>M1206</f>
        <v>0</v>
      </c>
      <c r="N1205" s="18">
        <f>L1205+M1205</f>
        <v>0</v>
      </c>
      <c r="O1205" s="47">
        <f>O1206</f>
        <v>0</v>
      </c>
      <c r="P1205" s="18">
        <f>N1205+O1205</f>
        <v>0</v>
      </c>
      <c r="Q1205" s="47">
        <f>Q1206</f>
        <v>0</v>
      </c>
      <c r="R1205" s="18">
        <f>P1205+Q1205</f>
        <v>0</v>
      </c>
      <c r="S1205" s="47">
        <f>S1206</f>
        <v>0</v>
      </c>
      <c r="T1205" s="18">
        <f>R1205+S1205</f>
        <v>0</v>
      </c>
      <c r="U1205" s="47">
        <f>U1206</f>
        <v>0</v>
      </c>
      <c r="V1205" s="18">
        <f>T1205+U1205</f>
        <v>0</v>
      </c>
      <c r="W1205" s="47">
        <f>W1206</f>
        <v>0</v>
      </c>
      <c r="X1205" s="18">
        <f>V1205+W1205</f>
        <v>0</v>
      </c>
    </row>
    <row r="1206" spans="1:27" hidden="1" x14ac:dyDescent="0.25">
      <c r="A1206" s="7" t="s">
        <v>54</v>
      </c>
      <c r="B1206" s="25" t="s">
        <v>584</v>
      </c>
      <c r="C1206" s="25" t="s">
        <v>34</v>
      </c>
      <c r="D1206" s="19">
        <v>19894.099999999999</v>
      </c>
      <c r="E1206" s="19"/>
      <c r="F1206" s="18">
        <f>D1206+E1206</f>
        <v>19894.099999999999</v>
      </c>
      <c r="G1206" s="45">
        <v>-19894.099999999999</v>
      </c>
      <c r="H1206" s="18">
        <f>F1206+G1206</f>
        <v>0</v>
      </c>
      <c r="I1206" s="64"/>
      <c r="J1206" s="18">
        <f>H1206+I1206</f>
        <v>0</v>
      </c>
      <c r="K1206" s="64"/>
      <c r="L1206" s="18">
        <f>J1206+K1206</f>
        <v>0</v>
      </c>
      <c r="M1206" s="64"/>
      <c r="N1206" s="18">
        <f>L1206+M1206</f>
        <v>0</v>
      </c>
      <c r="O1206" s="64"/>
      <c r="P1206" s="18">
        <f>N1206+O1206</f>
        <v>0</v>
      </c>
      <c r="Q1206" s="64"/>
      <c r="R1206" s="18">
        <f>P1206+Q1206</f>
        <v>0</v>
      </c>
      <c r="S1206" s="64"/>
      <c r="T1206" s="18">
        <f>R1206+S1206</f>
        <v>0</v>
      </c>
      <c r="U1206" s="64"/>
      <c r="V1206" s="18">
        <f>T1206+U1206</f>
        <v>0</v>
      </c>
      <c r="W1206" s="64"/>
      <c r="X1206" s="18">
        <f>V1206+W1206</f>
        <v>0</v>
      </c>
      <c r="Z1206" s="43">
        <f>X1206+Y1206</f>
        <v>0</v>
      </c>
      <c r="AA1206" s="43"/>
    </row>
    <row r="1207" spans="1:27" ht="24.75" x14ac:dyDescent="0.25">
      <c r="A1207" s="13" t="s">
        <v>485</v>
      </c>
      <c r="B1207" s="24" t="s">
        <v>150</v>
      </c>
      <c r="C1207" s="24" t="s">
        <v>2</v>
      </c>
      <c r="D1207" s="18">
        <f>D1208</f>
        <v>144735.9</v>
      </c>
      <c r="E1207" s="18">
        <f>E1208</f>
        <v>40000</v>
      </c>
      <c r="F1207" s="18">
        <f t="shared" si="307"/>
        <v>184735.9</v>
      </c>
      <c r="G1207" s="18">
        <f>G1208+G1225</f>
        <v>200000</v>
      </c>
      <c r="H1207" s="18">
        <f t="shared" si="308"/>
        <v>384735.9</v>
      </c>
      <c r="I1207" s="18">
        <f>I1208+I1225</f>
        <v>0</v>
      </c>
      <c r="J1207" s="18">
        <f t="shared" si="309"/>
        <v>384735.9</v>
      </c>
      <c r="K1207" s="18">
        <f>K1208+K1225</f>
        <v>20333</v>
      </c>
      <c r="L1207" s="18">
        <f t="shared" si="310"/>
        <v>405068.9</v>
      </c>
      <c r="M1207" s="18">
        <f>M1208+M1225</f>
        <v>4584.2000000000007</v>
      </c>
      <c r="N1207" s="18">
        <f t="shared" ref="N1207:N1322" si="334">L1207+M1207</f>
        <v>409653.10000000003</v>
      </c>
      <c r="O1207" s="18">
        <f>O1208+O1225+O1209</f>
        <v>80948.400000000009</v>
      </c>
      <c r="P1207" s="18">
        <f t="shared" ref="P1207:P1322" si="335">N1207+O1207</f>
        <v>490601.50000000006</v>
      </c>
      <c r="Q1207" s="18">
        <f>Q1208+Q1225+Q1209</f>
        <v>12652.3</v>
      </c>
      <c r="R1207" s="18">
        <f t="shared" ref="R1207:R1322" si="336">P1207+Q1207</f>
        <v>503253.80000000005</v>
      </c>
      <c r="S1207" s="18">
        <f>S1208+S1225+S1209</f>
        <v>-1148.8</v>
      </c>
      <c r="T1207" s="18">
        <f t="shared" ref="T1207:T1281" si="337">R1207+S1207</f>
        <v>502105.00000000006</v>
      </c>
      <c r="U1207" s="18">
        <f>U1208+U1225+U1209</f>
        <v>-6784.2999999999993</v>
      </c>
      <c r="V1207" s="18">
        <f t="shared" ref="V1207:V1281" si="338">T1207+U1207</f>
        <v>495320.70000000007</v>
      </c>
      <c r="W1207" s="18">
        <f>W1208+W1225+W1209</f>
        <v>18211.699999999997</v>
      </c>
      <c r="X1207" s="18">
        <f t="shared" ref="X1207:X1281" si="339">V1207+W1207</f>
        <v>513532.40000000008</v>
      </c>
    </row>
    <row r="1208" spans="1:27" x14ac:dyDescent="0.25">
      <c r="A1208" s="13" t="s">
        <v>151</v>
      </c>
      <c r="B1208" s="24" t="s">
        <v>152</v>
      </c>
      <c r="C1208" s="24" t="s">
        <v>2</v>
      </c>
      <c r="D1208" s="18">
        <f>D1211+D1213+D1219+D1221+D1223</f>
        <v>144735.9</v>
      </c>
      <c r="E1208" s="18">
        <f>E1211+E1213+E1219+E1221+E1223</f>
        <v>40000</v>
      </c>
      <c r="F1208" s="18">
        <f t="shared" si="307"/>
        <v>184735.9</v>
      </c>
      <c r="G1208" s="18">
        <f>G1211+G1213+G1219+G1221+G1223</f>
        <v>0</v>
      </c>
      <c r="H1208" s="18">
        <f t="shared" si="308"/>
        <v>184735.9</v>
      </c>
      <c r="I1208" s="18">
        <f>I1211+I1213+I1219+I1221+I1223</f>
        <v>0</v>
      </c>
      <c r="J1208" s="18">
        <f t="shared" si="309"/>
        <v>184735.9</v>
      </c>
      <c r="K1208" s="18">
        <f>K1211+K1213+K1219+K1221+K1223+K1217</f>
        <v>20333</v>
      </c>
      <c r="L1208" s="18">
        <f t="shared" si="310"/>
        <v>205068.9</v>
      </c>
      <c r="M1208" s="18">
        <f>M1211+M1213+M1219+M1221+M1223+M1217</f>
        <v>4584.2000000000007</v>
      </c>
      <c r="N1208" s="18">
        <f t="shared" si="334"/>
        <v>209653.1</v>
      </c>
      <c r="O1208" s="18">
        <f>O1211+O1213+O1219+O1221+O1223+O1217</f>
        <v>2233.6</v>
      </c>
      <c r="P1208" s="18">
        <f t="shared" si="335"/>
        <v>211886.7</v>
      </c>
      <c r="Q1208" s="18">
        <f>Q1211+Q1213+Q1219+Q1221+Q1223+Q1217</f>
        <v>12652.3</v>
      </c>
      <c r="R1208" s="18">
        <f t="shared" si="336"/>
        <v>224539</v>
      </c>
      <c r="S1208" s="18">
        <f>S1211+S1213+S1219+S1221+S1223+S1217</f>
        <v>-1148.8</v>
      </c>
      <c r="T1208" s="18">
        <f t="shared" si="337"/>
        <v>223390.2</v>
      </c>
      <c r="U1208" s="18">
        <f>U1211+U1213+U1219+U1221+U1223+U1217</f>
        <v>-6784.2999999999993</v>
      </c>
      <c r="V1208" s="18">
        <f t="shared" si="338"/>
        <v>216605.90000000002</v>
      </c>
      <c r="W1208" s="18">
        <f>W1211+W1213+W1219+W1221+W1223+W1217+W1215</f>
        <v>18211.699999999997</v>
      </c>
      <c r="X1208" s="18">
        <f t="shared" si="339"/>
        <v>234817.60000000003</v>
      </c>
    </row>
    <row r="1209" spans="1:27" x14ac:dyDescent="0.25">
      <c r="A1209" s="13" t="s">
        <v>662</v>
      </c>
      <c r="B1209" s="24" t="s">
        <v>796</v>
      </c>
      <c r="C1209" s="24"/>
      <c r="D1209" s="18"/>
      <c r="E1209" s="18"/>
      <c r="F1209" s="18"/>
      <c r="G1209" s="18"/>
      <c r="H1209" s="18"/>
      <c r="I1209" s="18"/>
      <c r="J1209" s="18"/>
      <c r="K1209" s="18"/>
      <c r="L1209" s="18"/>
      <c r="M1209" s="18"/>
      <c r="N1209" s="18">
        <f t="shared" si="334"/>
        <v>0</v>
      </c>
      <c r="O1209" s="18">
        <f>O1210</f>
        <v>300</v>
      </c>
      <c r="P1209" s="18">
        <f t="shared" si="335"/>
        <v>300</v>
      </c>
      <c r="Q1209" s="18">
        <f>Q1210</f>
        <v>0</v>
      </c>
      <c r="R1209" s="18">
        <f t="shared" si="336"/>
        <v>300</v>
      </c>
      <c r="S1209" s="18">
        <f>S1210</f>
        <v>0</v>
      </c>
      <c r="T1209" s="18">
        <f t="shared" si="337"/>
        <v>300</v>
      </c>
      <c r="U1209" s="18">
        <f>U1210</f>
        <v>0</v>
      </c>
      <c r="V1209" s="18">
        <f t="shared" si="338"/>
        <v>300</v>
      </c>
      <c r="W1209" s="18">
        <f>W1210</f>
        <v>0</v>
      </c>
      <c r="X1209" s="18">
        <f t="shared" si="339"/>
        <v>300</v>
      </c>
    </row>
    <row r="1210" spans="1:27" x14ac:dyDescent="0.25">
      <c r="A1210" s="7" t="s">
        <v>54</v>
      </c>
      <c r="B1210" s="25" t="s">
        <v>796</v>
      </c>
      <c r="C1210" s="25" t="s">
        <v>34</v>
      </c>
      <c r="D1210" s="19"/>
      <c r="E1210" s="19"/>
      <c r="F1210" s="19"/>
      <c r="G1210" s="19"/>
      <c r="H1210" s="19"/>
      <c r="I1210" s="19"/>
      <c r="J1210" s="19"/>
      <c r="K1210" s="19"/>
      <c r="L1210" s="19"/>
      <c r="M1210" s="19"/>
      <c r="N1210" s="18">
        <f t="shared" si="334"/>
        <v>0</v>
      </c>
      <c r="O1210" s="122">
        <v>300</v>
      </c>
      <c r="P1210" s="18">
        <f t="shared" si="335"/>
        <v>300</v>
      </c>
      <c r="Q1210" s="64"/>
      <c r="R1210" s="18">
        <f t="shared" si="336"/>
        <v>300</v>
      </c>
      <c r="S1210" s="64"/>
      <c r="T1210" s="18">
        <f t="shared" si="337"/>
        <v>300</v>
      </c>
      <c r="U1210" s="64"/>
      <c r="V1210" s="18">
        <f t="shared" si="338"/>
        <v>300</v>
      </c>
      <c r="W1210" s="64"/>
      <c r="X1210" s="18">
        <f t="shared" si="339"/>
        <v>300</v>
      </c>
      <c r="Z1210" s="43">
        <f>X1210+Y1210</f>
        <v>300</v>
      </c>
      <c r="AA1210" s="43"/>
    </row>
    <row r="1211" spans="1:27" x14ac:dyDescent="0.25">
      <c r="A1211" s="13" t="s">
        <v>155</v>
      </c>
      <c r="B1211" s="24" t="s">
        <v>156</v>
      </c>
      <c r="C1211" s="24" t="s">
        <v>2</v>
      </c>
      <c r="D1211" s="18">
        <f>D1212</f>
        <v>16932</v>
      </c>
      <c r="E1211" s="18">
        <f>E1212</f>
        <v>0</v>
      </c>
      <c r="F1211" s="18">
        <f t="shared" si="307"/>
        <v>16932</v>
      </c>
      <c r="G1211" s="18">
        <f>G1212</f>
        <v>0</v>
      </c>
      <c r="H1211" s="18">
        <f t="shared" si="308"/>
        <v>16932</v>
      </c>
      <c r="I1211" s="18">
        <f>I1212</f>
        <v>0</v>
      </c>
      <c r="J1211" s="18">
        <f t="shared" si="309"/>
        <v>16932</v>
      </c>
      <c r="K1211" s="18">
        <f>K1212</f>
        <v>0</v>
      </c>
      <c r="L1211" s="18">
        <f t="shared" si="310"/>
        <v>16932</v>
      </c>
      <c r="M1211" s="18">
        <f>M1212</f>
        <v>-167.7</v>
      </c>
      <c r="N1211" s="18">
        <f t="shared" si="334"/>
        <v>16764.3</v>
      </c>
      <c r="O1211" s="18">
        <f>O1212</f>
        <v>0</v>
      </c>
      <c r="P1211" s="18">
        <f t="shared" si="335"/>
        <v>16764.3</v>
      </c>
      <c r="Q1211" s="18">
        <f>Q1212</f>
        <v>0</v>
      </c>
      <c r="R1211" s="18">
        <f t="shared" si="336"/>
        <v>16764.3</v>
      </c>
      <c r="S1211" s="18">
        <f>S1212</f>
        <v>0</v>
      </c>
      <c r="T1211" s="18">
        <f t="shared" si="337"/>
        <v>16764.3</v>
      </c>
      <c r="U1211" s="18">
        <f>U1212</f>
        <v>0</v>
      </c>
      <c r="V1211" s="18">
        <f t="shared" si="338"/>
        <v>16764.3</v>
      </c>
      <c r="W1211" s="18">
        <f>W1212</f>
        <v>0</v>
      </c>
      <c r="X1211" s="18">
        <f t="shared" si="339"/>
        <v>16764.3</v>
      </c>
    </row>
    <row r="1212" spans="1:27" x14ac:dyDescent="0.25">
      <c r="A1212" s="7" t="s">
        <v>54</v>
      </c>
      <c r="B1212" s="25" t="s">
        <v>156</v>
      </c>
      <c r="C1212" s="25" t="s">
        <v>34</v>
      </c>
      <c r="D1212" s="19">
        <v>16932</v>
      </c>
      <c r="E1212" s="19"/>
      <c r="F1212" s="18">
        <f t="shared" si="307"/>
        <v>16932</v>
      </c>
      <c r="G1212" s="19"/>
      <c r="H1212" s="18">
        <f t="shared" si="308"/>
        <v>16932</v>
      </c>
      <c r="I1212" s="19"/>
      <c r="J1212" s="18">
        <f t="shared" si="309"/>
        <v>16932</v>
      </c>
      <c r="K1212" s="19"/>
      <c r="L1212" s="18">
        <f t="shared" si="310"/>
        <v>16932</v>
      </c>
      <c r="M1212" s="45">
        <v>-167.7</v>
      </c>
      <c r="N1212" s="18">
        <f t="shared" si="334"/>
        <v>16764.3</v>
      </c>
      <c r="O1212" s="64"/>
      <c r="P1212" s="18">
        <f t="shared" si="335"/>
        <v>16764.3</v>
      </c>
      <c r="Q1212" s="64"/>
      <c r="R1212" s="18">
        <f t="shared" si="336"/>
        <v>16764.3</v>
      </c>
      <c r="S1212" s="64"/>
      <c r="T1212" s="18">
        <f t="shared" si="337"/>
        <v>16764.3</v>
      </c>
      <c r="U1212" s="64"/>
      <c r="V1212" s="18">
        <f t="shared" si="338"/>
        <v>16764.3</v>
      </c>
      <c r="W1212" s="64"/>
      <c r="X1212" s="18">
        <f t="shared" si="339"/>
        <v>16764.3</v>
      </c>
      <c r="Z1212" s="43">
        <f>X1212+Y1212</f>
        <v>16764.3</v>
      </c>
      <c r="AA1212" s="43"/>
    </row>
    <row r="1213" spans="1:27" x14ac:dyDescent="0.25">
      <c r="A1213" s="13" t="s">
        <v>157</v>
      </c>
      <c r="B1213" s="24" t="s">
        <v>158</v>
      </c>
      <c r="C1213" s="24" t="s">
        <v>2</v>
      </c>
      <c r="D1213" s="18">
        <f>D1214</f>
        <v>4280</v>
      </c>
      <c r="E1213" s="18">
        <f>E1214</f>
        <v>50000</v>
      </c>
      <c r="F1213" s="18">
        <f t="shared" si="307"/>
        <v>54280</v>
      </c>
      <c r="G1213" s="18">
        <f>G1214</f>
        <v>0</v>
      </c>
      <c r="H1213" s="18">
        <f t="shared" si="308"/>
        <v>54280</v>
      </c>
      <c r="I1213" s="18">
        <f>I1214</f>
        <v>0</v>
      </c>
      <c r="J1213" s="18">
        <f t="shared" si="309"/>
        <v>54280</v>
      </c>
      <c r="K1213" s="18">
        <f>K1214</f>
        <v>0</v>
      </c>
      <c r="L1213" s="18">
        <f t="shared" si="310"/>
        <v>54280</v>
      </c>
      <c r="M1213" s="18">
        <f>M1214</f>
        <v>0</v>
      </c>
      <c r="N1213" s="18">
        <f t="shared" si="334"/>
        <v>54280</v>
      </c>
      <c r="O1213" s="18">
        <f>O1214</f>
        <v>0</v>
      </c>
      <c r="P1213" s="18">
        <f t="shared" si="335"/>
        <v>54280</v>
      </c>
      <c r="Q1213" s="18">
        <f>Q1214</f>
        <v>0</v>
      </c>
      <c r="R1213" s="18">
        <f t="shared" si="336"/>
        <v>54280</v>
      </c>
      <c r="S1213" s="18">
        <f>S1214</f>
        <v>0</v>
      </c>
      <c r="T1213" s="18">
        <f t="shared" si="337"/>
        <v>54280</v>
      </c>
      <c r="U1213" s="18">
        <f>U1214</f>
        <v>0</v>
      </c>
      <c r="V1213" s="18">
        <f t="shared" si="338"/>
        <v>54280</v>
      </c>
      <c r="W1213" s="18">
        <f>W1214</f>
        <v>0</v>
      </c>
      <c r="X1213" s="18">
        <f t="shared" si="339"/>
        <v>54280</v>
      </c>
    </row>
    <row r="1214" spans="1:27" x14ac:dyDescent="0.25">
      <c r="A1214" s="7" t="s">
        <v>54</v>
      </c>
      <c r="B1214" s="25" t="s">
        <v>158</v>
      </c>
      <c r="C1214" s="25" t="s">
        <v>34</v>
      </c>
      <c r="D1214" s="19">
        <v>4280</v>
      </c>
      <c r="E1214" s="45">
        <v>50000</v>
      </c>
      <c r="F1214" s="18">
        <f t="shared" si="307"/>
        <v>54280</v>
      </c>
      <c r="G1214" s="64"/>
      <c r="H1214" s="18">
        <f t="shared" si="308"/>
        <v>54280</v>
      </c>
      <c r="I1214" s="64"/>
      <c r="J1214" s="18">
        <f t="shared" si="309"/>
        <v>54280</v>
      </c>
      <c r="K1214" s="64"/>
      <c r="L1214" s="18">
        <f t="shared" si="310"/>
        <v>54280</v>
      </c>
      <c r="M1214" s="64"/>
      <c r="N1214" s="18">
        <f t="shared" si="334"/>
        <v>54280</v>
      </c>
      <c r="O1214" s="64"/>
      <c r="P1214" s="18">
        <f t="shared" si="335"/>
        <v>54280</v>
      </c>
      <c r="Q1214" s="64"/>
      <c r="R1214" s="18">
        <f t="shared" si="336"/>
        <v>54280</v>
      </c>
      <c r="S1214" s="64"/>
      <c r="T1214" s="18">
        <f t="shared" si="337"/>
        <v>54280</v>
      </c>
      <c r="U1214" s="64"/>
      <c r="V1214" s="18">
        <f t="shared" si="338"/>
        <v>54280</v>
      </c>
      <c r="W1214" s="64"/>
      <c r="X1214" s="18">
        <f t="shared" si="339"/>
        <v>54280</v>
      </c>
      <c r="Z1214" s="43">
        <f>X1214+Y1214</f>
        <v>54280</v>
      </c>
      <c r="AA1214" s="43"/>
    </row>
    <row r="1215" spans="1:27" ht="36.75" x14ac:dyDescent="0.25">
      <c r="A1215" s="28" t="s">
        <v>1306</v>
      </c>
      <c r="B1215" s="26" t="s">
        <v>1307</v>
      </c>
      <c r="C1215" s="26"/>
      <c r="D1215" s="19"/>
      <c r="E1215" s="45"/>
      <c r="F1215" s="18"/>
      <c r="G1215" s="64"/>
      <c r="H1215" s="18"/>
      <c r="I1215" s="64"/>
      <c r="J1215" s="18"/>
      <c r="K1215" s="64"/>
      <c r="L1215" s="18"/>
      <c r="M1215" s="64"/>
      <c r="N1215" s="18"/>
      <c r="O1215" s="64"/>
      <c r="P1215" s="18"/>
      <c r="Q1215" s="64"/>
      <c r="R1215" s="18"/>
      <c r="S1215" s="64"/>
      <c r="T1215" s="18"/>
      <c r="U1215" s="64"/>
      <c r="V1215" s="18"/>
      <c r="W1215" s="47">
        <f>W1216</f>
        <v>6066</v>
      </c>
      <c r="X1215" s="18">
        <f t="shared" si="339"/>
        <v>6066</v>
      </c>
    </row>
    <row r="1216" spans="1:27" x14ac:dyDescent="0.25">
      <c r="A1216" s="7" t="s">
        <v>54</v>
      </c>
      <c r="B1216" s="27" t="s">
        <v>1307</v>
      </c>
      <c r="C1216" s="27" t="s">
        <v>34</v>
      </c>
      <c r="D1216" s="19"/>
      <c r="E1216" s="45"/>
      <c r="F1216" s="18"/>
      <c r="G1216" s="64"/>
      <c r="H1216" s="18"/>
      <c r="I1216" s="64"/>
      <c r="J1216" s="18"/>
      <c r="K1216" s="64"/>
      <c r="L1216" s="18"/>
      <c r="M1216" s="64"/>
      <c r="N1216" s="18"/>
      <c r="O1216" s="64"/>
      <c r="P1216" s="18"/>
      <c r="Q1216" s="64"/>
      <c r="R1216" s="18"/>
      <c r="S1216" s="64"/>
      <c r="T1216" s="18"/>
      <c r="U1216" s="64"/>
      <c r="V1216" s="18"/>
      <c r="W1216" s="45">
        <v>6066</v>
      </c>
      <c r="X1216" s="18">
        <f t="shared" si="339"/>
        <v>6066</v>
      </c>
      <c r="Z1216" s="43">
        <f>X1216+Y1216</f>
        <v>6066</v>
      </c>
      <c r="AA1216" s="43"/>
    </row>
    <row r="1217" spans="1:27" x14ac:dyDescent="0.25">
      <c r="A1217" s="91" t="s">
        <v>706</v>
      </c>
      <c r="B1217" s="26" t="s">
        <v>711</v>
      </c>
      <c r="C1217" s="26"/>
      <c r="D1217" s="19"/>
      <c r="E1217" s="45"/>
      <c r="F1217" s="18"/>
      <c r="G1217" s="64"/>
      <c r="H1217" s="18"/>
      <c r="I1217" s="64"/>
      <c r="J1217" s="18"/>
      <c r="K1217" s="20">
        <f>K1218</f>
        <v>2802.3</v>
      </c>
      <c r="L1217" s="18">
        <f t="shared" si="310"/>
        <v>2802.3</v>
      </c>
      <c r="M1217" s="20">
        <f>M1218</f>
        <v>1104.9000000000001</v>
      </c>
      <c r="N1217" s="18">
        <f t="shared" si="334"/>
        <v>3907.2000000000003</v>
      </c>
      <c r="O1217" s="20">
        <f>O1218</f>
        <v>0</v>
      </c>
      <c r="P1217" s="18">
        <f t="shared" si="335"/>
        <v>3907.2000000000003</v>
      </c>
      <c r="Q1217" s="20">
        <f>Q1218</f>
        <v>-1769</v>
      </c>
      <c r="R1217" s="18">
        <f t="shared" si="336"/>
        <v>2138.2000000000003</v>
      </c>
      <c r="S1217" s="20">
        <f>S1218</f>
        <v>-123.5</v>
      </c>
      <c r="T1217" s="18">
        <f t="shared" si="337"/>
        <v>2014.7000000000003</v>
      </c>
      <c r="U1217" s="20">
        <f>U1218</f>
        <v>-15.7</v>
      </c>
      <c r="V1217" s="18">
        <f t="shared" si="338"/>
        <v>1999.0000000000002</v>
      </c>
      <c r="W1217" s="20">
        <f>W1218</f>
        <v>-15.2</v>
      </c>
      <c r="X1217" s="18">
        <f t="shared" si="339"/>
        <v>1983.8000000000002</v>
      </c>
    </row>
    <row r="1218" spans="1:27" x14ac:dyDescent="0.25">
      <c r="A1218" s="7" t="s">
        <v>54</v>
      </c>
      <c r="B1218" s="27" t="s">
        <v>711</v>
      </c>
      <c r="C1218" s="27" t="s">
        <v>34</v>
      </c>
      <c r="D1218" s="19"/>
      <c r="E1218" s="45"/>
      <c r="F1218" s="18"/>
      <c r="G1218" s="64"/>
      <c r="H1218" s="18"/>
      <c r="I1218" s="64"/>
      <c r="J1218" s="18"/>
      <c r="K1218" s="97">
        <f>802.3+2000</f>
        <v>2802.3</v>
      </c>
      <c r="L1218" s="18">
        <f t="shared" si="310"/>
        <v>2802.3</v>
      </c>
      <c r="M1218" s="62">
        <f>-1814.1+2919</f>
        <v>1104.9000000000001</v>
      </c>
      <c r="N1218" s="18">
        <f t="shared" si="334"/>
        <v>3907.2000000000003</v>
      </c>
      <c r="O1218" s="64"/>
      <c r="P1218" s="18">
        <f t="shared" si="335"/>
        <v>3907.2000000000003</v>
      </c>
      <c r="Q1218" s="44">
        <f>1150-2919</f>
        <v>-1769</v>
      </c>
      <c r="R1218" s="18">
        <f t="shared" si="336"/>
        <v>2138.2000000000003</v>
      </c>
      <c r="S1218" s="62">
        <v>-123.5</v>
      </c>
      <c r="T1218" s="18">
        <f t="shared" si="337"/>
        <v>2014.7000000000003</v>
      </c>
      <c r="U1218" s="96">
        <v>-15.7</v>
      </c>
      <c r="V1218" s="18">
        <f t="shared" si="338"/>
        <v>1999.0000000000002</v>
      </c>
      <c r="W1218" s="44">
        <v>-15.2</v>
      </c>
      <c r="X1218" s="18">
        <f t="shared" si="339"/>
        <v>1983.8000000000002</v>
      </c>
      <c r="Y1218" s="43">
        <v>-15.2</v>
      </c>
      <c r="Z1218" s="43">
        <f>X1218+Y1218</f>
        <v>1968.6000000000001</v>
      </c>
      <c r="AA1218" s="43"/>
    </row>
    <row r="1219" spans="1:27" ht="24.75" hidden="1" x14ac:dyDescent="0.25">
      <c r="A1219" s="13" t="s">
        <v>524</v>
      </c>
      <c r="B1219" s="24" t="s">
        <v>522</v>
      </c>
      <c r="C1219" s="24" t="s">
        <v>2</v>
      </c>
      <c r="D1219" s="18">
        <f>D1220</f>
        <v>300</v>
      </c>
      <c r="E1219" s="18">
        <f>E1220</f>
        <v>0</v>
      </c>
      <c r="F1219" s="18">
        <f t="shared" si="307"/>
        <v>300</v>
      </c>
      <c r="G1219" s="18">
        <f>G1220</f>
        <v>0</v>
      </c>
      <c r="H1219" s="18">
        <f t="shared" si="308"/>
        <v>300</v>
      </c>
      <c r="I1219" s="18">
        <f>I1220</f>
        <v>0</v>
      </c>
      <c r="J1219" s="18">
        <f t="shared" si="309"/>
        <v>300</v>
      </c>
      <c r="K1219" s="18">
        <f>K1220</f>
        <v>0</v>
      </c>
      <c r="L1219" s="18">
        <f t="shared" si="310"/>
        <v>300</v>
      </c>
      <c r="M1219" s="18">
        <f>M1220</f>
        <v>0</v>
      </c>
      <c r="N1219" s="18">
        <f t="shared" si="334"/>
        <v>300</v>
      </c>
      <c r="O1219" s="18">
        <f>O1220</f>
        <v>0</v>
      </c>
      <c r="P1219" s="18">
        <f t="shared" si="335"/>
        <v>300</v>
      </c>
      <c r="Q1219" s="18">
        <f>Q1220</f>
        <v>-300</v>
      </c>
      <c r="R1219" s="18">
        <f t="shared" si="336"/>
        <v>0</v>
      </c>
      <c r="S1219" s="18">
        <f>S1220</f>
        <v>0</v>
      </c>
      <c r="T1219" s="18">
        <f t="shared" si="337"/>
        <v>0</v>
      </c>
      <c r="U1219" s="18">
        <f>U1220</f>
        <v>0</v>
      </c>
      <c r="V1219" s="18">
        <f t="shared" si="338"/>
        <v>0</v>
      </c>
      <c r="W1219" s="18">
        <f>W1220</f>
        <v>0</v>
      </c>
      <c r="X1219" s="18">
        <f t="shared" si="339"/>
        <v>0</v>
      </c>
    </row>
    <row r="1220" spans="1:27" hidden="1" x14ac:dyDescent="0.25">
      <c r="A1220" s="7" t="s">
        <v>54</v>
      </c>
      <c r="B1220" s="25" t="s">
        <v>522</v>
      </c>
      <c r="C1220" s="25" t="s">
        <v>34</v>
      </c>
      <c r="D1220" s="19">
        <v>300</v>
      </c>
      <c r="E1220" s="19"/>
      <c r="F1220" s="18">
        <f t="shared" si="307"/>
        <v>300</v>
      </c>
      <c r="G1220" s="19"/>
      <c r="H1220" s="18">
        <f t="shared" si="308"/>
        <v>300</v>
      </c>
      <c r="I1220" s="19"/>
      <c r="J1220" s="18">
        <f t="shared" si="309"/>
        <v>300</v>
      </c>
      <c r="K1220" s="19"/>
      <c r="L1220" s="18">
        <f t="shared" si="310"/>
        <v>300</v>
      </c>
      <c r="M1220" s="19"/>
      <c r="N1220" s="18">
        <f t="shared" si="334"/>
        <v>300</v>
      </c>
      <c r="O1220" s="44"/>
      <c r="P1220" s="18">
        <f t="shared" si="335"/>
        <v>300</v>
      </c>
      <c r="Q1220" s="44">
        <v>-300</v>
      </c>
      <c r="R1220" s="18">
        <f t="shared" si="336"/>
        <v>0</v>
      </c>
      <c r="S1220" s="64"/>
      <c r="T1220" s="18">
        <f t="shared" si="337"/>
        <v>0</v>
      </c>
      <c r="U1220" s="64"/>
      <c r="V1220" s="18">
        <f t="shared" si="338"/>
        <v>0</v>
      </c>
      <c r="W1220" s="64"/>
      <c r="X1220" s="18">
        <f t="shared" si="339"/>
        <v>0</v>
      </c>
      <c r="Z1220" s="43">
        <f>X1220+Y1220</f>
        <v>0</v>
      </c>
      <c r="AA1220" s="43"/>
    </row>
    <row r="1221" spans="1:27" hidden="1" x14ac:dyDescent="0.25">
      <c r="A1221" s="13" t="s">
        <v>103</v>
      </c>
      <c r="B1221" s="24" t="s">
        <v>153</v>
      </c>
      <c r="C1221" s="24" t="s">
        <v>2</v>
      </c>
      <c r="D1221" s="18">
        <f>D1222</f>
        <v>0</v>
      </c>
      <c r="E1221" s="18">
        <f>E1222</f>
        <v>0</v>
      </c>
      <c r="F1221" s="18">
        <f t="shared" si="307"/>
        <v>0</v>
      </c>
      <c r="G1221" s="18">
        <f>G1222</f>
        <v>0</v>
      </c>
      <c r="H1221" s="18">
        <f t="shared" si="308"/>
        <v>0</v>
      </c>
      <c r="I1221" s="18">
        <f>I1222</f>
        <v>0</v>
      </c>
      <c r="J1221" s="18">
        <f t="shared" si="309"/>
        <v>0</v>
      </c>
      <c r="K1221" s="18">
        <f>K1222</f>
        <v>7000</v>
      </c>
      <c r="L1221" s="18">
        <f t="shared" si="310"/>
        <v>7000</v>
      </c>
      <c r="M1221" s="18">
        <f>M1222</f>
        <v>-3003.3</v>
      </c>
      <c r="N1221" s="18">
        <f t="shared" si="334"/>
        <v>3996.7</v>
      </c>
      <c r="O1221" s="18">
        <f>O1222</f>
        <v>0</v>
      </c>
      <c r="P1221" s="18">
        <f t="shared" si="335"/>
        <v>3996.7</v>
      </c>
      <c r="Q1221" s="18">
        <f>Q1222</f>
        <v>-3821.2</v>
      </c>
      <c r="R1221" s="18">
        <f t="shared" si="336"/>
        <v>175.5</v>
      </c>
      <c r="S1221" s="18">
        <f>S1222</f>
        <v>0</v>
      </c>
      <c r="T1221" s="18">
        <f t="shared" si="337"/>
        <v>175.5</v>
      </c>
      <c r="U1221" s="18">
        <f>U1222</f>
        <v>-175.5</v>
      </c>
      <c r="V1221" s="18">
        <f t="shared" si="338"/>
        <v>0</v>
      </c>
      <c r="W1221" s="18">
        <f>W1222</f>
        <v>0</v>
      </c>
      <c r="X1221" s="18">
        <f t="shared" si="339"/>
        <v>0</v>
      </c>
    </row>
    <row r="1222" spans="1:27" hidden="1" x14ac:dyDescent="0.25">
      <c r="A1222" s="7" t="s">
        <v>54</v>
      </c>
      <c r="B1222" s="25" t="s">
        <v>153</v>
      </c>
      <c r="C1222" s="25" t="s">
        <v>34</v>
      </c>
      <c r="D1222" s="19">
        <f>7000-2000-5000</f>
        <v>0</v>
      </c>
      <c r="E1222" s="19"/>
      <c r="F1222" s="18">
        <f t="shared" si="307"/>
        <v>0</v>
      </c>
      <c r="G1222" s="19"/>
      <c r="H1222" s="18">
        <f t="shared" si="308"/>
        <v>0</v>
      </c>
      <c r="I1222" s="19"/>
      <c r="J1222" s="18">
        <f t="shared" si="309"/>
        <v>0</v>
      </c>
      <c r="K1222" s="97">
        <v>7000</v>
      </c>
      <c r="L1222" s="18">
        <f t="shared" si="310"/>
        <v>7000</v>
      </c>
      <c r="M1222" s="62">
        <v>-3003.3</v>
      </c>
      <c r="N1222" s="18">
        <f t="shared" si="334"/>
        <v>3996.7</v>
      </c>
      <c r="O1222" s="64"/>
      <c r="P1222" s="18">
        <f t="shared" si="335"/>
        <v>3996.7</v>
      </c>
      <c r="Q1222" s="44">
        <v>-3821.2</v>
      </c>
      <c r="R1222" s="18">
        <f t="shared" si="336"/>
        <v>175.5</v>
      </c>
      <c r="S1222" s="64"/>
      <c r="T1222" s="18">
        <f t="shared" si="337"/>
        <v>175.5</v>
      </c>
      <c r="U1222" s="96">
        <v>-175.5</v>
      </c>
      <c r="V1222" s="18">
        <f t="shared" si="338"/>
        <v>0</v>
      </c>
      <c r="W1222" s="64"/>
      <c r="X1222" s="18">
        <f t="shared" si="339"/>
        <v>0</v>
      </c>
      <c r="Z1222" s="43">
        <f>X1222+Y1222</f>
        <v>0</v>
      </c>
      <c r="AA1222" s="43"/>
    </row>
    <row r="1223" spans="1:27" ht="24.75" x14ac:dyDescent="0.25">
      <c r="A1223" s="13" t="s">
        <v>657</v>
      </c>
      <c r="B1223" s="24" t="s">
        <v>154</v>
      </c>
      <c r="C1223" s="24" t="s">
        <v>2</v>
      </c>
      <c r="D1223" s="18">
        <f>D1224</f>
        <v>123223.9</v>
      </c>
      <c r="E1223" s="18">
        <f>E1224</f>
        <v>-10000</v>
      </c>
      <c r="F1223" s="18">
        <f t="shared" si="307"/>
        <v>113223.9</v>
      </c>
      <c r="G1223" s="18">
        <f>G1224</f>
        <v>0</v>
      </c>
      <c r="H1223" s="18">
        <f t="shared" si="308"/>
        <v>113223.9</v>
      </c>
      <c r="I1223" s="18">
        <f>I1224</f>
        <v>0</v>
      </c>
      <c r="J1223" s="18">
        <f t="shared" si="309"/>
        <v>113223.9</v>
      </c>
      <c r="K1223" s="18">
        <f>K1224</f>
        <v>10530.7</v>
      </c>
      <c r="L1223" s="18">
        <f t="shared" si="310"/>
        <v>123754.59999999999</v>
      </c>
      <c r="M1223" s="18">
        <f>M1224</f>
        <v>6650.3</v>
      </c>
      <c r="N1223" s="18">
        <f t="shared" si="334"/>
        <v>130404.9</v>
      </c>
      <c r="O1223" s="18">
        <f>O1224</f>
        <v>2233.6</v>
      </c>
      <c r="P1223" s="18">
        <f t="shared" si="335"/>
        <v>132638.5</v>
      </c>
      <c r="Q1223" s="18">
        <f>Q1224</f>
        <v>18542.5</v>
      </c>
      <c r="R1223" s="18">
        <f t="shared" si="336"/>
        <v>151181</v>
      </c>
      <c r="S1223" s="18">
        <f>S1224</f>
        <v>-1025.3</v>
      </c>
      <c r="T1223" s="18">
        <f t="shared" si="337"/>
        <v>150155.70000000001</v>
      </c>
      <c r="U1223" s="155">
        <f>U1224</f>
        <v>-6593.0999999999995</v>
      </c>
      <c r="V1223" s="18">
        <f t="shared" si="338"/>
        <v>143562.6</v>
      </c>
      <c r="W1223" s="155">
        <f>W1224</f>
        <v>12160.9</v>
      </c>
      <c r="X1223" s="18">
        <f t="shared" si="339"/>
        <v>155723.5</v>
      </c>
    </row>
    <row r="1224" spans="1:27" x14ac:dyDescent="0.25">
      <c r="A1224" s="7" t="s">
        <v>54</v>
      </c>
      <c r="B1224" s="25" t="s">
        <v>154</v>
      </c>
      <c r="C1224" s="25" t="s">
        <v>34</v>
      </c>
      <c r="D1224" s="19">
        <f>128223.9-5000</f>
        <v>123223.9</v>
      </c>
      <c r="E1224" s="44">
        <v>-10000</v>
      </c>
      <c r="F1224" s="18">
        <f t="shared" si="307"/>
        <v>113223.9</v>
      </c>
      <c r="G1224" s="64"/>
      <c r="H1224" s="18">
        <f t="shared" si="308"/>
        <v>113223.9</v>
      </c>
      <c r="I1224" s="64"/>
      <c r="J1224" s="18">
        <f t="shared" si="309"/>
        <v>113223.9</v>
      </c>
      <c r="K1224" s="97">
        <f>0.6+13000-3272.2+802.3</f>
        <v>10530.7</v>
      </c>
      <c r="L1224" s="18">
        <f t="shared" si="310"/>
        <v>123754.59999999999</v>
      </c>
      <c r="M1224" s="90">
        <f>3950+3423-722.7</f>
        <v>6650.3</v>
      </c>
      <c r="N1224" s="18">
        <f t="shared" si="334"/>
        <v>130404.9</v>
      </c>
      <c r="O1224" s="90">
        <f>600+254.6+650+409+320</f>
        <v>2233.6</v>
      </c>
      <c r="P1224" s="18">
        <f t="shared" si="335"/>
        <v>132638.5</v>
      </c>
      <c r="Q1224" s="90">
        <v>18542.5</v>
      </c>
      <c r="R1224" s="18">
        <f t="shared" si="336"/>
        <v>151181</v>
      </c>
      <c r="S1224" s="90">
        <f>-1065-1650.9+900+415+677+1040.9+207.7-1000-300-250</f>
        <v>-1025.3</v>
      </c>
      <c r="T1224" s="18">
        <f t="shared" si="337"/>
        <v>150155.70000000001</v>
      </c>
      <c r="U1224" s="90">
        <f>2798.8+1010.4-564.1-9900-1000+1061.8</f>
        <v>-6593.0999999999995</v>
      </c>
      <c r="V1224" s="18">
        <f t="shared" si="338"/>
        <v>143562.6</v>
      </c>
      <c r="W1224" s="159">
        <f>600+1000+1300+5000+3000+74.1+206.4-1.9+982.3</f>
        <v>12160.9</v>
      </c>
      <c r="X1224" s="18">
        <f t="shared" si="339"/>
        <v>155723.5</v>
      </c>
      <c r="Y1224" s="150">
        <f>4120.6-3138.3</f>
        <v>982.30000000000018</v>
      </c>
      <c r="Z1224" s="43">
        <f>X1224+Y1224</f>
        <v>156705.79999999999</v>
      </c>
      <c r="AA1224" s="43"/>
    </row>
    <row r="1225" spans="1:27" ht="36.75" x14ac:dyDescent="0.25">
      <c r="A1225" s="13" t="s">
        <v>589</v>
      </c>
      <c r="B1225" s="66" t="s">
        <v>590</v>
      </c>
      <c r="C1225" s="31"/>
      <c r="D1225" s="19"/>
      <c r="E1225" s="44"/>
      <c r="F1225" s="18"/>
      <c r="G1225" s="47">
        <f>G1226</f>
        <v>200000</v>
      </c>
      <c r="H1225" s="18">
        <f t="shared" si="308"/>
        <v>200000</v>
      </c>
      <c r="I1225" s="47">
        <f>I1226</f>
        <v>0</v>
      </c>
      <c r="J1225" s="18">
        <f t="shared" si="309"/>
        <v>200000</v>
      </c>
      <c r="K1225" s="47">
        <f>K1226</f>
        <v>0</v>
      </c>
      <c r="L1225" s="18">
        <f t="shared" si="310"/>
        <v>200000</v>
      </c>
      <c r="M1225" s="47">
        <f>M1226</f>
        <v>0</v>
      </c>
      <c r="N1225" s="18">
        <f t="shared" si="334"/>
        <v>200000</v>
      </c>
      <c r="O1225" s="47">
        <f>O1226</f>
        <v>78414.8</v>
      </c>
      <c r="P1225" s="18">
        <f t="shared" si="335"/>
        <v>278414.8</v>
      </c>
      <c r="Q1225" s="47">
        <f>Q1226</f>
        <v>0</v>
      </c>
      <c r="R1225" s="18">
        <f t="shared" si="336"/>
        <v>278414.8</v>
      </c>
      <c r="S1225" s="47">
        <f>S1226</f>
        <v>0</v>
      </c>
      <c r="T1225" s="18">
        <f t="shared" si="337"/>
        <v>278414.8</v>
      </c>
      <c r="U1225" s="47">
        <f>U1226</f>
        <v>0</v>
      </c>
      <c r="V1225" s="18">
        <f t="shared" si="338"/>
        <v>278414.8</v>
      </c>
      <c r="W1225" s="47">
        <f>W1226</f>
        <v>0</v>
      </c>
      <c r="X1225" s="18">
        <f t="shared" si="339"/>
        <v>278414.8</v>
      </c>
    </row>
    <row r="1226" spans="1:27" x14ac:dyDescent="0.25">
      <c r="A1226" s="7" t="s">
        <v>54</v>
      </c>
      <c r="B1226" s="60" t="s">
        <v>590</v>
      </c>
      <c r="C1226" s="60" t="s">
        <v>34</v>
      </c>
      <c r="D1226" s="19"/>
      <c r="E1226" s="44"/>
      <c r="F1226" s="18"/>
      <c r="G1226" s="55">
        <v>200000</v>
      </c>
      <c r="H1226" s="18">
        <f t="shared" ref="H1226" si="340">F1226+G1226</f>
        <v>200000</v>
      </c>
      <c r="I1226" s="77"/>
      <c r="J1226" s="18">
        <f t="shared" ref="J1226:J1313" si="341">H1226+I1226</f>
        <v>200000</v>
      </c>
      <c r="K1226" s="77"/>
      <c r="L1226" s="18">
        <f t="shared" ref="L1226:L1313" si="342">J1226+K1226</f>
        <v>200000</v>
      </c>
      <c r="M1226" s="77"/>
      <c r="N1226" s="18">
        <f t="shared" si="334"/>
        <v>200000</v>
      </c>
      <c r="O1226" s="55">
        <f>47174.8+31240</f>
        <v>78414.8</v>
      </c>
      <c r="P1226" s="18">
        <f t="shared" si="335"/>
        <v>278414.8</v>
      </c>
      <c r="Q1226" s="77"/>
      <c r="R1226" s="18">
        <f t="shared" si="336"/>
        <v>278414.8</v>
      </c>
      <c r="S1226" s="77"/>
      <c r="T1226" s="18">
        <f t="shared" si="337"/>
        <v>278414.8</v>
      </c>
      <c r="U1226" s="77"/>
      <c r="V1226" s="18">
        <f t="shared" si="338"/>
        <v>278414.8</v>
      </c>
      <c r="W1226" s="77"/>
      <c r="X1226" s="18">
        <f t="shared" si="339"/>
        <v>278414.8</v>
      </c>
      <c r="Z1226" s="43">
        <f>X1226+Y1226</f>
        <v>278414.8</v>
      </c>
      <c r="AA1226" s="43"/>
    </row>
    <row r="1227" spans="1:27" ht="24.75" x14ac:dyDescent="0.25">
      <c r="A1227" s="13" t="s">
        <v>486</v>
      </c>
      <c r="B1227" s="24" t="s">
        <v>216</v>
      </c>
      <c r="C1227" s="24" t="s">
        <v>2</v>
      </c>
      <c r="D1227" s="18">
        <f t="shared" ref="D1227:W1233" si="343">D1228</f>
        <v>100</v>
      </c>
      <c r="E1227" s="18">
        <f t="shared" si="343"/>
        <v>0</v>
      </c>
      <c r="F1227" s="18">
        <f t="shared" ref="F1227:F1323" si="344">D1227+E1227</f>
        <v>100</v>
      </c>
      <c r="G1227" s="18">
        <f t="shared" si="343"/>
        <v>0</v>
      </c>
      <c r="H1227" s="18">
        <f t="shared" ref="H1227:H1323" si="345">F1227+G1227</f>
        <v>100</v>
      </c>
      <c r="I1227" s="18">
        <f t="shared" si="343"/>
        <v>133.1</v>
      </c>
      <c r="J1227" s="18">
        <f t="shared" si="341"/>
        <v>233.1</v>
      </c>
      <c r="K1227" s="18">
        <f t="shared" si="343"/>
        <v>0</v>
      </c>
      <c r="L1227" s="18">
        <f t="shared" si="342"/>
        <v>233.1</v>
      </c>
      <c r="M1227" s="18">
        <f t="shared" si="343"/>
        <v>10117.699999999999</v>
      </c>
      <c r="N1227" s="18">
        <f t="shared" si="334"/>
        <v>10350.799999999999</v>
      </c>
      <c r="O1227" s="18">
        <f t="shared" si="343"/>
        <v>0</v>
      </c>
      <c r="P1227" s="18">
        <f t="shared" si="335"/>
        <v>10350.799999999999</v>
      </c>
      <c r="Q1227" s="18">
        <f t="shared" si="343"/>
        <v>0</v>
      </c>
      <c r="R1227" s="18">
        <f t="shared" si="336"/>
        <v>10350.799999999999</v>
      </c>
      <c r="S1227" s="18">
        <f t="shared" si="343"/>
        <v>378.5</v>
      </c>
      <c r="T1227" s="18">
        <f t="shared" si="337"/>
        <v>10729.3</v>
      </c>
      <c r="U1227" s="18">
        <f t="shared" si="343"/>
        <v>0</v>
      </c>
      <c r="V1227" s="18">
        <f t="shared" si="338"/>
        <v>10729.3</v>
      </c>
      <c r="W1227" s="18">
        <f t="shared" si="343"/>
        <v>0</v>
      </c>
      <c r="X1227" s="18">
        <f t="shared" si="339"/>
        <v>10729.3</v>
      </c>
    </row>
    <row r="1228" spans="1:27" x14ac:dyDescent="0.25">
      <c r="A1228" s="13" t="s">
        <v>217</v>
      </c>
      <c r="B1228" s="24" t="s">
        <v>218</v>
      </c>
      <c r="C1228" s="24" t="s">
        <v>2</v>
      </c>
      <c r="D1228" s="18">
        <f>D1233</f>
        <v>100</v>
      </c>
      <c r="E1228" s="18">
        <f>E1233</f>
        <v>0</v>
      </c>
      <c r="F1228" s="18">
        <f t="shared" si="344"/>
        <v>100</v>
      </c>
      <c r="G1228" s="18">
        <f>G1233</f>
        <v>0</v>
      </c>
      <c r="H1228" s="18">
        <f t="shared" si="345"/>
        <v>100</v>
      </c>
      <c r="I1228" s="18">
        <f>I1233+I1229</f>
        <v>133.1</v>
      </c>
      <c r="J1228" s="18">
        <f t="shared" si="341"/>
        <v>233.1</v>
      </c>
      <c r="K1228" s="18">
        <f>K1233+K1229</f>
        <v>0</v>
      </c>
      <c r="L1228" s="18">
        <f t="shared" si="342"/>
        <v>233.1</v>
      </c>
      <c r="M1228" s="18">
        <f>M1233+M1229+M1231</f>
        <v>10117.699999999999</v>
      </c>
      <c r="N1228" s="18">
        <f t="shared" si="334"/>
        <v>10350.799999999999</v>
      </c>
      <c r="O1228" s="18">
        <f>O1233+O1229+O1231</f>
        <v>0</v>
      </c>
      <c r="P1228" s="18">
        <f t="shared" si="335"/>
        <v>10350.799999999999</v>
      </c>
      <c r="Q1228" s="18">
        <f>Q1233+Q1229+Q1231</f>
        <v>0</v>
      </c>
      <c r="R1228" s="18">
        <f t="shared" si="336"/>
        <v>10350.799999999999</v>
      </c>
      <c r="S1228" s="18">
        <f>S1233+S1229+S1231</f>
        <v>378.5</v>
      </c>
      <c r="T1228" s="18">
        <f t="shared" si="337"/>
        <v>10729.3</v>
      </c>
      <c r="U1228" s="18">
        <f>U1233+U1229+U1231</f>
        <v>0</v>
      </c>
      <c r="V1228" s="18">
        <f t="shared" si="338"/>
        <v>10729.3</v>
      </c>
      <c r="W1228" s="18">
        <f>W1233+W1229+W1231</f>
        <v>0</v>
      </c>
      <c r="X1228" s="18">
        <f t="shared" si="339"/>
        <v>10729.3</v>
      </c>
    </row>
    <row r="1229" spans="1:27" ht="36.75" x14ac:dyDescent="0.25">
      <c r="A1229" s="33" t="s">
        <v>678</v>
      </c>
      <c r="B1229" s="26" t="s">
        <v>679</v>
      </c>
      <c r="C1229" s="26"/>
      <c r="D1229" s="18"/>
      <c r="E1229" s="18"/>
      <c r="F1229" s="18"/>
      <c r="G1229" s="18"/>
      <c r="H1229" s="18"/>
      <c r="I1229" s="20">
        <f>I1230</f>
        <v>133.1</v>
      </c>
      <c r="J1229" s="18">
        <f t="shared" si="341"/>
        <v>133.1</v>
      </c>
      <c r="K1229" s="20">
        <f>K1230</f>
        <v>0</v>
      </c>
      <c r="L1229" s="18">
        <f t="shared" si="342"/>
        <v>133.1</v>
      </c>
      <c r="M1229" s="20">
        <f>M1230</f>
        <v>10023.4</v>
      </c>
      <c r="N1229" s="18">
        <f t="shared" si="334"/>
        <v>10156.5</v>
      </c>
      <c r="O1229" s="20">
        <f>O1230</f>
        <v>0</v>
      </c>
      <c r="P1229" s="18">
        <f t="shared" si="335"/>
        <v>10156.5</v>
      </c>
      <c r="Q1229" s="20">
        <f>Q1230</f>
        <v>0</v>
      </c>
      <c r="R1229" s="18">
        <f t="shared" si="336"/>
        <v>10156.5</v>
      </c>
      <c r="S1229" s="20">
        <f>S1230</f>
        <v>378.5</v>
      </c>
      <c r="T1229" s="18">
        <f t="shared" si="337"/>
        <v>10535</v>
      </c>
      <c r="U1229" s="20">
        <f>U1230</f>
        <v>0</v>
      </c>
      <c r="V1229" s="18">
        <f t="shared" si="338"/>
        <v>10535</v>
      </c>
      <c r="W1229" s="20">
        <f>W1230</f>
        <v>0</v>
      </c>
      <c r="X1229" s="18">
        <f t="shared" si="339"/>
        <v>10535</v>
      </c>
    </row>
    <row r="1230" spans="1:27" x14ac:dyDescent="0.25">
      <c r="A1230" s="7" t="s">
        <v>54</v>
      </c>
      <c r="B1230" s="27" t="s">
        <v>679</v>
      </c>
      <c r="C1230" s="27" t="s">
        <v>34</v>
      </c>
      <c r="D1230" s="18"/>
      <c r="E1230" s="18"/>
      <c r="F1230" s="18"/>
      <c r="G1230" s="18"/>
      <c r="H1230" s="18"/>
      <c r="I1230" s="45">
        <f>38.5+94.6</f>
        <v>133.1</v>
      </c>
      <c r="J1230" s="18">
        <f t="shared" si="341"/>
        <v>133.1</v>
      </c>
      <c r="K1230" s="64"/>
      <c r="L1230" s="18">
        <f t="shared" si="342"/>
        <v>133.1</v>
      </c>
      <c r="M1230" s="45">
        <f>783.5+9239.9</f>
        <v>10023.4</v>
      </c>
      <c r="N1230" s="18">
        <f t="shared" si="334"/>
        <v>10156.5</v>
      </c>
      <c r="O1230" s="64"/>
      <c r="P1230" s="18">
        <f t="shared" si="335"/>
        <v>10156.5</v>
      </c>
      <c r="Q1230" s="64"/>
      <c r="R1230" s="18">
        <f t="shared" si="336"/>
        <v>10156.5</v>
      </c>
      <c r="S1230" s="122">
        <v>378.5</v>
      </c>
      <c r="T1230" s="18">
        <f t="shared" si="337"/>
        <v>10535</v>
      </c>
      <c r="U1230" s="64"/>
      <c r="V1230" s="18">
        <f t="shared" si="338"/>
        <v>10535</v>
      </c>
      <c r="W1230" s="64"/>
      <c r="X1230" s="18">
        <f t="shared" si="339"/>
        <v>10535</v>
      </c>
      <c r="Z1230" s="43">
        <f>X1230+Y1230</f>
        <v>10535</v>
      </c>
      <c r="AA1230" s="43"/>
    </row>
    <row r="1231" spans="1:27" s="118" customFormat="1" ht="36.75" x14ac:dyDescent="0.25">
      <c r="A1231" s="119" t="s">
        <v>747</v>
      </c>
      <c r="B1231" s="52" t="s">
        <v>782</v>
      </c>
      <c r="C1231" s="86"/>
      <c r="D1231" s="47"/>
      <c r="E1231" s="47"/>
      <c r="F1231" s="47"/>
      <c r="G1231" s="47"/>
      <c r="H1231" s="47"/>
      <c r="I1231" s="64"/>
      <c r="J1231" s="47"/>
      <c r="K1231" s="64"/>
      <c r="L1231" s="47"/>
      <c r="M1231" s="78">
        <f>M1232</f>
        <v>94.3</v>
      </c>
      <c r="N1231" s="18">
        <f t="shared" si="334"/>
        <v>94.3</v>
      </c>
      <c r="O1231" s="78">
        <f>O1232</f>
        <v>0</v>
      </c>
      <c r="P1231" s="18">
        <f t="shared" si="335"/>
        <v>94.3</v>
      </c>
      <c r="Q1231" s="78">
        <f>Q1232</f>
        <v>0</v>
      </c>
      <c r="R1231" s="18">
        <f t="shared" si="336"/>
        <v>94.3</v>
      </c>
      <c r="S1231" s="78">
        <f>S1232</f>
        <v>0</v>
      </c>
      <c r="T1231" s="18">
        <f t="shared" si="337"/>
        <v>94.3</v>
      </c>
      <c r="U1231" s="78">
        <f>U1232</f>
        <v>0</v>
      </c>
      <c r="V1231" s="18">
        <f t="shared" si="338"/>
        <v>94.3</v>
      </c>
      <c r="W1231" s="78">
        <f>W1232</f>
        <v>0</v>
      </c>
      <c r="X1231" s="18">
        <f t="shared" si="339"/>
        <v>94.3</v>
      </c>
      <c r="Y1231" s="163"/>
    </row>
    <row r="1232" spans="1:27" s="118" customFormat="1" x14ac:dyDescent="0.25">
      <c r="A1232" s="7" t="s">
        <v>54</v>
      </c>
      <c r="B1232" s="53" t="s">
        <v>782</v>
      </c>
      <c r="C1232" s="53" t="s">
        <v>34</v>
      </c>
      <c r="D1232" s="47"/>
      <c r="E1232" s="47"/>
      <c r="F1232" s="47"/>
      <c r="G1232" s="47"/>
      <c r="H1232" s="47"/>
      <c r="I1232" s="64"/>
      <c r="J1232" s="47"/>
      <c r="K1232" s="64"/>
      <c r="L1232" s="47"/>
      <c r="M1232" s="92">
        <v>94.3</v>
      </c>
      <c r="N1232" s="18">
        <f t="shared" si="334"/>
        <v>94.3</v>
      </c>
      <c r="O1232" s="77"/>
      <c r="P1232" s="18">
        <f t="shared" si="335"/>
        <v>94.3</v>
      </c>
      <c r="Q1232" s="77"/>
      <c r="R1232" s="18">
        <f t="shared" si="336"/>
        <v>94.3</v>
      </c>
      <c r="S1232" s="77"/>
      <c r="T1232" s="18">
        <f t="shared" si="337"/>
        <v>94.3</v>
      </c>
      <c r="U1232" s="77"/>
      <c r="V1232" s="18">
        <f t="shared" si="338"/>
        <v>94.3</v>
      </c>
      <c r="W1232" s="77"/>
      <c r="X1232" s="18">
        <f t="shared" si="339"/>
        <v>94.3</v>
      </c>
      <c r="Y1232" s="163"/>
      <c r="Z1232" s="43">
        <f>X1232+Y1232</f>
        <v>94.3</v>
      </c>
      <c r="AA1232" s="163"/>
    </row>
    <row r="1233" spans="1:27" ht="24.75" x14ac:dyDescent="0.25">
      <c r="A1233" s="13" t="s">
        <v>219</v>
      </c>
      <c r="B1233" s="24" t="s">
        <v>220</v>
      </c>
      <c r="C1233" s="24" t="s">
        <v>2</v>
      </c>
      <c r="D1233" s="18">
        <f t="shared" si="343"/>
        <v>100</v>
      </c>
      <c r="E1233" s="18">
        <f t="shared" si="343"/>
        <v>0</v>
      </c>
      <c r="F1233" s="18">
        <f t="shared" si="344"/>
        <v>100</v>
      </c>
      <c r="G1233" s="18">
        <f t="shared" si="343"/>
        <v>0</v>
      </c>
      <c r="H1233" s="18">
        <f t="shared" si="345"/>
        <v>100</v>
      </c>
      <c r="I1233" s="18">
        <f t="shared" si="343"/>
        <v>0</v>
      </c>
      <c r="J1233" s="18">
        <f t="shared" si="341"/>
        <v>100</v>
      </c>
      <c r="K1233" s="18">
        <f t="shared" si="343"/>
        <v>0</v>
      </c>
      <c r="L1233" s="18">
        <f t="shared" si="342"/>
        <v>100</v>
      </c>
      <c r="M1233" s="18">
        <f t="shared" si="343"/>
        <v>0</v>
      </c>
      <c r="N1233" s="18">
        <f t="shared" si="334"/>
        <v>100</v>
      </c>
      <c r="O1233" s="18">
        <f t="shared" si="343"/>
        <v>0</v>
      </c>
      <c r="P1233" s="18">
        <f t="shared" si="335"/>
        <v>100</v>
      </c>
      <c r="Q1233" s="18">
        <f t="shared" si="343"/>
        <v>0</v>
      </c>
      <c r="R1233" s="18">
        <f t="shared" si="336"/>
        <v>100</v>
      </c>
      <c r="S1233" s="18">
        <f t="shared" si="343"/>
        <v>0</v>
      </c>
      <c r="T1233" s="18">
        <f t="shared" si="337"/>
        <v>100</v>
      </c>
      <c r="U1233" s="18">
        <f t="shared" si="343"/>
        <v>0</v>
      </c>
      <c r="V1233" s="18">
        <f t="shared" si="338"/>
        <v>100</v>
      </c>
      <c r="W1233" s="18">
        <f t="shared" si="343"/>
        <v>0</v>
      </c>
      <c r="X1233" s="18">
        <f t="shared" si="339"/>
        <v>100</v>
      </c>
    </row>
    <row r="1234" spans="1:27" x14ac:dyDescent="0.25">
      <c r="A1234" s="7" t="s">
        <v>54</v>
      </c>
      <c r="B1234" s="25" t="s">
        <v>220</v>
      </c>
      <c r="C1234" s="25" t="s">
        <v>34</v>
      </c>
      <c r="D1234" s="19">
        <v>100</v>
      </c>
      <c r="E1234" s="19"/>
      <c r="F1234" s="18">
        <f t="shared" si="344"/>
        <v>100</v>
      </c>
      <c r="G1234" s="19"/>
      <c r="H1234" s="18">
        <f t="shared" si="345"/>
        <v>100</v>
      </c>
      <c r="I1234" s="19"/>
      <c r="J1234" s="18">
        <f t="shared" si="341"/>
        <v>100</v>
      </c>
      <c r="K1234" s="19"/>
      <c r="L1234" s="18">
        <f t="shared" si="342"/>
        <v>100</v>
      </c>
      <c r="M1234" s="19"/>
      <c r="N1234" s="18">
        <f t="shared" si="334"/>
        <v>100</v>
      </c>
      <c r="O1234" s="19"/>
      <c r="P1234" s="18">
        <f t="shared" si="335"/>
        <v>100</v>
      </c>
      <c r="Q1234" s="19"/>
      <c r="R1234" s="18">
        <f t="shared" si="336"/>
        <v>100</v>
      </c>
      <c r="S1234" s="64"/>
      <c r="T1234" s="18">
        <f t="shared" si="337"/>
        <v>100</v>
      </c>
      <c r="U1234" s="64"/>
      <c r="V1234" s="18">
        <f t="shared" si="338"/>
        <v>100</v>
      </c>
      <c r="W1234" s="64"/>
      <c r="X1234" s="18">
        <f t="shared" si="339"/>
        <v>100</v>
      </c>
      <c r="Z1234" s="43">
        <f>X1234+Y1234</f>
        <v>100</v>
      </c>
      <c r="AA1234" s="43"/>
    </row>
    <row r="1235" spans="1:27" ht="24.75" x14ac:dyDescent="0.25">
      <c r="A1235" s="16" t="s">
        <v>487</v>
      </c>
      <c r="B1235" s="22" t="s">
        <v>90</v>
      </c>
      <c r="C1235" s="22" t="s">
        <v>2</v>
      </c>
      <c r="D1235" s="17">
        <f t="shared" ref="D1235:W1237" si="346">D1236</f>
        <v>2305</v>
      </c>
      <c r="E1235" s="17">
        <f t="shared" si="346"/>
        <v>0</v>
      </c>
      <c r="F1235" s="17">
        <f t="shared" si="344"/>
        <v>2305</v>
      </c>
      <c r="G1235" s="17">
        <f t="shared" si="346"/>
        <v>0</v>
      </c>
      <c r="H1235" s="17">
        <f t="shared" si="345"/>
        <v>2305</v>
      </c>
      <c r="I1235" s="17">
        <f t="shared" si="346"/>
        <v>0</v>
      </c>
      <c r="J1235" s="17">
        <f t="shared" si="341"/>
        <v>2305</v>
      </c>
      <c r="K1235" s="17">
        <f t="shared" si="346"/>
        <v>0</v>
      </c>
      <c r="L1235" s="17">
        <f t="shared" si="342"/>
        <v>2305</v>
      </c>
      <c r="M1235" s="17">
        <f t="shared" si="346"/>
        <v>0</v>
      </c>
      <c r="N1235" s="17">
        <f t="shared" si="334"/>
        <v>2305</v>
      </c>
      <c r="O1235" s="17">
        <f t="shared" si="346"/>
        <v>0</v>
      </c>
      <c r="P1235" s="17">
        <f t="shared" si="335"/>
        <v>2305</v>
      </c>
      <c r="Q1235" s="17">
        <f t="shared" si="346"/>
        <v>0</v>
      </c>
      <c r="R1235" s="17">
        <f t="shared" si="336"/>
        <v>2305</v>
      </c>
      <c r="S1235" s="17">
        <f t="shared" si="346"/>
        <v>-100</v>
      </c>
      <c r="T1235" s="17">
        <f t="shared" si="337"/>
        <v>2205</v>
      </c>
      <c r="U1235" s="17">
        <f t="shared" si="346"/>
        <v>-427.2</v>
      </c>
      <c r="V1235" s="17">
        <f t="shared" si="338"/>
        <v>1777.8</v>
      </c>
      <c r="W1235" s="17">
        <f t="shared" si="346"/>
        <v>-240.7</v>
      </c>
      <c r="X1235" s="17">
        <f t="shared" si="339"/>
        <v>1537.1</v>
      </c>
    </row>
    <row r="1236" spans="1:27" ht="48.75" x14ac:dyDescent="0.25">
      <c r="A1236" s="13" t="s">
        <v>91</v>
      </c>
      <c r="B1236" s="24" t="s">
        <v>92</v>
      </c>
      <c r="C1236" s="24" t="s">
        <v>2</v>
      </c>
      <c r="D1236" s="18">
        <f t="shared" si="346"/>
        <v>2305</v>
      </c>
      <c r="E1236" s="18">
        <f t="shared" si="346"/>
        <v>0</v>
      </c>
      <c r="F1236" s="18">
        <f t="shared" si="344"/>
        <v>2305</v>
      </c>
      <c r="G1236" s="18">
        <f t="shared" si="346"/>
        <v>0</v>
      </c>
      <c r="H1236" s="18">
        <f t="shared" si="345"/>
        <v>2305</v>
      </c>
      <c r="I1236" s="18">
        <f t="shared" si="346"/>
        <v>0</v>
      </c>
      <c r="J1236" s="18">
        <f t="shared" si="341"/>
        <v>2305</v>
      </c>
      <c r="K1236" s="18">
        <f t="shared" si="346"/>
        <v>0</v>
      </c>
      <c r="L1236" s="18">
        <f t="shared" si="342"/>
        <v>2305</v>
      </c>
      <c r="M1236" s="18">
        <f t="shared" si="346"/>
        <v>0</v>
      </c>
      <c r="N1236" s="18">
        <f t="shared" si="334"/>
        <v>2305</v>
      </c>
      <c r="O1236" s="18">
        <f t="shared" si="346"/>
        <v>0</v>
      </c>
      <c r="P1236" s="18">
        <f t="shared" si="335"/>
        <v>2305</v>
      </c>
      <c r="Q1236" s="18">
        <f t="shared" si="346"/>
        <v>0</v>
      </c>
      <c r="R1236" s="18">
        <f t="shared" si="336"/>
        <v>2305</v>
      </c>
      <c r="S1236" s="18">
        <f t="shared" si="346"/>
        <v>-100</v>
      </c>
      <c r="T1236" s="18">
        <f t="shared" si="337"/>
        <v>2205</v>
      </c>
      <c r="U1236" s="18">
        <f t="shared" si="346"/>
        <v>-427.2</v>
      </c>
      <c r="V1236" s="18">
        <f t="shared" si="338"/>
        <v>1777.8</v>
      </c>
      <c r="W1236" s="18">
        <f t="shared" si="346"/>
        <v>-240.7</v>
      </c>
      <c r="X1236" s="18">
        <f t="shared" si="339"/>
        <v>1537.1</v>
      </c>
    </row>
    <row r="1237" spans="1:27" ht="24.75" x14ac:dyDescent="0.25">
      <c r="A1237" s="13" t="s">
        <v>93</v>
      </c>
      <c r="B1237" s="24" t="s">
        <v>94</v>
      </c>
      <c r="C1237" s="24" t="s">
        <v>2</v>
      </c>
      <c r="D1237" s="18">
        <f t="shared" si="346"/>
        <v>2305</v>
      </c>
      <c r="E1237" s="18">
        <f t="shared" si="346"/>
        <v>0</v>
      </c>
      <c r="F1237" s="18">
        <f t="shared" si="344"/>
        <v>2305</v>
      </c>
      <c r="G1237" s="18">
        <f t="shared" si="346"/>
        <v>0</v>
      </c>
      <c r="H1237" s="18">
        <f t="shared" si="345"/>
        <v>2305</v>
      </c>
      <c r="I1237" s="18">
        <f t="shared" si="346"/>
        <v>0</v>
      </c>
      <c r="J1237" s="18">
        <f t="shared" si="341"/>
        <v>2305</v>
      </c>
      <c r="K1237" s="18">
        <f t="shared" si="346"/>
        <v>0</v>
      </c>
      <c r="L1237" s="18">
        <f t="shared" si="342"/>
        <v>2305</v>
      </c>
      <c r="M1237" s="18">
        <f t="shared" si="346"/>
        <v>0</v>
      </c>
      <c r="N1237" s="18">
        <f t="shared" si="334"/>
        <v>2305</v>
      </c>
      <c r="O1237" s="18">
        <f t="shared" si="346"/>
        <v>0</v>
      </c>
      <c r="P1237" s="18">
        <f t="shared" si="335"/>
        <v>2305</v>
      </c>
      <c r="Q1237" s="18">
        <f t="shared" si="346"/>
        <v>0</v>
      </c>
      <c r="R1237" s="18">
        <f t="shared" si="336"/>
        <v>2305</v>
      </c>
      <c r="S1237" s="18">
        <f t="shared" si="346"/>
        <v>-100</v>
      </c>
      <c r="T1237" s="18">
        <f t="shared" si="337"/>
        <v>2205</v>
      </c>
      <c r="U1237" s="18">
        <f t="shared" si="346"/>
        <v>-427.2</v>
      </c>
      <c r="V1237" s="18">
        <f t="shared" si="338"/>
        <v>1777.8</v>
      </c>
      <c r="W1237" s="18">
        <f t="shared" si="346"/>
        <v>-240.7</v>
      </c>
      <c r="X1237" s="18">
        <f t="shared" si="339"/>
        <v>1537.1</v>
      </c>
    </row>
    <row r="1238" spans="1:27" x14ac:dyDescent="0.25">
      <c r="A1238" s="7" t="s">
        <v>54</v>
      </c>
      <c r="B1238" s="25" t="s">
        <v>94</v>
      </c>
      <c r="C1238" s="25" t="s">
        <v>34</v>
      </c>
      <c r="D1238" s="19">
        <f>1261.1+1505-461.1</f>
        <v>2305</v>
      </c>
      <c r="E1238" s="19"/>
      <c r="F1238" s="18">
        <f t="shared" si="344"/>
        <v>2305</v>
      </c>
      <c r="G1238" s="19"/>
      <c r="H1238" s="18">
        <f t="shared" si="345"/>
        <v>2305</v>
      </c>
      <c r="I1238" s="19"/>
      <c r="J1238" s="18">
        <f t="shared" si="341"/>
        <v>2305</v>
      </c>
      <c r="K1238" s="19"/>
      <c r="L1238" s="18">
        <f t="shared" si="342"/>
        <v>2305</v>
      </c>
      <c r="M1238" s="19"/>
      <c r="N1238" s="18">
        <f t="shared" si="334"/>
        <v>2305</v>
      </c>
      <c r="O1238" s="19"/>
      <c r="P1238" s="18">
        <f t="shared" si="335"/>
        <v>2305</v>
      </c>
      <c r="Q1238" s="19"/>
      <c r="R1238" s="18">
        <f t="shared" si="336"/>
        <v>2305</v>
      </c>
      <c r="S1238" s="44">
        <v>-100</v>
      </c>
      <c r="T1238" s="18">
        <f t="shared" si="337"/>
        <v>2205</v>
      </c>
      <c r="U1238" s="44">
        <f>-347.2-80</f>
        <v>-427.2</v>
      </c>
      <c r="V1238" s="18">
        <f t="shared" si="338"/>
        <v>1777.8</v>
      </c>
      <c r="W1238" s="44">
        <v>-240.7</v>
      </c>
      <c r="X1238" s="18">
        <f t="shared" si="339"/>
        <v>1537.1</v>
      </c>
      <c r="Y1238" s="43">
        <v>-240.7</v>
      </c>
      <c r="Z1238" s="43">
        <f>X1238+Y1238</f>
        <v>1296.3999999999999</v>
      </c>
      <c r="AA1238" s="43"/>
    </row>
    <row r="1239" spans="1:27" ht="24.75" x14ac:dyDescent="0.25">
      <c r="A1239" s="16" t="s">
        <v>488</v>
      </c>
      <c r="B1239" s="22" t="s">
        <v>114</v>
      </c>
      <c r="C1239" s="22" t="s">
        <v>2</v>
      </c>
      <c r="D1239" s="17">
        <f>D1240+D1250</f>
        <v>38498.6</v>
      </c>
      <c r="E1239" s="17">
        <f>E1240+E1250</f>
        <v>9570</v>
      </c>
      <c r="F1239" s="17">
        <f t="shared" si="344"/>
        <v>48068.6</v>
      </c>
      <c r="G1239" s="17">
        <f>G1240+G1250</f>
        <v>0</v>
      </c>
      <c r="H1239" s="17">
        <f t="shared" si="345"/>
        <v>48068.6</v>
      </c>
      <c r="I1239" s="17">
        <f>I1240+I1250</f>
        <v>0</v>
      </c>
      <c r="J1239" s="17">
        <f t="shared" si="341"/>
        <v>48068.6</v>
      </c>
      <c r="K1239" s="17">
        <f>K1240+K1250</f>
        <v>825.4</v>
      </c>
      <c r="L1239" s="17">
        <f t="shared" si="342"/>
        <v>48894</v>
      </c>
      <c r="M1239" s="17">
        <f>M1240+M1250</f>
        <v>1726.8</v>
      </c>
      <c r="N1239" s="17">
        <f t="shared" si="334"/>
        <v>50620.800000000003</v>
      </c>
      <c r="O1239" s="17">
        <f>O1240+O1250</f>
        <v>0</v>
      </c>
      <c r="P1239" s="17">
        <f t="shared" si="335"/>
        <v>50620.800000000003</v>
      </c>
      <c r="Q1239" s="17">
        <f>Q1240+Q1250</f>
        <v>3453.5</v>
      </c>
      <c r="R1239" s="17">
        <f t="shared" si="336"/>
        <v>54074.3</v>
      </c>
      <c r="S1239" s="17">
        <f>S1240+S1250</f>
        <v>2570.5</v>
      </c>
      <c r="T1239" s="17">
        <f t="shared" si="337"/>
        <v>56644.800000000003</v>
      </c>
      <c r="U1239" s="17">
        <f>U1240+U1250</f>
        <v>508.30000000000007</v>
      </c>
      <c r="V1239" s="17">
        <f t="shared" si="338"/>
        <v>57153.100000000006</v>
      </c>
      <c r="W1239" s="17">
        <f>W1240+W1250</f>
        <v>-1328.9</v>
      </c>
      <c r="X1239" s="17">
        <f t="shared" si="339"/>
        <v>55824.200000000004</v>
      </c>
    </row>
    <row r="1240" spans="1:27" ht="24.75" x14ac:dyDescent="0.25">
      <c r="A1240" s="13" t="s">
        <v>489</v>
      </c>
      <c r="B1240" s="24" t="s">
        <v>134</v>
      </c>
      <c r="C1240" s="24" t="s">
        <v>2</v>
      </c>
      <c r="D1240" s="18">
        <f>D1241</f>
        <v>179</v>
      </c>
      <c r="E1240" s="18">
        <f>E1241</f>
        <v>0</v>
      </c>
      <c r="F1240" s="18">
        <f t="shared" si="344"/>
        <v>179</v>
      </c>
      <c r="G1240" s="18">
        <f>G1241</f>
        <v>0</v>
      </c>
      <c r="H1240" s="18">
        <f t="shared" si="345"/>
        <v>179</v>
      </c>
      <c r="I1240" s="18">
        <f>I1241</f>
        <v>0</v>
      </c>
      <c r="J1240" s="18">
        <f t="shared" si="341"/>
        <v>179</v>
      </c>
      <c r="K1240" s="18">
        <f>K1241</f>
        <v>0</v>
      </c>
      <c r="L1240" s="18">
        <f t="shared" si="342"/>
        <v>179</v>
      </c>
      <c r="M1240" s="18">
        <f>M1241</f>
        <v>0</v>
      </c>
      <c r="N1240" s="18">
        <f t="shared" si="334"/>
        <v>179</v>
      </c>
      <c r="O1240" s="18">
        <f>O1241</f>
        <v>0</v>
      </c>
      <c r="P1240" s="18">
        <f t="shared" si="335"/>
        <v>179</v>
      </c>
      <c r="Q1240" s="18">
        <f>Q1241</f>
        <v>0</v>
      </c>
      <c r="R1240" s="18">
        <f t="shared" si="336"/>
        <v>179</v>
      </c>
      <c r="S1240" s="18">
        <f>S1241</f>
        <v>0</v>
      </c>
      <c r="T1240" s="18">
        <f t="shared" si="337"/>
        <v>179</v>
      </c>
      <c r="U1240" s="18">
        <f>U1241</f>
        <v>0</v>
      </c>
      <c r="V1240" s="18">
        <f t="shared" si="338"/>
        <v>179</v>
      </c>
      <c r="W1240" s="18">
        <f>W1241</f>
        <v>15</v>
      </c>
      <c r="X1240" s="18">
        <f t="shared" si="339"/>
        <v>194</v>
      </c>
    </row>
    <row r="1241" spans="1:27" x14ac:dyDescent="0.25">
      <c r="A1241" s="13" t="s">
        <v>135</v>
      </c>
      <c r="B1241" s="24" t="s">
        <v>136</v>
      </c>
      <c r="C1241" s="24" t="s">
        <v>2</v>
      </c>
      <c r="D1241" s="18">
        <f>D1244</f>
        <v>179</v>
      </c>
      <c r="E1241" s="18">
        <f>E1244</f>
        <v>0</v>
      </c>
      <c r="F1241" s="18">
        <f t="shared" si="344"/>
        <v>179</v>
      </c>
      <c r="G1241" s="18">
        <f>G1244</f>
        <v>0</v>
      </c>
      <c r="H1241" s="18">
        <f t="shared" si="345"/>
        <v>179</v>
      </c>
      <c r="I1241" s="18">
        <f>I1244</f>
        <v>0</v>
      </c>
      <c r="J1241" s="18">
        <f t="shared" si="341"/>
        <v>179</v>
      </c>
      <c r="K1241" s="18">
        <f>K1244</f>
        <v>0</v>
      </c>
      <c r="L1241" s="18">
        <f t="shared" si="342"/>
        <v>179</v>
      </c>
      <c r="M1241" s="18">
        <f>M1244</f>
        <v>0</v>
      </c>
      <c r="N1241" s="18">
        <f t="shared" si="334"/>
        <v>179</v>
      </c>
      <c r="O1241" s="18">
        <f>O1244</f>
        <v>0</v>
      </c>
      <c r="P1241" s="18">
        <f t="shared" si="335"/>
        <v>179</v>
      </c>
      <c r="Q1241" s="18">
        <f>Q1244</f>
        <v>0</v>
      </c>
      <c r="R1241" s="18">
        <f t="shared" si="336"/>
        <v>179</v>
      </c>
      <c r="S1241" s="18">
        <f>S1244</f>
        <v>0</v>
      </c>
      <c r="T1241" s="18">
        <f t="shared" si="337"/>
        <v>179</v>
      </c>
      <c r="U1241" s="18">
        <f>U1244</f>
        <v>0</v>
      </c>
      <c r="V1241" s="18">
        <f t="shared" si="338"/>
        <v>179</v>
      </c>
      <c r="W1241" s="18">
        <f>W1244+W1242+W1248</f>
        <v>15</v>
      </c>
      <c r="X1241" s="18">
        <f t="shared" si="339"/>
        <v>194</v>
      </c>
    </row>
    <row r="1242" spans="1:27" x14ac:dyDescent="0.25">
      <c r="A1242" s="33" t="s">
        <v>1308</v>
      </c>
      <c r="B1242" s="26" t="s">
        <v>1309</v>
      </c>
      <c r="C1242" s="26" t="s">
        <v>2</v>
      </c>
      <c r="D1242" s="18"/>
      <c r="E1242" s="18"/>
      <c r="F1242" s="18"/>
      <c r="G1242" s="18"/>
      <c r="H1242" s="18"/>
      <c r="I1242" s="18"/>
      <c r="J1242" s="18"/>
      <c r="K1242" s="18"/>
      <c r="L1242" s="18"/>
      <c r="M1242" s="18"/>
      <c r="N1242" s="18"/>
      <c r="O1242" s="18"/>
      <c r="P1242" s="18"/>
      <c r="Q1242" s="18"/>
      <c r="R1242" s="18"/>
      <c r="S1242" s="18"/>
      <c r="T1242" s="18"/>
      <c r="U1242" s="18"/>
      <c r="V1242" s="18"/>
      <c r="W1242" s="18">
        <f>W1243</f>
        <v>15</v>
      </c>
      <c r="X1242" s="18">
        <f t="shared" si="339"/>
        <v>15</v>
      </c>
    </row>
    <row r="1243" spans="1:27" x14ac:dyDescent="0.25">
      <c r="A1243" s="7" t="s">
        <v>54</v>
      </c>
      <c r="B1243" s="27" t="s">
        <v>1309</v>
      </c>
      <c r="C1243" s="27" t="s">
        <v>34</v>
      </c>
      <c r="D1243" s="18"/>
      <c r="E1243" s="18"/>
      <c r="F1243" s="18"/>
      <c r="G1243" s="18"/>
      <c r="H1243" s="18"/>
      <c r="I1243" s="18"/>
      <c r="J1243" s="18"/>
      <c r="K1243" s="18"/>
      <c r="L1243" s="18"/>
      <c r="M1243" s="18"/>
      <c r="N1243" s="18"/>
      <c r="O1243" s="18"/>
      <c r="P1243" s="18"/>
      <c r="Q1243" s="18"/>
      <c r="R1243" s="18"/>
      <c r="S1243" s="18"/>
      <c r="T1243" s="18"/>
      <c r="U1243" s="18"/>
      <c r="V1243" s="18"/>
      <c r="W1243" s="45">
        <v>15</v>
      </c>
      <c r="X1243" s="18">
        <f t="shared" si="339"/>
        <v>15</v>
      </c>
      <c r="Z1243" s="43">
        <f>X1243+Y1243</f>
        <v>15</v>
      </c>
      <c r="AA1243" s="43"/>
    </row>
    <row r="1244" spans="1:27" x14ac:dyDescent="0.25">
      <c r="A1244" s="13" t="s">
        <v>137</v>
      </c>
      <c r="B1244" s="24" t="s">
        <v>138</v>
      </c>
      <c r="C1244" s="24" t="s">
        <v>2</v>
      </c>
      <c r="D1244" s="18">
        <f>D1245+D1246+D1247</f>
        <v>179</v>
      </c>
      <c r="E1244" s="18">
        <f>E1245+E1246+E1247</f>
        <v>0</v>
      </c>
      <c r="F1244" s="18">
        <f t="shared" si="344"/>
        <v>179</v>
      </c>
      <c r="G1244" s="18">
        <f>G1245+G1246+G1247</f>
        <v>0</v>
      </c>
      <c r="H1244" s="18">
        <f t="shared" si="345"/>
        <v>179</v>
      </c>
      <c r="I1244" s="18">
        <f>I1245+I1246+I1247</f>
        <v>0</v>
      </c>
      <c r="J1244" s="18">
        <f t="shared" si="341"/>
        <v>179</v>
      </c>
      <c r="K1244" s="18">
        <f>K1245+K1246+K1247</f>
        <v>0</v>
      </c>
      <c r="L1244" s="18">
        <f t="shared" si="342"/>
        <v>179</v>
      </c>
      <c r="M1244" s="18">
        <f>M1245+M1246+M1247</f>
        <v>0</v>
      </c>
      <c r="N1244" s="18">
        <f t="shared" si="334"/>
        <v>179</v>
      </c>
      <c r="O1244" s="18">
        <f>O1245+O1246+O1247</f>
        <v>0</v>
      </c>
      <c r="P1244" s="18">
        <f t="shared" si="335"/>
        <v>179</v>
      </c>
      <c r="Q1244" s="18">
        <f>Q1245+Q1246+Q1247</f>
        <v>0</v>
      </c>
      <c r="R1244" s="18">
        <f t="shared" si="336"/>
        <v>179</v>
      </c>
      <c r="S1244" s="18">
        <f>S1245+S1246+S1247</f>
        <v>0</v>
      </c>
      <c r="T1244" s="18">
        <f t="shared" si="337"/>
        <v>179</v>
      </c>
      <c r="U1244" s="18">
        <f>U1245+U1246+U1247</f>
        <v>0</v>
      </c>
      <c r="V1244" s="18">
        <f t="shared" si="338"/>
        <v>179</v>
      </c>
      <c r="W1244" s="18">
        <f>W1245+W1246+W1247</f>
        <v>-0.2</v>
      </c>
      <c r="X1244" s="18">
        <f t="shared" si="339"/>
        <v>178.8</v>
      </c>
    </row>
    <row r="1245" spans="1:27" hidden="1" x14ac:dyDescent="0.25">
      <c r="A1245" s="7" t="s">
        <v>54</v>
      </c>
      <c r="B1245" s="25" t="s">
        <v>138</v>
      </c>
      <c r="C1245" s="25" t="s">
        <v>33</v>
      </c>
      <c r="D1245" s="19">
        <v>30</v>
      </c>
      <c r="E1245" s="19"/>
      <c r="F1245" s="18">
        <f t="shared" si="344"/>
        <v>30</v>
      </c>
      <c r="G1245" s="19"/>
      <c r="H1245" s="18">
        <f t="shared" si="345"/>
        <v>30</v>
      </c>
      <c r="I1245" s="19"/>
      <c r="J1245" s="18">
        <f t="shared" si="341"/>
        <v>30</v>
      </c>
      <c r="K1245" s="19"/>
      <c r="L1245" s="18">
        <f t="shared" si="342"/>
        <v>30</v>
      </c>
      <c r="M1245" s="62">
        <v>-30</v>
      </c>
      <c r="N1245" s="18">
        <f t="shared" si="334"/>
        <v>0</v>
      </c>
      <c r="O1245" s="64"/>
      <c r="P1245" s="18">
        <f t="shared" si="335"/>
        <v>0</v>
      </c>
      <c r="Q1245" s="64"/>
      <c r="R1245" s="18">
        <f t="shared" si="336"/>
        <v>0</v>
      </c>
      <c r="S1245" s="64"/>
      <c r="T1245" s="18">
        <f t="shared" si="337"/>
        <v>0</v>
      </c>
      <c r="U1245" s="64"/>
      <c r="V1245" s="18">
        <f t="shared" si="338"/>
        <v>0</v>
      </c>
      <c r="W1245" s="64"/>
      <c r="X1245" s="18">
        <f t="shared" si="339"/>
        <v>0</v>
      </c>
      <c r="Z1245" s="43">
        <f t="shared" ref="Z1245:Z1247" si="347">X1245+Y1245</f>
        <v>0</v>
      </c>
      <c r="AA1245" s="43"/>
    </row>
    <row r="1246" spans="1:27" x14ac:dyDescent="0.25">
      <c r="A1246" s="7" t="s">
        <v>54</v>
      </c>
      <c r="B1246" s="25" t="s">
        <v>138</v>
      </c>
      <c r="C1246" s="25" t="s">
        <v>34</v>
      </c>
      <c r="D1246" s="19">
        <v>19</v>
      </c>
      <c r="E1246" s="19"/>
      <c r="F1246" s="18">
        <f t="shared" si="344"/>
        <v>19</v>
      </c>
      <c r="G1246" s="19"/>
      <c r="H1246" s="18">
        <f t="shared" si="345"/>
        <v>19</v>
      </c>
      <c r="I1246" s="19"/>
      <c r="J1246" s="18">
        <f t="shared" si="341"/>
        <v>19</v>
      </c>
      <c r="K1246" s="19"/>
      <c r="L1246" s="18">
        <f t="shared" si="342"/>
        <v>19</v>
      </c>
      <c r="M1246" s="62">
        <v>30</v>
      </c>
      <c r="N1246" s="18">
        <f t="shared" si="334"/>
        <v>49</v>
      </c>
      <c r="O1246" s="64"/>
      <c r="P1246" s="18">
        <f t="shared" si="335"/>
        <v>49</v>
      </c>
      <c r="Q1246" s="64"/>
      <c r="R1246" s="18">
        <f t="shared" si="336"/>
        <v>49</v>
      </c>
      <c r="S1246" s="64"/>
      <c r="T1246" s="18">
        <f t="shared" si="337"/>
        <v>49</v>
      </c>
      <c r="U1246" s="96">
        <v>5</v>
      </c>
      <c r="V1246" s="18">
        <f t="shared" si="338"/>
        <v>54</v>
      </c>
      <c r="W1246" s="64"/>
      <c r="X1246" s="18">
        <f t="shared" si="339"/>
        <v>54</v>
      </c>
      <c r="Z1246" s="43">
        <f t="shared" si="347"/>
        <v>54</v>
      </c>
      <c r="AA1246" s="43"/>
    </row>
    <row r="1247" spans="1:27" x14ac:dyDescent="0.25">
      <c r="A1247" s="10" t="s">
        <v>508</v>
      </c>
      <c r="B1247" s="25" t="s">
        <v>138</v>
      </c>
      <c r="C1247" s="25" t="s">
        <v>128</v>
      </c>
      <c r="D1247" s="19">
        <v>130</v>
      </c>
      <c r="E1247" s="19"/>
      <c r="F1247" s="18">
        <f t="shared" si="344"/>
        <v>130</v>
      </c>
      <c r="G1247" s="19"/>
      <c r="H1247" s="18">
        <f t="shared" si="345"/>
        <v>130</v>
      </c>
      <c r="I1247" s="19"/>
      <c r="J1247" s="18">
        <f t="shared" si="341"/>
        <v>130</v>
      </c>
      <c r="K1247" s="19"/>
      <c r="L1247" s="18">
        <f t="shared" si="342"/>
        <v>130</v>
      </c>
      <c r="M1247" s="19"/>
      <c r="N1247" s="18">
        <f t="shared" si="334"/>
        <v>130</v>
      </c>
      <c r="O1247" s="19"/>
      <c r="P1247" s="18">
        <f t="shared" si="335"/>
        <v>130</v>
      </c>
      <c r="Q1247" s="19"/>
      <c r="R1247" s="18">
        <f t="shared" si="336"/>
        <v>130</v>
      </c>
      <c r="S1247" s="64"/>
      <c r="T1247" s="18">
        <f t="shared" si="337"/>
        <v>130</v>
      </c>
      <c r="U1247" s="96">
        <v>-5</v>
      </c>
      <c r="V1247" s="18">
        <f t="shared" si="338"/>
        <v>125</v>
      </c>
      <c r="W1247" s="44">
        <v>-0.2</v>
      </c>
      <c r="X1247" s="18">
        <f t="shared" si="339"/>
        <v>124.8</v>
      </c>
      <c r="Y1247" s="43">
        <v>-0.2</v>
      </c>
      <c r="Z1247" s="43">
        <f t="shared" si="347"/>
        <v>124.6</v>
      </c>
      <c r="AA1247" s="43"/>
    </row>
    <row r="1248" spans="1:27" ht="24.75" x14ac:dyDescent="0.25">
      <c r="A1248" s="33" t="s">
        <v>1310</v>
      </c>
      <c r="B1248" s="26" t="s">
        <v>1311</v>
      </c>
      <c r="C1248" s="26" t="s">
        <v>2</v>
      </c>
      <c r="D1248" s="19"/>
      <c r="E1248" s="19"/>
      <c r="F1248" s="18"/>
      <c r="G1248" s="19"/>
      <c r="H1248" s="18"/>
      <c r="I1248" s="19"/>
      <c r="J1248" s="18"/>
      <c r="K1248" s="19"/>
      <c r="L1248" s="18"/>
      <c r="M1248" s="19"/>
      <c r="N1248" s="18"/>
      <c r="O1248" s="19"/>
      <c r="P1248" s="18"/>
      <c r="Q1248" s="19"/>
      <c r="R1248" s="18"/>
      <c r="S1248" s="64"/>
      <c r="T1248" s="18"/>
      <c r="U1248" s="96"/>
      <c r="V1248" s="18"/>
      <c r="W1248" s="47">
        <f>W1249</f>
        <v>0.2</v>
      </c>
      <c r="X1248" s="18">
        <f t="shared" si="339"/>
        <v>0.2</v>
      </c>
      <c r="Z1248" s="43"/>
    </row>
    <row r="1249" spans="1:27" x14ac:dyDescent="0.25">
      <c r="A1249" s="7" t="s">
        <v>54</v>
      </c>
      <c r="B1249" s="27" t="s">
        <v>1311</v>
      </c>
      <c r="C1249" s="27" t="s">
        <v>34</v>
      </c>
      <c r="D1249" s="19"/>
      <c r="E1249" s="19"/>
      <c r="F1249" s="18"/>
      <c r="G1249" s="19"/>
      <c r="H1249" s="18"/>
      <c r="I1249" s="19"/>
      <c r="J1249" s="18"/>
      <c r="K1249" s="19"/>
      <c r="L1249" s="18"/>
      <c r="M1249" s="19"/>
      <c r="N1249" s="18"/>
      <c r="O1249" s="19"/>
      <c r="P1249" s="18"/>
      <c r="Q1249" s="19"/>
      <c r="R1249" s="18"/>
      <c r="S1249" s="64"/>
      <c r="T1249" s="18"/>
      <c r="U1249" s="96"/>
      <c r="V1249" s="18"/>
      <c r="W1249" s="44">
        <v>0.2</v>
      </c>
      <c r="X1249" s="18">
        <f t="shared" si="339"/>
        <v>0.2</v>
      </c>
      <c r="Y1249" s="43">
        <v>0.2</v>
      </c>
      <c r="Z1249" s="43">
        <f>X1249+Y1249</f>
        <v>0.4</v>
      </c>
      <c r="AA1249" s="43"/>
    </row>
    <row r="1250" spans="1:27" ht="24.75" x14ac:dyDescent="0.25">
      <c r="A1250" s="13" t="s">
        <v>490</v>
      </c>
      <c r="B1250" s="24" t="s">
        <v>115</v>
      </c>
      <c r="C1250" s="24" t="s">
        <v>2</v>
      </c>
      <c r="D1250" s="18">
        <f>D1251+D1258+D1263+D1278</f>
        <v>38319.599999999999</v>
      </c>
      <c r="E1250" s="18">
        <f>E1251+E1258+E1263+E1278</f>
        <v>9570</v>
      </c>
      <c r="F1250" s="18">
        <f t="shared" si="344"/>
        <v>47889.599999999999</v>
      </c>
      <c r="G1250" s="18">
        <f>G1251+G1258+G1263+G1278</f>
        <v>0</v>
      </c>
      <c r="H1250" s="18">
        <f t="shared" si="345"/>
        <v>47889.599999999999</v>
      </c>
      <c r="I1250" s="18">
        <f>I1251+I1258+I1263+I1278</f>
        <v>0</v>
      </c>
      <c r="J1250" s="18">
        <f t="shared" si="341"/>
        <v>47889.599999999999</v>
      </c>
      <c r="K1250" s="18">
        <f>K1251+K1258+K1263+K1278</f>
        <v>825.4</v>
      </c>
      <c r="L1250" s="18">
        <f t="shared" si="342"/>
        <v>48715</v>
      </c>
      <c r="M1250" s="18">
        <f>M1251+M1258+M1263+M1278</f>
        <v>1726.8</v>
      </c>
      <c r="N1250" s="18">
        <f t="shared" si="334"/>
        <v>50441.8</v>
      </c>
      <c r="O1250" s="18">
        <f>O1251+O1258+O1263+O1278</f>
        <v>0</v>
      </c>
      <c r="P1250" s="18">
        <f t="shared" si="335"/>
        <v>50441.8</v>
      </c>
      <c r="Q1250" s="18">
        <f>Q1251+Q1258+Q1263+Q1278</f>
        <v>3453.5</v>
      </c>
      <c r="R1250" s="18">
        <f t="shared" si="336"/>
        <v>53895.3</v>
      </c>
      <c r="S1250" s="18">
        <f>S1251+S1258+S1263+S1278</f>
        <v>2570.5</v>
      </c>
      <c r="T1250" s="18">
        <f t="shared" si="337"/>
        <v>56465.8</v>
      </c>
      <c r="U1250" s="18">
        <f>U1251+U1258+U1263+U1278</f>
        <v>508.30000000000007</v>
      </c>
      <c r="V1250" s="18">
        <f t="shared" si="338"/>
        <v>56974.100000000006</v>
      </c>
      <c r="W1250" s="18">
        <f>W1251+W1258+W1263+W1278</f>
        <v>-1343.9</v>
      </c>
      <c r="X1250" s="18">
        <f t="shared" si="339"/>
        <v>55630.200000000004</v>
      </c>
    </row>
    <row r="1251" spans="1:27" ht="36.75" x14ac:dyDescent="0.25">
      <c r="A1251" s="13" t="s">
        <v>124</v>
      </c>
      <c r="B1251" s="24" t="s">
        <v>125</v>
      </c>
      <c r="C1251" s="24" t="s">
        <v>2</v>
      </c>
      <c r="D1251" s="18">
        <f>D1252+D1256</f>
        <v>9256.5</v>
      </c>
      <c r="E1251" s="18">
        <f>E1252+E1256</f>
        <v>0</v>
      </c>
      <c r="F1251" s="18">
        <f t="shared" si="344"/>
        <v>9256.5</v>
      </c>
      <c r="G1251" s="18">
        <f>G1252+G1256</f>
        <v>0</v>
      </c>
      <c r="H1251" s="18">
        <f t="shared" si="345"/>
        <v>9256.5</v>
      </c>
      <c r="I1251" s="18">
        <f>I1252+I1256</f>
        <v>0</v>
      </c>
      <c r="J1251" s="18">
        <f t="shared" si="341"/>
        <v>9256.5</v>
      </c>
      <c r="K1251" s="18">
        <f>K1252+K1256</f>
        <v>5</v>
      </c>
      <c r="L1251" s="18">
        <f t="shared" si="342"/>
        <v>9261.5</v>
      </c>
      <c r="M1251" s="18">
        <f>M1252+M1256</f>
        <v>1381.1</v>
      </c>
      <c r="N1251" s="18">
        <f t="shared" si="334"/>
        <v>10642.6</v>
      </c>
      <c r="O1251" s="18">
        <f>O1252+O1256</f>
        <v>0</v>
      </c>
      <c r="P1251" s="18">
        <f t="shared" si="335"/>
        <v>10642.6</v>
      </c>
      <c r="Q1251" s="18">
        <f>Q1252+Q1256</f>
        <v>1.7999999999999989</v>
      </c>
      <c r="R1251" s="18">
        <f t="shared" si="336"/>
        <v>10644.4</v>
      </c>
      <c r="S1251" s="18">
        <f>S1252+S1256</f>
        <v>90.7</v>
      </c>
      <c r="T1251" s="18">
        <f t="shared" si="337"/>
        <v>10735.1</v>
      </c>
      <c r="U1251" s="18">
        <f>U1252+U1256</f>
        <v>-332.9</v>
      </c>
      <c r="V1251" s="18">
        <f t="shared" si="338"/>
        <v>10402.200000000001</v>
      </c>
      <c r="W1251" s="18">
        <f>W1252+W1256</f>
        <v>-444.69999999999993</v>
      </c>
      <c r="X1251" s="18">
        <f t="shared" si="339"/>
        <v>9957.5</v>
      </c>
    </row>
    <row r="1252" spans="1:27" x14ac:dyDescent="0.25">
      <c r="A1252" s="13" t="s">
        <v>126</v>
      </c>
      <c r="B1252" s="24" t="s">
        <v>127</v>
      </c>
      <c r="C1252" s="24" t="s">
        <v>2</v>
      </c>
      <c r="D1252" s="18">
        <f>D1253+D1255+D1254</f>
        <v>6259.1</v>
      </c>
      <c r="E1252" s="18">
        <f>E1253+E1255+E1254</f>
        <v>0</v>
      </c>
      <c r="F1252" s="18">
        <f t="shared" si="344"/>
        <v>6259.1</v>
      </c>
      <c r="G1252" s="18">
        <f>G1253+G1255+G1254</f>
        <v>0</v>
      </c>
      <c r="H1252" s="18">
        <f t="shared" si="345"/>
        <v>6259.1</v>
      </c>
      <c r="I1252" s="18">
        <f>I1253+I1255+I1254</f>
        <v>0</v>
      </c>
      <c r="J1252" s="18">
        <f t="shared" si="341"/>
        <v>6259.1</v>
      </c>
      <c r="K1252" s="18">
        <f>K1253+K1255+K1254</f>
        <v>5</v>
      </c>
      <c r="L1252" s="18">
        <f t="shared" si="342"/>
        <v>6264.1</v>
      </c>
      <c r="M1252" s="18">
        <f>M1253+M1255+M1254</f>
        <v>1381.1</v>
      </c>
      <c r="N1252" s="18">
        <f t="shared" si="334"/>
        <v>7645.2000000000007</v>
      </c>
      <c r="O1252" s="18">
        <f>O1253+O1255+O1254</f>
        <v>0</v>
      </c>
      <c r="P1252" s="18">
        <f t="shared" si="335"/>
        <v>7645.2000000000007</v>
      </c>
      <c r="Q1252" s="18">
        <f>Q1253+Q1255+Q1254</f>
        <v>1.7999999999999989</v>
      </c>
      <c r="R1252" s="18">
        <f t="shared" si="336"/>
        <v>7647.0000000000009</v>
      </c>
      <c r="S1252" s="18">
        <f>S1253+S1255+S1254</f>
        <v>90.7</v>
      </c>
      <c r="T1252" s="18">
        <f t="shared" si="337"/>
        <v>7737.7000000000007</v>
      </c>
      <c r="U1252" s="155">
        <f>U1253+U1255+U1254</f>
        <v>-332.9</v>
      </c>
      <c r="V1252" s="18">
        <f t="shared" si="338"/>
        <v>7404.8000000000011</v>
      </c>
      <c r="W1252" s="155">
        <f>W1253+W1255+W1254</f>
        <v>-173.29999999999998</v>
      </c>
      <c r="X1252" s="18">
        <f t="shared" si="339"/>
        <v>7231.5000000000009</v>
      </c>
    </row>
    <row r="1253" spans="1:27" x14ac:dyDescent="0.25">
      <c r="A1253" s="7" t="s">
        <v>54</v>
      </c>
      <c r="B1253" s="25" t="s">
        <v>127</v>
      </c>
      <c r="C1253" s="25" t="s">
        <v>34</v>
      </c>
      <c r="D1253" s="19">
        <f>5486+650-435.8</f>
        <v>5700.2</v>
      </c>
      <c r="E1253" s="19"/>
      <c r="F1253" s="18">
        <f t="shared" si="344"/>
        <v>5700.2</v>
      </c>
      <c r="G1253" s="19"/>
      <c r="H1253" s="18">
        <f t="shared" si="345"/>
        <v>5700.2</v>
      </c>
      <c r="I1253" s="19"/>
      <c r="J1253" s="18">
        <f t="shared" si="341"/>
        <v>5700.2</v>
      </c>
      <c r="K1253" s="106">
        <v>5</v>
      </c>
      <c r="L1253" s="18">
        <f t="shared" si="342"/>
        <v>5705.2</v>
      </c>
      <c r="M1253" s="81">
        <f>1241.8+789.3-650</f>
        <v>1381.1</v>
      </c>
      <c r="N1253" s="18">
        <f t="shared" si="334"/>
        <v>7086.2999999999993</v>
      </c>
      <c r="O1253" s="64"/>
      <c r="P1253" s="18">
        <f t="shared" si="335"/>
        <v>7086.2999999999993</v>
      </c>
      <c r="Q1253" s="44">
        <v>-14.9</v>
      </c>
      <c r="R1253" s="18">
        <f t="shared" si="336"/>
        <v>7071.4</v>
      </c>
      <c r="S1253" s="44">
        <f>90.7-5</f>
        <v>85.7</v>
      </c>
      <c r="T1253" s="18">
        <f t="shared" si="337"/>
        <v>7157.0999999999995</v>
      </c>
      <c r="U1253" s="44">
        <f>55-28.9-347-5.1</f>
        <v>-326</v>
      </c>
      <c r="V1253" s="18">
        <f t="shared" si="338"/>
        <v>6831.0999999999995</v>
      </c>
      <c r="W1253" s="112">
        <f>347-143.1-350.9</f>
        <v>-146.99999999999997</v>
      </c>
      <c r="X1253" s="18">
        <f t="shared" si="339"/>
        <v>6684.0999999999995</v>
      </c>
      <c r="Y1253" s="43">
        <v>-350.9</v>
      </c>
      <c r="Z1253" s="43">
        <f t="shared" ref="Z1253:Z1255" si="348">X1253+Y1253</f>
        <v>6333.2</v>
      </c>
      <c r="AA1253" s="43"/>
    </row>
    <row r="1254" spans="1:27" x14ac:dyDescent="0.25">
      <c r="A1254" s="7" t="s">
        <v>503</v>
      </c>
      <c r="B1254" s="25" t="s">
        <v>127</v>
      </c>
      <c r="C1254" s="25" t="s">
        <v>35</v>
      </c>
      <c r="D1254" s="19">
        <v>435.8</v>
      </c>
      <c r="E1254" s="19"/>
      <c r="F1254" s="18">
        <f t="shared" si="344"/>
        <v>435.8</v>
      </c>
      <c r="G1254" s="19"/>
      <c r="H1254" s="18">
        <f t="shared" si="345"/>
        <v>435.8</v>
      </c>
      <c r="I1254" s="19"/>
      <c r="J1254" s="18">
        <f t="shared" si="341"/>
        <v>435.8</v>
      </c>
      <c r="K1254" s="19"/>
      <c r="L1254" s="18">
        <f t="shared" si="342"/>
        <v>435.8</v>
      </c>
      <c r="M1254" s="19"/>
      <c r="N1254" s="18">
        <f t="shared" si="334"/>
        <v>435.8</v>
      </c>
      <c r="O1254" s="19"/>
      <c r="P1254" s="18">
        <f t="shared" si="335"/>
        <v>435.8</v>
      </c>
      <c r="Q1254" s="44">
        <v>16.7</v>
      </c>
      <c r="R1254" s="18">
        <f t="shared" si="336"/>
        <v>452.5</v>
      </c>
      <c r="S1254" s="64"/>
      <c r="T1254" s="18">
        <f t="shared" si="337"/>
        <v>452.5</v>
      </c>
      <c r="U1254" s="64"/>
      <c r="V1254" s="18">
        <f t="shared" si="338"/>
        <v>452.5</v>
      </c>
      <c r="W1254" s="64"/>
      <c r="X1254" s="18">
        <f t="shared" si="339"/>
        <v>452.5</v>
      </c>
      <c r="Z1254" s="43">
        <f t="shared" si="348"/>
        <v>452.5</v>
      </c>
      <c r="AA1254" s="43"/>
    </row>
    <row r="1255" spans="1:27" x14ac:dyDescent="0.25">
      <c r="A1255" s="10" t="s">
        <v>508</v>
      </c>
      <c r="B1255" s="25" t="s">
        <v>127</v>
      </c>
      <c r="C1255" s="25" t="s">
        <v>128</v>
      </c>
      <c r="D1255" s="19">
        <v>123.1</v>
      </c>
      <c r="E1255" s="19"/>
      <c r="F1255" s="18">
        <f t="shared" si="344"/>
        <v>123.1</v>
      </c>
      <c r="G1255" s="19"/>
      <c r="H1255" s="18">
        <f t="shared" si="345"/>
        <v>123.1</v>
      </c>
      <c r="I1255" s="19"/>
      <c r="J1255" s="18">
        <f t="shared" si="341"/>
        <v>123.1</v>
      </c>
      <c r="K1255" s="19"/>
      <c r="L1255" s="18">
        <f t="shared" si="342"/>
        <v>123.1</v>
      </c>
      <c r="M1255" s="19"/>
      <c r="N1255" s="18">
        <f t="shared" si="334"/>
        <v>123.1</v>
      </c>
      <c r="O1255" s="19"/>
      <c r="P1255" s="18">
        <f t="shared" si="335"/>
        <v>123.1</v>
      </c>
      <c r="Q1255" s="19"/>
      <c r="R1255" s="18">
        <f t="shared" si="336"/>
        <v>123.1</v>
      </c>
      <c r="S1255" s="62">
        <v>5</v>
      </c>
      <c r="T1255" s="18">
        <f t="shared" si="337"/>
        <v>128.1</v>
      </c>
      <c r="U1255" s="44">
        <f>-12+5.1</f>
        <v>-6.9</v>
      </c>
      <c r="V1255" s="18">
        <f t="shared" si="338"/>
        <v>121.19999999999999</v>
      </c>
      <c r="W1255" s="44">
        <v>-26.3</v>
      </c>
      <c r="X1255" s="18">
        <f t="shared" si="339"/>
        <v>94.899999999999991</v>
      </c>
      <c r="Y1255" s="43">
        <v>-26.3</v>
      </c>
      <c r="Z1255" s="43">
        <f t="shared" si="348"/>
        <v>68.599999999999994</v>
      </c>
      <c r="AA1255" s="43"/>
    </row>
    <row r="1256" spans="1:27" x14ac:dyDescent="0.25">
      <c r="A1256" s="13" t="s">
        <v>139</v>
      </c>
      <c r="B1256" s="24" t="s">
        <v>140</v>
      </c>
      <c r="C1256" s="24" t="s">
        <v>2</v>
      </c>
      <c r="D1256" s="18">
        <f>D1257</f>
        <v>2997.4</v>
      </c>
      <c r="E1256" s="18">
        <f>E1257</f>
        <v>0</v>
      </c>
      <c r="F1256" s="18">
        <f t="shared" si="344"/>
        <v>2997.4</v>
      </c>
      <c r="G1256" s="18">
        <f>G1257</f>
        <v>0</v>
      </c>
      <c r="H1256" s="18">
        <f t="shared" si="345"/>
        <v>2997.4</v>
      </c>
      <c r="I1256" s="18">
        <f>I1257</f>
        <v>0</v>
      </c>
      <c r="J1256" s="18">
        <f t="shared" si="341"/>
        <v>2997.4</v>
      </c>
      <c r="K1256" s="18">
        <f>K1257</f>
        <v>0</v>
      </c>
      <c r="L1256" s="18">
        <f t="shared" si="342"/>
        <v>2997.4</v>
      </c>
      <c r="M1256" s="18">
        <f>M1257</f>
        <v>0</v>
      </c>
      <c r="N1256" s="18">
        <f t="shared" si="334"/>
        <v>2997.4</v>
      </c>
      <c r="O1256" s="18">
        <f>O1257</f>
        <v>0</v>
      </c>
      <c r="P1256" s="18">
        <f t="shared" si="335"/>
        <v>2997.4</v>
      </c>
      <c r="Q1256" s="18">
        <f>Q1257</f>
        <v>0</v>
      </c>
      <c r="R1256" s="18">
        <f t="shared" si="336"/>
        <v>2997.4</v>
      </c>
      <c r="S1256" s="18">
        <f>S1257</f>
        <v>0</v>
      </c>
      <c r="T1256" s="18">
        <f t="shared" si="337"/>
        <v>2997.4</v>
      </c>
      <c r="U1256" s="18">
        <f>U1257</f>
        <v>0</v>
      </c>
      <c r="V1256" s="18">
        <f t="shared" si="338"/>
        <v>2997.4</v>
      </c>
      <c r="W1256" s="18">
        <f>W1257</f>
        <v>-271.39999999999998</v>
      </c>
      <c r="X1256" s="18">
        <f t="shared" si="339"/>
        <v>2726</v>
      </c>
    </row>
    <row r="1257" spans="1:27" x14ac:dyDescent="0.25">
      <c r="A1257" s="7" t="s">
        <v>54</v>
      </c>
      <c r="B1257" s="25" t="s">
        <v>140</v>
      </c>
      <c r="C1257" s="25" t="s">
        <v>34</v>
      </c>
      <c r="D1257" s="19">
        <v>2997.4</v>
      </c>
      <c r="E1257" s="19"/>
      <c r="F1257" s="18">
        <f t="shared" si="344"/>
        <v>2997.4</v>
      </c>
      <c r="G1257" s="19"/>
      <c r="H1257" s="18">
        <f t="shared" si="345"/>
        <v>2997.4</v>
      </c>
      <c r="I1257" s="19"/>
      <c r="J1257" s="18">
        <f t="shared" si="341"/>
        <v>2997.4</v>
      </c>
      <c r="K1257" s="19"/>
      <c r="L1257" s="18">
        <f t="shared" si="342"/>
        <v>2997.4</v>
      </c>
      <c r="M1257" s="81">
        <f>400-400</f>
        <v>0</v>
      </c>
      <c r="N1257" s="18">
        <f t="shared" si="334"/>
        <v>2997.4</v>
      </c>
      <c r="O1257" s="64"/>
      <c r="P1257" s="18">
        <f t="shared" si="335"/>
        <v>2997.4</v>
      </c>
      <c r="Q1257" s="64"/>
      <c r="R1257" s="18">
        <f t="shared" si="336"/>
        <v>2997.4</v>
      </c>
      <c r="S1257" s="64"/>
      <c r="T1257" s="18">
        <f t="shared" si="337"/>
        <v>2997.4</v>
      </c>
      <c r="U1257" s="64"/>
      <c r="V1257" s="18">
        <f t="shared" si="338"/>
        <v>2997.4</v>
      </c>
      <c r="W1257" s="44">
        <v>-271.39999999999998</v>
      </c>
      <c r="X1257" s="18">
        <f t="shared" si="339"/>
        <v>2726</v>
      </c>
      <c r="Y1257" s="43">
        <v>-271.39999999999998</v>
      </c>
      <c r="Z1257" s="43">
        <f>X1257+Y1257</f>
        <v>2454.6</v>
      </c>
      <c r="AA1257" s="43"/>
    </row>
    <row r="1258" spans="1:27" ht="36.75" x14ac:dyDescent="0.25">
      <c r="A1258" s="13" t="s">
        <v>116</v>
      </c>
      <c r="B1258" s="24" t="s">
        <v>117</v>
      </c>
      <c r="C1258" s="24" t="s">
        <v>2</v>
      </c>
      <c r="D1258" s="18">
        <f>D1259</f>
        <v>1478.3</v>
      </c>
      <c r="E1258" s="18">
        <f>E1259</f>
        <v>0</v>
      </c>
      <c r="F1258" s="18">
        <f t="shared" si="344"/>
        <v>1478.3</v>
      </c>
      <c r="G1258" s="18">
        <f>G1259</f>
        <v>0</v>
      </c>
      <c r="H1258" s="18">
        <f t="shared" si="345"/>
        <v>1478.3</v>
      </c>
      <c r="I1258" s="18">
        <f>I1259</f>
        <v>0</v>
      </c>
      <c r="J1258" s="18">
        <f t="shared" si="341"/>
        <v>1478.3</v>
      </c>
      <c r="K1258" s="18">
        <f>K1259</f>
        <v>0</v>
      </c>
      <c r="L1258" s="18">
        <f t="shared" si="342"/>
        <v>1478.3</v>
      </c>
      <c r="M1258" s="18">
        <f>M1259</f>
        <v>345.7</v>
      </c>
      <c r="N1258" s="18">
        <f t="shared" si="334"/>
        <v>1824</v>
      </c>
      <c r="O1258" s="18">
        <f>O1259</f>
        <v>0</v>
      </c>
      <c r="P1258" s="18">
        <f t="shared" si="335"/>
        <v>1824</v>
      </c>
      <c r="Q1258" s="18">
        <f>Q1259</f>
        <v>-68.7</v>
      </c>
      <c r="R1258" s="18">
        <f t="shared" si="336"/>
        <v>1755.3</v>
      </c>
      <c r="S1258" s="18">
        <f>S1259</f>
        <v>3</v>
      </c>
      <c r="T1258" s="18">
        <f t="shared" si="337"/>
        <v>1758.3</v>
      </c>
      <c r="U1258" s="18">
        <f>U1259</f>
        <v>-50</v>
      </c>
      <c r="V1258" s="18">
        <f t="shared" si="338"/>
        <v>1708.3</v>
      </c>
      <c r="W1258" s="18">
        <f>W1259</f>
        <v>-142.30000000000001</v>
      </c>
      <c r="X1258" s="18">
        <f t="shared" si="339"/>
        <v>1566</v>
      </c>
    </row>
    <row r="1259" spans="1:27" ht="24.75" x14ac:dyDescent="0.25">
      <c r="A1259" s="13" t="s">
        <v>118</v>
      </c>
      <c r="B1259" s="24" t="s">
        <v>119</v>
      </c>
      <c r="C1259" s="24" t="s">
        <v>2</v>
      </c>
      <c r="D1259" s="18">
        <f>D1260+D1261</f>
        <v>1478.3</v>
      </c>
      <c r="E1259" s="18">
        <f>E1260+E1261</f>
        <v>0</v>
      </c>
      <c r="F1259" s="18">
        <f t="shared" si="344"/>
        <v>1478.3</v>
      </c>
      <c r="G1259" s="18">
        <f>G1260+G1261+G1262</f>
        <v>0</v>
      </c>
      <c r="H1259" s="18">
        <f t="shared" si="345"/>
        <v>1478.3</v>
      </c>
      <c r="I1259" s="18">
        <f>I1260+I1261+I1262</f>
        <v>0</v>
      </c>
      <c r="J1259" s="18">
        <f t="shared" si="341"/>
        <v>1478.3</v>
      </c>
      <c r="K1259" s="18">
        <f>K1260+K1261+K1262</f>
        <v>0</v>
      </c>
      <c r="L1259" s="18">
        <f t="shared" si="342"/>
        <v>1478.3</v>
      </c>
      <c r="M1259" s="18">
        <f>M1260+M1261+M1262</f>
        <v>345.7</v>
      </c>
      <c r="N1259" s="18">
        <f t="shared" si="334"/>
        <v>1824</v>
      </c>
      <c r="O1259" s="18">
        <f>O1260+O1261+O1262</f>
        <v>0</v>
      </c>
      <c r="P1259" s="18">
        <f t="shared" si="335"/>
        <v>1824</v>
      </c>
      <c r="Q1259" s="18">
        <f>Q1260+Q1261+Q1262</f>
        <v>-68.7</v>
      </c>
      <c r="R1259" s="18">
        <f t="shared" si="336"/>
        <v>1755.3</v>
      </c>
      <c r="S1259" s="18">
        <f>S1260+S1261+S1262</f>
        <v>3</v>
      </c>
      <c r="T1259" s="18">
        <f t="shared" si="337"/>
        <v>1758.3</v>
      </c>
      <c r="U1259" s="18">
        <f>U1260+U1261+U1262</f>
        <v>-50</v>
      </c>
      <c r="V1259" s="18">
        <f t="shared" si="338"/>
        <v>1708.3</v>
      </c>
      <c r="W1259" s="18">
        <f>W1260+W1261+W1262</f>
        <v>-142.30000000000001</v>
      </c>
      <c r="X1259" s="18">
        <f t="shared" si="339"/>
        <v>1566</v>
      </c>
    </row>
    <row r="1260" spans="1:27" ht="14.25" customHeight="1" x14ac:dyDescent="0.25">
      <c r="A1260" s="9" t="s">
        <v>501</v>
      </c>
      <c r="B1260" s="25" t="s">
        <v>119</v>
      </c>
      <c r="C1260" s="25" t="s">
        <v>33</v>
      </c>
      <c r="D1260" s="19">
        <v>4.5</v>
      </c>
      <c r="E1260" s="19"/>
      <c r="F1260" s="18">
        <f t="shared" si="344"/>
        <v>4.5</v>
      </c>
      <c r="G1260" s="19"/>
      <c r="H1260" s="18">
        <f t="shared" si="345"/>
        <v>4.5</v>
      </c>
      <c r="I1260" s="19"/>
      <c r="J1260" s="18">
        <f t="shared" si="341"/>
        <v>4.5</v>
      </c>
      <c r="K1260" s="106">
        <v>4.5</v>
      </c>
      <c r="L1260" s="18">
        <f t="shared" si="342"/>
        <v>9</v>
      </c>
      <c r="M1260" s="64"/>
      <c r="N1260" s="18">
        <f t="shared" si="334"/>
        <v>9</v>
      </c>
      <c r="O1260" s="64"/>
      <c r="P1260" s="18">
        <f t="shared" si="335"/>
        <v>9</v>
      </c>
      <c r="Q1260" s="64"/>
      <c r="R1260" s="18">
        <f t="shared" si="336"/>
        <v>9</v>
      </c>
      <c r="S1260" s="62">
        <v>4.5</v>
      </c>
      <c r="T1260" s="18">
        <f t="shared" si="337"/>
        <v>13.5</v>
      </c>
      <c r="U1260" s="64"/>
      <c r="V1260" s="18">
        <f t="shared" si="338"/>
        <v>13.5</v>
      </c>
      <c r="W1260" s="64"/>
      <c r="X1260" s="18">
        <f t="shared" si="339"/>
        <v>13.5</v>
      </c>
      <c r="Z1260" s="43">
        <f t="shared" ref="Z1260:Z1262" si="349">X1260+Y1260</f>
        <v>13.5</v>
      </c>
      <c r="AA1260" s="43"/>
    </row>
    <row r="1261" spans="1:27" x14ac:dyDescent="0.25">
      <c r="A1261" s="7" t="s">
        <v>54</v>
      </c>
      <c r="B1261" s="25" t="s">
        <v>119</v>
      </c>
      <c r="C1261" s="25" t="s">
        <v>34</v>
      </c>
      <c r="D1261" s="19">
        <v>1473.8</v>
      </c>
      <c r="E1261" s="19"/>
      <c r="F1261" s="18">
        <f t="shared" si="344"/>
        <v>1473.8</v>
      </c>
      <c r="G1261" s="44">
        <v>-1200</v>
      </c>
      <c r="H1261" s="18">
        <f t="shared" si="345"/>
        <v>273.79999999999995</v>
      </c>
      <c r="I1261" s="64"/>
      <c r="J1261" s="18">
        <f t="shared" si="341"/>
        <v>273.79999999999995</v>
      </c>
      <c r="K1261" s="106">
        <v>-4.5</v>
      </c>
      <c r="L1261" s="18">
        <f t="shared" si="342"/>
        <v>269.29999999999995</v>
      </c>
      <c r="M1261" s="44">
        <v>258.5</v>
      </c>
      <c r="N1261" s="18">
        <f t="shared" si="334"/>
        <v>527.79999999999995</v>
      </c>
      <c r="O1261" s="64"/>
      <c r="P1261" s="18">
        <f t="shared" si="335"/>
        <v>527.79999999999995</v>
      </c>
      <c r="Q1261" s="44">
        <f>-121.1+17.1</f>
        <v>-104</v>
      </c>
      <c r="R1261" s="18">
        <f t="shared" si="336"/>
        <v>423.79999999999995</v>
      </c>
      <c r="S1261" s="62">
        <v>-1.5</v>
      </c>
      <c r="T1261" s="18">
        <f t="shared" si="337"/>
        <v>422.29999999999995</v>
      </c>
      <c r="U1261" s="44">
        <v>-50</v>
      </c>
      <c r="V1261" s="18">
        <f t="shared" si="338"/>
        <v>372.29999999999995</v>
      </c>
      <c r="W1261" s="44">
        <v>-142.30000000000001</v>
      </c>
      <c r="X1261" s="18">
        <f t="shared" si="339"/>
        <v>229.99999999999994</v>
      </c>
      <c r="Y1261" s="43">
        <f>-139.3-3</f>
        <v>-142.30000000000001</v>
      </c>
      <c r="Z1261" s="43">
        <f t="shared" si="349"/>
        <v>87.699999999999932</v>
      </c>
      <c r="AA1261" s="43"/>
    </row>
    <row r="1262" spans="1:27" x14ac:dyDescent="0.25">
      <c r="A1262" s="9" t="s">
        <v>266</v>
      </c>
      <c r="B1262" s="25" t="s">
        <v>119</v>
      </c>
      <c r="C1262" s="25" t="s">
        <v>267</v>
      </c>
      <c r="D1262" s="19"/>
      <c r="E1262" s="19"/>
      <c r="F1262" s="18"/>
      <c r="G1262" s="44">
        <v>1200</v>
      </c>
      <c r="H1262" s="18">
        <f t="shared" si="345"/>
        <v>1200</v>
      </c>
      <c r="I1262" s="64"/>
      <c r="J1262" s="18">
        <f t="shared" si="341"/>
        <v>1200</v>
      </c>
      <c r="K1262" s="64"/>
      <c r="L1262" s="18">
        <f t="shared" si="342"/>
        <v>1200</v>
      </c>
      <c r="M1262" s="44">
        <v>87.2</v>
      </c>
      <c r="N1262" s="18">
        <f t="shared" si="334"/>
        <v>1287.2</v>
      </c>
      <c r="O1262" s="64"/>
      <c r="P1262" s="18">
        <f t="shared" si="335"/>
        <v>1287.2</v>
      </c>
      <c r="Q1262" s="44">
        <v>35.299999999999997</v>
      </c>
      <c r="R1262" s="18">
        <f t="shared" si="336"/>
        <v>1322.5</v>
      </c>
      <c r="S1262" s="64"/>
      <c r="T1262" s="18">
        <f t="shared" si="337"/>
        <v>1322.5</v>
      </c>
      <c r="U1262" s="64"/>
      <c r="V1262" s="18">
        <f t="shared" si="338"/>
        <v>1322.5</v>
      </c>
      <c r="W1262" s="64"/>
      <c r="X1262" s="18">
        <f t="shared" si="339"/>
        <v>1322.5</v>
      </c>
      <c r="Z1262" s="43">
        <f t="shared" si="349"/>
        <v>1322.5</v>
      </c>
      <c r="AA1262" s="43"/>
    </row>
    <row r="1263" spans="1:27" ht="24.75" x14ac:dyDescent="0.25">
      <c r="A1263" s="13" t="s">
        <v>129</v>
      </c>
      <c r="B1263" s="24" t="s">
        <v>130</v>
      </c>
      <c r="C1263" s="24" t="s">
        <v>2</v>
      </c>
      <c r="D1263" s="18">
        <f>D1264+D1270</f>
        <v>19338.3</v>
      </c>
      <c r="E1263" s="18">
        <f>E1264+E1270</f>
        <v>0</v>
      </c>
      <c r="F1263" s="18">
        <f t="shared" si="344"/>
        <v>19338.3</v>
      </c>
      <c r="G1263" s="18">
        <f>G1264+G1270</f>
        <v>0</v>
      </c>
      <c r="H1263" s="18">
        <f t="shared" si="345"/>
        <v>19338.3</v>
      </c>
      <c r="I1263" s="18">
        <f>I1264+I1270</f>
        <v>0</v>
      </c>
      <c r="J1263" s="18">
        <f t="shared" si="341"/>
        <v>19338.3</v>
      </c>
      <c r="K1263" s="18">
        <f>K1264+K1270+K1266</f>
        <v>820.4</v>
      </c>
      <c r="L1263" s="18">
        <f t="shared" si="342"/>
        <v>20158.7</v>
      </c>
      <c r="M1263" s="18">
        <f>M1264+M1270+M1266</f>
        <v>0</v>
      </c>
      <c r="N1263" s="18">
        <f t="shared" si="334"/>
        <v>20158.7</v>
      </c>
      <c r="O1263" s="18">
        <f>O1264+O1270+O1266</f>
        <v>0</v>
      </c>
      <c r="P1263" s="18">
        <f t="shared" si="335"/>
        <v>20158.7</v>
      </c>
      <c r="Q1263" s="18">
        <f>Q1264+Q1270+Q1266</f>
        <v>-1.8</v>
      </c>
      <c r="R1263" s="18">
        <f t="shared" si="336"/>
        <v>20156.900000000001</v>
      </c>
      <c r="S1263" s="18">
        <f>S1264+S1270+S1266</f>
        <v>-98.2</v>
      </c>
      <c r="T1263" s="18">
        <f t="shared" si="337"/>
        <v>20058.7</v>
      </c>
      <c r="U1263" s="18">
        <f>U1264+U1270+U1266</f>
        <v>891.2</v>
      </c>
      <c r="V1263" s="18">
        <f t="shared" si="338"/>
        <v>20949.900000000001</v>
      </c>
      <c r="W1263" s="18">
        <f>W1264+W1270+W1266</f>
        <v>-83.3</v>
      </c>
      <c r="X1263" s="18">
        <f t="shared" si="339"/>
        <v>20866.600000000002</v>
      </c>
    </row>
    <row r="1264" spans="1:27" ht="24.75" hidden="1" x14ac:dyDescent="0.25">
      <c r="A1264" s="13" t="s">
        <v>132</v>
      </c>
      <c r="B1264" s="24" t="s">
        <v>133</v>
      </c>
      <c r="C1264" s="24" t="s">
        <v>2</v>
      </c>
      <c r="D1264" s="18">
        <f>D1265</f>
        <v>100</v>
      </c>
      <c r="E1264" s="18">
        <f>E1265</f>
        <v>0</v>
      </c>
      <c r="F1264" s="18">
        <f t="shared" si="344"/>
        <v>100</v>
      </c>
      <c r="G1264" s="18">
        <f>G1265</f>
        <v>0</v>
      </c>
      <c r="H1264" s="18">
        <f t="shared" si="345"/>
        <v>100</v>
      </c>
      <c r="I1264" s="18">
        <f>I1265</f>
        <v>0</v>
      </c>
      <c r="J1264" s="18">
        <f t="shared" si="341"/>
        <v>100</v>
      </c>
      <c r="K1264" s="18">
        <f>K1265</f>
        <v>0</v>
      </c>
      <c r="L1264" s="18">
        <f t="shared" si="342"/>
        <v>100</v>
      </c>
      <c r="M1264" s="18">
        <f>M1265</f>
        <v>0</v>
      </c>
      <c r="N1264" s="18">
        <f t="shared" si="334"/>
        <v>100</v>
      </c>
      <c r="O1264" s="18">
        <f>O1265</f>
        <v>0</v>
      </c>
      <c r="P1264" s="18">
        <f t="shared" si="335"/>
        <v>100</v>
      </c>
      <c r="Q1264" s="18">
        <f>Q1265</f>
        <v>-1.8</v>
      </c>
      <c r="R1264" s="18">
        <f t="shared" si="336"/>
        <v>98.2</v>
      </c>
      <c r="S1264" s="18">
        <f>S1265</f>
        <v>-98.2</v>
      </c>
      <c r="T1264" s="18">
        <f t="shared" si="337"/>
        <v>0</v>
      </c>
      <c r="U1264" s="18">
        <f>U1265</f>
        <v>0</v>
      </c>
      <c r="V1264" s="18">
        <f t="shared" si="338"/>
        <v>0</v>
      </c>
      <c r="W1264" s="18">
        <f>W1265</f>
        <v>0</v>
      </c>
      <c r="X1264" s="18">
        <f t="shared" si="339"/>
        <v>0</v>
      </c>
    </row>
    <row r="1265" spans="1:27" hidden="1" x14ac:dyDescent="0.25">
      <c r="A1265" s="7" t="s">
        <v>54</v>
      </c>
      <c r="B1265" s="25" t="s">
        <v>133</v>
      </c>
      <c r="C1265" s="25" t="s">
        <v>34</v>
      </c>
      <c r="D1265" s="19">
        <v>100</v>
      </c>
      <c r="E1265" s="19"/>
      <c r="F1265" s="18">
        <f t="shared" si="344"/>
        <v>100</v>
      </c>
      <c r="G1265" s="19"/>
      <c r="H1265" s="18">
        <f t="shared" si="345"/>
        <v>100</v>
      </c>
      <c r="I1265" s="19"/>
      <c r="J1265" s="18">
        <f t="shared" si="341"/>
        <v>100</v>
      </c>
      <c r="K1265" s="19"/>
      <c r="L1265" s="18">
        <f t="shared" si="342"/>
        <v>100</v>
      </c>
      <c r="M1265" s="19"/>
      <c r="N1265" s="18">
        <f t="shared" si="334"/>
        <v>100</v>
      </c>
      <c r="O1265" s="19"/>
      <c r="P1265" s="18">
        <f t="shared" si="335"/>
        <v>100</v>
      </c>
      <c r="Q1265" s="44">
        <v>-1.8</v>
      </c>
      <c r="R1265" s="18">
        <f t="shared" si="336"/>
        <v>98.2</v>
      </c>
      <c r="S1265" s="44">
        <v>-98.2</v>
      </c>
      <c r="T1265" s="18">
        <f t="shared" si="337"/>
        <v>0</v>
      </c>
      <c r="U1265" s="64"/>
      <c r="V1265" s="18">
        <f t="shared" si="338"/>
        <v>0</v>
      </c>
      <c r="W1265" s="64"/>
      <c r="X1265" s="18">
        <f t="shared" si="339"/>
        <v>0</v>
      </c>
      <c r="Z1265" s="43">
        <f>X1265+Y1265</f>
        <v>0</v>
      </c>
      <c r="AA1265" s="43"/>
    </row>
    <row r="1266" spans="1:27" ht="24.75" x14ac:dyDescent="0.25">
      <c r="A1266" s="28" t="s">
        <v>695</v>
      </c>
      <c r="B1266" s="29" t="s">
        <v>696</v>
      </c>
      <c r="C1266" s="29" t="s">
        <v>2</v>
      </c>
      <c r="D1266" s="19"/>
      <c r="E1266" s="19"/>
      <c r="F1266" s="18"/>
      <c r="G1266" s="19"/>
      <c r="H1266" s="18"/>
      <c r="I1266" s="19"/>
      <c r="J1266" s="18"/>
      <c r="K1266" s="20">
        <f>K1267+K1268+K1269</f>
        <v>820.4</v>
      </c>
      <c r="L1266" s="18">
        <f t="shared" si="342"/>
        <v>820.4</v>
      </c>
      <c r="M1266" s="20">
        <f>M1267+M1268+M1269</f>
        <v>0</v>
      </c>
      <c r="N1266" s="18">
        <f t="shared" si="334"/>
        <v>820.4</v>
      </c>
      <c r="O1266" s="20">
        <f>O1267+O1268+O1269</f>
        <v>0</v>
      </c>
      <c r="P1266" s="18">
        <f t="shared" si="335"/>
        <v>820.4</v>
      </c>
      <c r="Q1266" s="20">
        <f>Q1267+Q1268+Q1269</f>
        <v>0</v>
      </c>
      <c r="R1266" s="18">
        <f t="shared" si="336"/>
        <v>820.4</v>
      </c>
      <c r="S1266" s="20">
        <f>S1267+S1268+S1269</f>
        <v>0</v>
      </c>
      <c r="T1266" s="18">
        <f t="shared" si="337"/>
        <v>820.4</v>
      </c>
      <c r="U1266" s="20">
        <f>U1267+U1268+U1269</f>
        <v>0</v>
      </c>
      <c r="V1266" s="18">
        <f t="shared" si="338"/>
        <v>820.4</v>
      </c>
      <c r="W1266" s="20">
        <f>W1267+W1268+W1269</f>
        <v>0</v>
      </c>
      <c r="X1266" s="18">
        <f t="shared" si="339"/>
        <v>820.4</v>
      </c>
    </row>
    <row r="1267" spans="1:27" x14ac:dyDescent="0.25">
      <c r="A1267" s="8" t="s">
        <v>496</v>
      </c>
      <c r="B1267" s="31" t="s">
        <v>696</v>
      </c>
      <c r="C1267" s="31" t="s">
        <v>71</v>
      </c>
      <c r="D1267" s="19"/>
      <c r="E1267" s="19"/>
      <c r="F1267" s="18"/>
      <c r="G1267" s="19"/>
      <c r="H1267" s="18"/>
      <c r="I1267" s="19"/>
      <c r="J1267" s="18"/>
      <c r="K1267" s="44">
        <v>409.6</v>
      </c>
      <c r="L1267" s="18">
        <f t="shared" si="342"/>
        <v>409.6</v>
      </c>
      <c r="M1267" s="64"/>
      <c r="N1267" s="18">
        <f t="shared" si="334"/>
        <v>409.6</v>
      </c>
      <c r="O1267" s="64"/>
      <c r="P1267" s="18">
        <f t="shared" si="335"/>
        <v>409.6</v>
      </c>
      <c r="Q1267" s="64"/>
      <c r="R1267" s="18">
        <f t="shared" si="336"/>
        <v>409.6</v>
      </c>
      <c r="S1267" s="64"/>
      <c r="T1267" s="18">
        <f t="shared" si="337"/>
        <v>409.6</v>
      </c>
      <c r="U1267" s="64"/>
      <c r="V1267" s="18">
        <f t="shared" si="338"/>
        <v>409.6</v>
      </c>
      <c r="W1267" s="64"/>
      <c r="X1267" s="18">
        <f t="shared" si="339"/>
        <v>409.6</v>
      </c>
      <c r="Z1267" s="43">
        <f t="shared" ref="Z1267:Z1269" si="350">X1267+Y1267</f>
        <v>409.6</v>
      </c>
      <c r="AA1267" s="43"/>
    </row>
    <row r="1268" spans="1:27" ht="24.75" x14ac:dyDescent="0.25">
      <c r="A1268" s="8" t="s">
        <v>497</v>
      </c>
      <c r="B1268" s="31" t="s">
        <v>696</v>
      </c>
      <c r="C1268" s="31" t="s">
        <v>74</v>
      </c>
      <c r="D1268" s="19"/>
      <c r="E1268" s="19"/>
      <c r="F1268" s="18"/>
      <c r="G1268" s="19"/>
      <c r="H1268" s="18"/>
      <c r="I1268" s="19"/>
      <c r="J1268" s="18"/>
      <c r="K1268" s="44">
        <v>123.8</v>
      </c>
      <c r="L1268" s="18">
        <f t="shared" si="342"/>
        <v>123.8</v>
      </c>
      <c r="M1268" s="64"/>
      <c r="N1268" s="18">
        <f t="shared" si="334"/>
        <v>123.8</v>
      </c>
      <c r="O1268" s="64"/>
      <c r="P1268" s="18">
        <f t="shared" si="335"/>
        <v>123.8</v>
      </c>
      <c r="Q1268" s="64"/>
      <c r="R1268" s="18">
        <f t="shared" si="336"/>
        <v>123.8</v>
      </c>
      <c r="S1268" s="64"/>
      <c r="T1268" s="18">
        <f t="shared" si="337"/>
        <v>123.8</v>
      </c>
      <c r="U1268" s="64"/>
      <c r="V1268" s="18">
        <f t="shared" si="338"/>
        <v>123.8</v>
      </c>
      <c r="W1268" s="64"/>
      <c r="X1268" s="18">
        <f t="shared" si="339"/>
        <v>123.8</v>
      </c>
      <c r="Z1268" s="43">
        <f t="shared" si="350"/>
        <v>123.8</v>
      </c>
      <c r="AA1268" s="43"/>
    </row>
    <row r="1269" spans="1:27" x14ac:dyDescent="0.25">
      <c r="A1269" s="7" t="s">
        <v>54</v>
      </c>
      <c r="B1269" s="31" t="s">
        <v>696</v>
      </c>
      <c r="C1269" s="31" t="s">
        <v>34</v>
      </c>
      <c r="D1269" s="19"/>
      <c r="E1269" s="19"/>
      <c r="F1269" s="18"/>
      <c r="G1269" s="19"/>
      <c r="H1269" s="18"/>
      <c r="I1269" s="19"/>
      <c r="J1269" s="18"/>
      <c r="K1269" s="44">
        <v>287</v>
      </c>
      <c r="L1269" s="18">
        <f t="shared" si="342"/>
        <v>287</v>
      </c>
      <c r="M1269" s="64"/>
      <c r="N1269" s="18">
        <f t="shared" si="334"/>
        <v>287</v>
      </c>
      <c r="O1269" s="64"/>
      <c r="P1269" s="18">
        <f t="shared" si="335"/>
        <v>287</v>
      </c>
      <c r="Q1269" s="64"/>
      <c r="R1269" s="18">
        <f t="shared" si="336"/>
        <v>287</v>
      </c>
      <c r="S1269" s="64"/>
      <c r="T1269" s="18">
        <f t="shared" si="337"/>
        <v>287</v>
      </c>
      <c r="U1269" s="64"/>
      <c r="V1269" s="18">
        <f t="shared" si="338"/>
        <v>287</v>
      </c>
      <c r="W1269" s="64"/>
      <c r="X1269" s="18">
        <f t="shared" si="339"/>
        <v>287</v>
      </c>
      <c r="Z1269" s="43">
        <f t="shared" si="350"/>
        <v>287</v>
      </c>
      <c r="AA1269" s="43"/>
    </row>
    <row r="1270" spans="1:27" ht="29.25" customHeight="1" x14ac:dyDescent="0.25">
      <c r="A1270" s="13" t="s">
        <v>30</v>
      </c>
      <c r="B1270" s="24" t="s">
        <v>131</v>
      </c>
      <c r="C1270" s="24" t="s">
        <v>2</v>
      </c>
      <c r="D1270" s="18">
        <f>D1271+D1272+D1273+D1274+D1275+D1276</f>
        <v>19238.3</v>
      </c>
      <c r="E1270" s="18">
        <f>E1271+E1272+E1273+E1274+E1275+E1276</f>
        <v>0</v>
      </c>
      <c r="F1270" s="18">
        <f t="shared" si="344"/>
        <v>19238.3</v>
      </c>
      <c r="G1270" s="18">
        <f>G1271+G1272+G1273+G1274+G1275+G1276</f>
        <v>0</v>
      </c>
      <c r="H1270" s="18">
        <f t="shared" si="345"/>
        <v>19238.3</v>
      </c>
      <c r="I1270" s="18">
        <f>I1271+I1272+I1273+I1274+I1275+I1276</f>
        <v>0</v>
      </c>
      <c r="J1270" s="18">
        <f t="shared" si="341"/>
        <v>19238.3</v>
      </c>
      <c r="K1270" s="18">
        <f>K1271+K1272+K1273+K1274+K1275+K1276+K1277</f>
        <v>0</v>
      </c>
      <c r="L1270" s="18">
        <f t="shared" si="342"/>
        <v>19238.3</v>
      </c>
      <c r="M1270" s="18">
        <f>M1271+M1272+M1273+M1274+M1275+M1276+M1277</f>
        <v>0</v>
      </c>
      <c r="N1270" s="18">
        <f t="shared" si="334"/>
        <v>19238.3</v>
      </c>
      <c r="O1270" s="18">
        <f>O1271+O1272+O1273+O1274+O1275+O1276+O1277</f>
        <v>0</v>
      </c>
      <c r="P1270" s="18">
        <f t="shared" si="335"/>
        <v>19238.3</v>
      </c>
      <c r="Q1270" s="18">
        <f>Q1271+Q1272+Q1273+Q1274+Q1275+Q1276+Q1277</f>
        <v>0</v>
      </c>
      <c r="R1270" s="18">
        <f t="shared" si="336"/>
        <v>19238.3</v>
      </c>
      <c r="S1270" s="18">
        <f>S1271+S1272+S1273+S1274+S1275+S1276+S1277</f>
        <v>0</v>
      </c>
      <c r="T1270" s="18">
        <f t="shared" si="337"/>
        <v>19238.3</v>
      </c>
      <c r="U1270" s="18">
        <f>U1271+U1272+U1273+U1274+U1275+U1276+U1277</f>
        <v>891.2</v>
      </c>
      <c r="V1270" s="18">
        <f t="shared" si="338"/>
        <v>20129.5</v>
      </c>
      <c r="W1270" s="18">
        <f>W1271+W1272+W1273+W1274+W1275+W1276+W1277</f>
        <v>-83.3</v>
      </c>
      <c r="X1270" s="18">
        <f t="shared" si="339"/>
        <v>20046.2</v>
      </c>
    </row>
    <row r="1271" spans="1:27" x14ac:dyDescent="0.25">
      <c r="A1271" s="7" t="s">
        <v>496</v>
      </c>
      <c r="B1271" s="25" t="s">
        <v>131</v>
      </c>
      <c r="C1271" s="25" t="s">
        <v>71</v>
      </c>
      <c r="D1271" s="19">
        <v>12676.1</v>
      </c>
      <c r="E1271" s="19"/>
      <c r="F1271" s="18">
        <f t="shared" si="344"/>
        <v>12676.1</v>
      </c>
      <c r="G1271" s="19"/>
      <c r="H1271" s="18">
        <f t="shared" si="345"/>
        <v>12676.1</v>
      </c>
      <c r="I1271" s="19"/>
      <c r="J1271" s="18">
        <f t="shared" si="341"/>
        <v>12676.1</v>
      </c>
      <c r="K1271" s="19"/>
      <c r="L1271" s="18">
        <f t="shared" si="342"/>
        <v>12676.1</v>
      </c>
      <c r="M1271" s="19"/>
      <c r="N1271" s="18">
        <f t="shared" si="334"/>
        <v>12676.1</v>
      </c>
      <c r="O1271" s="19"/>
      <c r="P1271" s="18">
        <f t="shared" si="335"/>
        <v>12676.1</v>
      </c>
      <c r="Q1271" s="19"/>
      <c r="R1271" s="18">
        <f t="shared" si="336"/>
        <v>12676.1</v>
      </c>
      <c r="S1271" s="64"/>
      <c r="T1271" s="18">
        <f t="shared" si="337"/>
        <v>12676.1</v>
      </c>
      <c r="U1271" s="96">
        <f>891.2-115</f>
        <v>776.2</v>
      </c>
      <c r="V1271" s="18">
        <f t="shared" si="338"/>
        <v>13452.300000000001</v>
      </c>
      <c r="W1271" s="64"/>
      <c r="X1271" s="18">
        <f t="shared" si="339"/>
        <v>13452.300000000001</v>
      </c>
      <c r="Z1271" s="43">
        <f t="shared" ref="Z1271:Z1277" si="351">X1271+Y1271</f>
        <v>13452.300000000001</v>
      </c>
      <c r="AA1271" s="43"/>
    </row>
    <row r="1272" spans="1:27" ht="24.75" x14ac:dyDescent="0.25">
      <c r="A1272" s="7" t="s">
        <v>497</v>
      </c>
      <c r="B1272" s="25" t="s">
        <v>131</v>
      </c>
      <c r="C1272" s="25" t="s">
        <v>74</v>
      </c>
      <c r="D1272" s="19">
        <v>3828</v>
      </c>
      <c r="E1272" s="19"/>
      <c r="F1272" s="18">
        <f t="shared" si="344"/>
        <v>3828</v>
      </c>
      <c r="G1272" s="19"/>
      <c r="H1272" s="18">
        <f t="shared" si="345"/>
        <v>3828</v>
      </c>
      <c r="I1272" s="19"/>
      <c r="J1272" s="18">
        <f t="shared" si="341"/>
        <v>3828</v>
      </c>
      <c r="K1272" s="19"/>
      <c r="L1272" s="18">
        <f t="shared" si="342"/>
        <v>3828</v>
      </c>
      <c r="M1272" s="19"/>
      <c r="N1272" s="18">
        <f t="shared" si="334"/>
        <v>3828</v>
      </c>
      <c r="O1272" s="19"/>
      <c r="P1272" s="18">
        <f t="shared" si="335"/>
        <v>3828</v>
      </c>
      <c r="Q1272" s="19"/>
      <c r="R1272" s="18">
        <f t="shared" si="336"/>
        <v>3828</v>
      </c>
      <c r="S1272" s="64"/>
      <c r="T1272" s="18">
        <f t="shared" si="337"/>
        <v>3828</v>
      </c>
      <c r="U1272" s="96">
        <v>115</v>
      </c>
      <c r="V1272" s="18">
        <f t="shared" si="338"/>
        <v>3943</v>
      </c>
      <c r="W1272" s="64"/>
      <c r="X1272" s="18">
        <f t="shared" si="339"/>
        <v>3943</v>
      </c>
      <c r="Z1272" s="43">
        <f t="shared" si="351"/>
        <v>3943</v>
      </c>
      <c r="AA1272" s="43"/>
    </row>
    <row r="1273" spans="1:27" ht="17.25" customHeight="1" x14ac:dyDescent="0.25">
      <c r="A1273" s="9" t="s">
        <v>501</v>
      </c>
      <c r="B1273" s="25" t="s">
        <v>131</v>
      </c>
      <c r="C1273" s="25" t="s">
        <v>33</v>
      </c>
      <c r="D1273" s="19">
        <v>170.9</v>
      </c>
      <c r="E1273" s="19"/>
      <c r="F1273" s="18">
        <f t="shared" si="344"/>
        <v>170.9</v>
      </c>
      <c r="G1273" s="19"/>
      <c r="H1273" s="18">
        <f t="shared" si="345"/>
        <v>170.9</v>
      </c>
      <c r="I1273" s="19"/>
      <c r="J1273" s="18">
        <f t="shared" si="341"/>
        <v>170.9</v>
      </c>
      <c r="K1273" s="19"/>
      <c r="L1273" s="18">
        <f t="shared" si="342"/>
        <v>170.9</v>
      </c>
      <c r="M1273" s="19"/>
      <c r="N1273" s="18">
        <f t="shared" si="334"/>
        <v>170.9</v>
      </c>
      <c r="O1273" s="19"/>
      <c r="P1273" s="18">
        <f t="shared" si="335"/>
        <v>170.9</v>
      </c>
      <c r="Q1273" s="19"/>
      <c r="R1273" s="18">
        <f t="shared" si="336"/>
        <v>170.9</v>
      </c>
      <c r="S1273" s="64"/>
      <c r="T1273" s="18">
        <f t="shared" si="337"/>
        <v>170.9</v>
      </c>
      <c r="U1273" s="64"/>
      <c r="V1273" s="18">
        <f t="shared" si="338"/>
        <v>170.9</v>
      </c>
      <c r="W1273" s="64"/>
      <c r="X1273" s="18">
        <f t="shared" si="339"/>
        <v>170.9</v>
      </c>
      <c r="Z1273" s="43">
        <f t="shared" si="351"/>
        <v>170.9</v>
      </c>
      <c r="AA1273" s="43"/>
    </row>
    <row r="1274" spans="1:27" x14ac:dyDescent="0.25">
      <c r="A1274" s="7" t="s">
        <v>54</v>
      </c>
      <c r="B1274" s="25" t="s">
        <v>131</v>
      </c>
      <c r="C1274" s="25" t="s">
        <v>34</v>
      </c>
      <c r="D1274" s="19">
        <f>3109.3-650</f>
        <v>2459.3000000000002</v>
      </c>
      <c r="E1274" s="19"/>
      <c r="F1274" s="18">
        <f t="shared" si="344"/>
        <v>2459.3000000000002</v>
      </c>
      <c r="G1274" s="19"/>
      <c r="H1274" s="18">
        <f t="shared" si="345"/>
        <v>2459.3000000000002</v>
      </c>
      <c r="I1274" s="19"/>
      <c r="J1274" s="18">
        <f t="shared" si="341"/>
        <v>2459.3000000000002</v>
      </c>
      <c r="K1274" s="19"/>
      <c r="L1274" s="18">
        <f t="shared" si="342"/>
        <v>2459.3000000000002</v>
      </c>
      <c r="M1274" s="19"/>
      <c r="N1274" s="18">
        <f t="shared" si="334"/>
        <v>2459.3000000000002</v>
      </c>
      <c r="O1274" s="19"/>
      <c r="P1274" s="18">
        <f t="shared" si="335"/>
        <v>2459.3000000000002</v>
      </c>
      <c r="Q1274" s="19"/>
      <c r="R1274" s="18">
        <f t="shared" si="336"/>
        <v>2459.3000000000002</v>
      </c>
      <c r="S1274" s="64"/>
      <c r="T1274" s="18">
        <f t="shared" si="337"/>
        <v>2459.3000000000002</v>
      </c>
      <c r="U1274" s="64"/>
      <c r="V1274" s="18">
        <f t="shared" si="338"/>
        <v>2459.3000000000002</v>
      </c>
      <c r="W1274" s="44">
        <v>-3.3</v>
      </c>
      <c r="X1274" s="18">
        <f t="shared" si="339"/>
        <v>2456</v>
      </c>
      <c r="Y1274" s="43">
        <v>-3.3</v>
      </c>
      <c r="Z1274" s="43">
        <f t="shared" si="351"/>
        <v>2452.6999999999998</v>
      </c>
      <c r="AA1274" s="43"/>
    </row>
    <row r="1275" spans="1:27" x14ac:dyDescent="0.25">
      <c r="A1275" s="7" t="s">
        <v>503</v>
      </c>
      <c r="B1275" s="25" t="s">
        <v>131</v>
      </c>
      <c r="C1275" s="25" t="s">
        <v>35</v>
      </c>
      <c r="D1275" s="19">
        <v>100</v>
      </c>
      <c r="E1275" s="19"/>
      <c r="F1275" s="18">
        <f t="shared" si="344"/>
        <v>100</v>
      </c>
      <c r="G1275" s="19"/>
      <c r="H1275" s="18">
        <f t="shared" si="345"/>
        <v>100</v>
      </c>
      <c r="I1275" s="19"/>
      <c r="J1275" s="18">
        <f t="shared" si="341"/>
        <v>100</v>
      </c>
      <c r="K1275" s="19"/>
      <c r="L1275" s="18">
        <f t="shared" si="342"/>
        <v>100</v>
      </c>
      <c r="M1275" s="19"/>
      <c r="N1275" s="18">
        <f t="shared" si="334"/>
        <v>100</v>
      </c>
      <c r="O1275" s="19"/>
      <c r="P1275" s="18">
        <f t="shared" si="335"/>
        <v>100</v>
      </c>
      <c r="Q1275" s="19"/>
      <c r="R1275" s="18">
        <f t="shared" si="336"/>
        <v>100</v>
      </c>
      <c r="S1275" s="64"/>
      <c r="T1275" s="18">
        <f t="shared" si="337"/>
        <v>100</v>
      </c>
      <c r="U1275" s="64"/>
      <c r="V1275" s="18">
        <f t="shared" si="338"/>
        <v>100</v>
      </c>
      <c r="W1275" s="44">
        <v>-80</v>
      </c>
      <c r="X1275" s="18">
        <f t="shared" si="339"/>
        <v>20</v>
      </c>
      <c r="Y1275" s="43">
        <v>-80</v>
      </c>
      <c r="Z1275" s="43">
        <f t="shared" si="351"/>
        <v>-60</v>
      </c>
      <c r="AA1275" s="43"/>
    </row>
    <row r="1276" spans="1:27" x14ac:dyDescent="0.25">
      <c r="A1276" s="7" t="s">
        <v>37</v>
      </c>
      <c r="B1276" s="25" t="s">
        <v>131</v>
      </c>
      <c r="C1276" s="25" t="s">
        <v>38</v>
      </c>
      <c r="D1276" s="19">
        <v>4</v>
      </c>
      <c r="E1276" s="19"/>
      <c r="F1276" s="18">
        <f t="shared" si="344"/>
        <v>4</v>
      </c>
      <c r="G1276" s="19"/>
      <c r="H1276" s="18">
        <f t="shared" si="345"/>
        <v>4</v>
      </c>
      <c r="I1276" s="19"/>
      <c r="J1276" s="18">
        <f t="shared" si="341"/>
        <v>4</v>
      </c>
      <c r="K1276" s="106">
        <v>-0.5</v>
      </c>
      <c r="L1276" s="18">
        <f t="shared" si="342"/>
        <v>3.5</v>
      </c>
      <c r="M1276" s="64"/>
      <c r="N1276" s="18">
        <f t="shared" si="334"/>
        <v>3.5</v>
      </c>
      <c r="O1276" s="64"/>
      <c r="P1276" s="18">
        <f t="shared" si="335"/>
        <v>3.5</v>
      </c>
      <c r="Q1276" s="64"/>
      <c r="R1276" s="18">
        <f t="shared" si="336"/>
        <v>3.5</v>
      </c>
      <c r="S1276" s="64"/>
      <c r="T1276" s="18">
        <f t="shared" si="337"/>
        <v>3.5</v>
      </c>
      <c r="U1276" s="64"/>
      <c r="V1276" s="18">
        <f t="shared" si="338"/>
        <v>3.5</v>
      </c>
      <c r="W1276" s="44">
        <v>0.1</v>
      </c>
      <c r="X1276" s="18">
        <f t="shared" si="339"/>
        <v>3.6</v>
      </c>
      <c r="Y1276" s="43">
        <v>0.1</v>
      </c>
      <c r="Z1276" s="43">
        <f t="shared" si="351"/>
        <v>3.7</v>
      </c>
      <c r="AA1276" s="43"/>
    </row>
    <row r="1277" spans="1:27" x14ac:dyDescent="0.25">
      <c r="A1277" s="7" t="s">
        <v>39</v>
      </c>
      <c r="B1277" s="25" t="s">
        <v>131</v>
      </c>
      <c r="C1277" s="25" t="s">
        <v>40</v>
      </c>
      <c r="D1277" s="19"/>
      <c r="E1277" s="19"/>
      <c r="F1277" s="18"/>
      <c r="G1277" s="19"/>
      <c r="H1277" s="18"/>
      <c r="I1277" s="19"/>
      <c r="J1277" s="18"/>
      <c r="K1277" s="44">
        <v>0.5</v>
      </c>
      <c r="L1277" s="18">
        <f t="shared" si="342"/>
        <v>0.5</v>
      </c>
      <c r="M1277" s="64"/>
      <c r="N1277" s="18">
        <f t="shared" si="334"/>
        <v>0.5</v>
      </c>
      <c r="O1277" s="64"/>
      <c r="P1277" s="18">
        <f t="shared" si="335"/>
        <v>0.5</v>
      </c>
      <c r="Q1277" s="64"/>
      <c r="R1277" s="18">
        <f t="shared" si="336"/>
        <v>0.5</v>
      </c>
      <c r="S1277" s="64"/>
      <c r="T1277" s="18">
        <f t="shared" si="337"/>
        <v>0.5</v>
      </c>
      <c r="U1277" s="64"/>
      <c r="V1277" s="18">
        <f t="shared" si="338"/>
        <v>0.5</v>
      </c>
      <c r="W1277" s="44">
        <v>-0.1</v>
      </c>
      <c r="X1277" s="18">
        <f t="shared" si="339"/>
        <v>0.4</v>
      </c>
      <c r="Y1277" s="43">
        <v>-0.1</v>
      </c>
      <c r="Z1277" s="43">
        <f t="shared" si="351"/>
        <v>0.30000000000000004</v>
      </c>
      <c r="AA1277" s="43"/>
    </row>
    <row r="1278" spans="1:27" x14ac:dyDescent="0.25">
      <c r="A1278" s="13" t="s">
        <v>234</v>
      </c>
      <c r="B1278" s="24" t="s">
        <v>235</v>
      </c>
      <c r="C1278" s="24" t="s">
        <v>2</v>
      </c>
      <c r="D1278" s="18">
        <f>D1279+D1285+D1287+D1292</f>
        <v>8246.5</v>
      </c>
      <c r="E1278" s="18">
        <f>E1279+E1285+E1287+E1292+E1289</f>
        <v>9570</v>
      </c>
      <c r="F1278" s="18">
        <f t="shared" si="344"/>
        <v>17816.5</v>
      </c>
      <c r="G1278" s="18">
        <f>G1279+G1285+G1287+G1292+G1289</f>
        <v>0</v>
      </c>
      <c r="H1278" s="18">
        <f t="shared" si="345"/>
        <v>17816.5</v>
      </c>
      <c r="I1278" s="18">
        <f>I1279+I1285+I1287+I1292+I1289</f>
        <v>0</v>
      </c>
      <c r="J1278" s="18">
        <f t="shared" si="341"/>
        <v>17816.5</v>
      </c>
      <c r="K1278" s="18">
        <f>K1279+K1285+K1287+K1292+K1289</f>
        <v>0</v>
      </c>
      <c r="L1278" s="18">
        <f t="shared" si="342"/>
        <v>17816.5</v>
      </c>
      <c r="M1278" s="18">
        <f>M1279+M1285+M1287+M1292+M1289</f>
        <v>0</v>
      </c>
      <c r="N1278" s="18">
        <f t="shared" si="334"/>
        <v>17816.5</v>
      </c>
      <c r="O1278" s="18">
        <f>O1279+O1285+O1287+O1292+O1289</f>
        <v>0</v>
      </c>
      <c r="P1278" s="18">
        <f t="shared" si="335"/>
        <v>17816.5</v>
      </c>
      <c r="Q1278" s="18">
        <f>Q1279+Q1285+Q1287+Q1292+Q1289+Q1283</f>
        <v>3522.2</v>
      </c>
      <c r="R1278" s="18">
        <f t="shared" si="336"/>
        <v>21338.7</v>
      </c>
      <c r="S1278" s="18">
        <f>S1279+S1285+S1287+S1292+S1289+S1283+S1281</f>
        <v>2575</v>
      </c>
      <c r="T1278" s="18">
        <f t="shared" si="337"/>
        <v>23913.7</v>
      </c>
      <c r="U1278" s="18">
        <f>U1279+U1285+U1287+U1292+U1289+U1283+U1281</f>
        <v>0</v>
      </c>
      <c r="V1278" s="18">
        <f t="shared" si="338"/>
        <v>23913.7</v>
      </c>
      <c r="W1278" s="18">
        <f>W1279+W1285+W1287+W1292+W1289+W1283+W1281</f>
        <v>-673.6</v>
      </c>
      <c r="X1278" s="18">
        <f t="shared" si="339"/>
        <v>23240.100000000002</v>
      </c>
    </row>
    <row r="1279" spans="1:27" x14ac:dyDescent="0.25">
      <c r="A1279" s="13" t="s">
        <v>236</v>
      </c>
      <c r="B1279" s="24" t="s">
        <v>237</v>
      </c>
      <c r="C1279" s="24" t="s">
        <v>2</v>
      </c>
      <c r="D1279" s="18">
        <f>D1280</f>
        <v>1823.3</v>
      </c>
      <c r="E1279" s="18">
        <f>E1280</f>
        <v>0</v>
      </c>
      <c r="F1279" s="18">
        <f t="shared" si="344"/>
        <v>1823.3</v>
      </c>
      <c r="G1279" s="18">
        <f>G1280</f>
        <v>0</v>
      </c>
      <c r="H1279" s="18">
        <f t="shared" si="345"/>
        <v>1823.3</v>
      </c>
      <c r="I1279" s="18">
        <f>I1280</f>
        <v>0</v>
      </c>
      <c r="J1279" s="18">
        <f t="shared" si="341"/>
        <v>1823.3</v>
      </c>
      <c r="K1279" s="18">
        <f>K1280</f>
        <v>0</v>
      </c>
      <c r="L1279" s="18">
        <f t="shared" si="342"/>
        <v>1823.3</v>
      </c>
      <c r="M1279" s="18">
        <f>M1280</f>
        <v>0</v>
      </c>
      <c r="N1279" s="18">
        <f t="shared" si="334"/>
        <v>1823.3</v>
      </c>
      <c r="O1279" s="18">
        <f>O1280</f>
        <v>0</v>
      </c>
      <c r="P1279" s="18">
        <f t="shared" si="335"/>
        <v>1823.3</v>
      </c>
      <c r="Q1279" s="18">
        <f>Q1280</f>
        <v>0</v>
      </c>
      <c r="R1279" s="18">
        <f t="shared" si="336"/>
        <v>1823.3</v>
      </c>
      <c r="S1279" s="18">
        <f>S1280</f>
        <v>0</v>
      </c>
      <c r="T1279" s="18">
        <f t="shared" si="337"/>
        <v>1823.3</v>
      </c>
      <c r="U1279" s="18">
        <f>U1280</f>
        <v>0</v>
      </c>
      <c r="V1279" s="18">
        <f t="shared" si="338"/>
        <v>1823.3</v>
      </c>
      <c r="W1279" s="18">
        <f>W1280</f>
        <v>-673.6</v>
      </c>
      <c r="X1279" s="18">
        <f t="shared" si="339"/>
        <v>1149.6999999999998</v>
      </c>
    </row>
    <row r="1280" spans="1:27" x14ac:dyDescent="0.25">
      <c r="A1280" s="7" t="s">
        <v>54</v>
      </c>
      <c r="B1280" s="25" t="s">
        <v>237</v>
      </c>
      <c r="C1280" s="25" t="s">
        <v>34</v>
      </c>
      <c r="D1280" s="19">
        <v>1823.3</v>
      </c>
      <c r="E1280" s="19"/>
      <c r="F1280" s="18">
        <f t="shared" si="344"/>
        <v>1823.3</v>
      </c>
      <c r="G1280" s="19"/>
      <c r="H1280" s="18">
        <f t="shared" si="345"/>
        <v>1823.3</v>
      </c>
      <c r="I1280" s="19"/>
      <c r="J1280" s="18">
        <f t="shared" si="341"/>
        <v>1823.3</v>
      </c>
      <c r="K1280" s="19"/>
      <c r="L1280" s="18">
        <f t="shared" si="342"/>
        <v>1823.3</v>
      </c>
      <c r="M1280" s="19"/>
      <c r="N1280" s="18">
        <f t="shared" si="334"/>
        <v>1823.3</v>
      </c>
      <c r="O1280" s="19"/>
      <c r="P1280" s="18">
        <f t="shared" si="335"/>
        <v>1823.3</v>
      </c>
      <c r="Q1280" s="19"/>
      <c r="R1280" s="18">
        <f t="shared" si="336"/>
        <v>1823.3</v>
      </c>
      <c r="S1280" s="64"/>
      <c r="T1280" s="18">
        <f t="shared" si="337"/>
        <v>1823.3</v>
      </c>
      <c r="U1280" s="64"/>
      <c r="V1280" s="18">
        <f t="shared" si="338"/>
        <v>1823.3</v>
      </c>
      <c r="W1280" s="45">
        <v>-673.6</v>
      </c>
      <c r="X1280" s="18">
        <f t="shared" si="339"/>
        <v>1149.6999999999998</v>
      </c>
      <c r="Z1280" s="43">
        <f>X1280+Y1280</f>
        <v>1149.6999999999998</v>
      </c>
      <c r="AA1280" s="43"/>
    </row>
    <row r="1281" spans="1:27" ht="24.75" x14ac:dyDescent="0.25">
      <c r="A1281" s="28" t="s">
        <v>1141</v>
      </c>
      <c r="B1281" s="24" t="s">
        <v>1142</v>
      </c>
      <c r="C1281" s="27"/>
      <c r="D1281" s="19"/>
      <c r="E1281" s="19"/>
      <c r="F1281" s="18"/>
      <c r="G1281" s="19"/>
      <c r="H1281" s="18"/>
      <c r="I1281" s="19"/>
      <c r="J1281" s="18"/>
      <c r="K1281" s="19"/>
      <c r="L1281" s="18"/>
      <c r="M1281" s="19"/>
      <c r="N1281" s="18"/>
      <c r="O1281" s="19"/>
      <c r="P1281" s="18"/>
      <c r="Q1281" s="19"/>
      <c r="R1281" s="18"/>
      <c r="S1281" s="47">
        <f>S1282</f>
        <v>3575</v>
      </c>
      <c r="T1281" s="18">
        <f t="shared" si="337"/>
        <v>3575</v>
      </c>
      <c r="U1281" s="47">
        <f>U1282</f>
        <v>0</v>
      </c>
      <c r="V1281" s="18">
        <f t="shared" si="338"/>
        <v>3575</v>
      </c>
      <c r="W1281" s="47">
        <f>W1282</f>
        <v>0</v>
      </c>
      <c r="X1281" s="18">
        <f t="shared" si="339"/>
        <v>3575</v>
      </c>
    </row>
    <row r="1282" spans="1:27" x14ac:dyDescent="0.25">
      <c r="A1282" s="7" t="s">
        <v>54</v>
      </c>
      <c r="B1282" s="25" t="s">
        <v>1142</v>
      </c>
      <c r="C1282" s="27" t="s">
        <v>34</v>
      </c>
      <c r="D1282" s="19"/>
      <c r="E1282" s="19"/>
      <c r="F1282" s="18"/>
      <c r="G1282" s="19"/>
      <c r="H1282" s="18"/>
      <c r="I1282" s="19"/>
      <c r="J1282" s="18"/>
      <c r="K1282" s="19"/>
      <c r="L1282" s="18"/>
      <c r="M1282" s="19"/>
      <c r="N1282" s="18"/>
      <c r="O1282" s="19"/>
      <c r="P1282" s="18"/>
      <c r="Q1282" s="19"/>
      <c r="R1282" s="18"/>
      <c r="S1282" s="122">
        <v>3575</v>
      </c>
      <c r="T1282" s="18">
        <f t="shared" ref="T1282" si="352">R1282+S1282</f>
        <v>3575</v>
      </c>
      <c r="U1282" s="64"/>
      <c r="V1282" s="18">
        <f t="shared" ref="V1282" si="353">T1282+U1282</f>
        <v>3575</v>
      </c>
      <c r="W1282" s="64"/>
      <c r="X1282" s="18">
        <f t="shared" ref="X1282" si="354">V1282+W1282</f>
        <v>3575</v>
      </c>
      <c r="Z1282" s="43">
        <f>X1282+Y1282</f>
        <v>3575</v>
      </c>
      <c r="AA1282" s="43"/>
    </row>
    <row r="1283" spans="1:27" ht="24.75" x14ac:dyDescent="0.25">
      <c r="A1283" s="13" t="s">
        <v>194</v>
      </c>
      <c r="B1283" s="24" t="s">
        <v>1126</v>
      </c>
      <c r="C1283" s="24"/>
      <c r="D1283" s="19"/>
      <c r="E1283" s="19"/>
      <c r="F1283" s="18"/>
      <c r="G1283" s="19"/>
      <c r="H1283" s="18"/>
      <c r="I1283" s="19"/>
      <c r="J1283" s="18"/>
      <c r="K1283" s="19"/>
      <c r="L1283" s="18"/>
      <c r="M1283" s="19"/>
      <c r="N1283" s="18"/>
      <c r="O1283" s="19"/>
      <c r="P1283" s="18"/>
      <c r="Q1283" s="18">
        <f t="shared" ref="Q1283:X1283" si="355">Q1284</f>
        <v>3522.2</v>
      </c>
      <c r="R1283" s="18">
        <f t="shared" si="355"/>
        <v>3522.2</v>
      </c>
      <c r="S1283" s="18">
        <f t="shared" si="355"/>
        <v>0</v>
      </c>
      <c r="T1283" s="18">
        <f t="shared" si="355"/>
        <v>3522.2</v>
      </c>
      <c r="U1283" s="18">
        <f t="shared" si="355"/>
        <v>0</v>
      </c>
      <c r="V1283" s="18">
        <f t="shared" si="355"/>
        <v>3522.2</v>
      </c>
      <c r="W1283" s="18">
        <f t="shared" si="355"/>
        <v>0</v>
      </c>
      <c r="X1283" s="18">
        <f t="shared" si="355"/>
        <v>3522.2</v>
      </c>
    </row>
    <row r="1284" spans="1:27" x14ac:dyDescent="0.25">
      <c r="A1284" s="7" t="s">
        <v>54</v>
      </c>
      <c r="B1284" s="25" t="s">
        <v>1126</v>
      </c>
      <c r="C1284" s="25" t="s">
        <v>34</v>
      </c>
      <c r="D1284" s="19"/>
      <c r="E1284" s="19"/>
      <c r="F1284" s="18"/>
      <c r="G1284" s="19"/>
      <c r="H1284" s="18"/>
      <c r="I1284" s="19"/>
      <c r="J1284" s="18"/>
      <c r="K1284" s="19"/>
      <c r="L1284" s="18"/>
      <c r="M1284" s="19"/>
      <c r="N1284" s="18"/>
      <c r="O1284" s="19"/>
      <c r="P1284" s="18"/>
      <c r="Q1284" s="44">
        <v>3522.2</v>
      </c>
      <c r="R1284" s="18">
        <f t="shared" si="336"/>
        <v>3522.2</v>
      </c>
      <c r="S1284" s="64"/>
      <c r="T1284" s="18">
        <f t="shared" ref="T1284:T1398" si="356">R1284+S1284</f>
        <v>3522.2</v>
      </c>
      <c r="U1284" s="64"/>
      <c r="V1284" s="18">
        <f t="shared" ref="V1284:V1398" si="357">T1284+U1284</f>
        <v>3522.2</v>
      </c>
      <c r="W1284" s="64"/>
      <c r="X1284" s="18">
        <f t="shared" ref="X1284:X1398" si="358">V1284+W1284</f>
        <v>3522.2</v>
      </c>
      <c r="Z1284" s="43">
        <f>X1284+Y1284</f>
        <v>3522.2</v>
      </c>
      <c r="AA1284" s="43"/>
    </row>
    <row r="1285" spans="1:27" x14ac:dyDescent="0.25">
      <c r="A1285" s="13" t="s">
        <v>483</v>
      </c>
      <c r="B1285" s="24" t="s">
        <v>238</v>
      </c>
      <c r="C1285" s="24" t="s">
        <v>2</v>
      </c>
      <c r="D1285" s="18">
        <f>D1286</f>
        <v>20</v>
      </c>
      <c r="E1285" s="18">
        <f>E1286</f>
        <v>0</v>
      </c>
      <c r="F1285" s="18">
        <f t="shared" si="344"/>
        <v>20</v>
      </c>
      <c r="G1285" s="18">
        <f>G1286</f>
        <v>0</v>
      </c>
      <c r="H1285" s="18">
        <f t="shared" si="345"/>
        <v>20</v>
      </c>
      <c r="I1285" s="18">
        <f>I1286</f>
        <v>0</v>
      </c>
      <c r="J1285" s="18">
        <f t="shared" si="341"/>
        <v>20</v>
      </c>
      <c r="K1285" s="18">
        <f>K1286</f>
        <v>562.1</v>
      </c>
      <c r="L1285" s="18">
        <f t="shared" si="342"/>
        <v>582.1</v>
      </c>
      <c r="M1285" s="18">
        <f>M1286</f>
        <v>0</v>
      </c>
      <c r="N1285" s="18">
        <f t="shared" si="334"/>
        <v>582.1</v>
      </c>
      <c r="O1285" s="18">
        <f>O1286</f>
        <v>0</v>
      </c>
      <c r="P1285" s="18">
        <f t="shared" si="335"/>
        <v>582.1</v>
      </c>
      <c r="Q1285" s="18">
        <f>Q1286</f>
        <v>0</v>
      </c>
      <c r="R1285" s="18">
        <f t="shared" si="336"/>
        <v>582.1</v>
      </c>
      <c r="S1285" s="18">
        <f>S1286</f>
        <v>0</v>
      </c>
      <c r="T1285" s="18">
        <f t="shared" si="356"/>
        <v>582.1</v>
      </c>
      <c r="U1285" s="18">
        <f>U1286</f>
        <v>0</v>
      </c>
      <c r="V1285" s="18">
        <f t="shared" si="357"/>
        <v>582.1</v>
      </c>
      <c r="W1285" s="18">
        <f>W1286</f>
        <v>0</v>
      </c>
      <c r="X1285" s="18">
        <f t="shared" si="358"/>
        <v>582.1</v>
      </c>
    </row>
    <row r="1286" spans="1:27" x14ac:dyDescent="0.25">
      <c r="A1286" s="7" t="s">
        <v>54</v>
      </c>
      <c r="B1286" s="25" t="s">
        <v>238</v>
      </c>
      <c r="C1286" s="25" t="s">
        <v>34</v>
      </c>
      <c r="D1286" s="19">
        <v>20</v>
      </c>
      <c r="E1286" s="19"/>
      <c r="F1286" s="18">
        <f t="shared" si="344"/>
        <v>20</v>
      </c>
      <c r="G1286" s="19"/>
      <c r="H1286" s="18">
        <f t="shared" si="345"/>
        <v>20</v>
      </c>
      <c r="I1286" s="19"/>
      <c r="J1286" s="18">
        <f t="shared" si="341"/>
        <v>20</v>
      </c>
      <c r="K1286" s="106">
        <v>562.1</v>
      </c>
      <c r="L1286" s="18">
        <f t="shared" si="342"/>
        <v>582.1</v>
      </c>
      <c r="M1286" s="64"/>
      <c r="N1286" s="18">
        <f t="shared" si="334"/>
        <v>582.1</v>
      </c>
      <c r="O1286" s="64"/>
      <c r="P1286" s="18">
        <f t="shared" si="335"/>
        <v>582.1</v>
      </c>
      <c r="Q1286" s="64"/>
      <c r="R1286" s="18">
        <f t="shared" si="336"/>
        <v>582.1</v>
      </c>
      <c r="S1286" s="64"/>
      <c r="T1286" s="18">
        <f t="shared" si="356"/>
        <v>582.1</v>
      </c>
      <c r="U1286" s="64"/>
      <c r="V1286" s="18">
        <f t="shared" si="357"/>
        <v>582.1</v>
      </c>
      <c r="W1286" s="64"/>
      <c r="X1286" s="18">
        <f t="shared" si="358"/>
        <v>582.1</v>
      </c>
      <c r="Z1286" s="43">
        <f>X1286+Y1286</f>
        <v>582.1</v>
      </c>
      <c r="AA1286" s="43"/>
    </row>
    <row r="1287" spans="1:27" x14ac:dyDescent="0.25">
      <c r="A1287" s="13" t="s">
        <v>241</v>
      </c>
      <c r="B1287" s="24" t="s">
        <v>242</v>
      </c>
      <c r="C1287" s="24" t="s">
        <v>2</v>
      </c>
      <c r="D1287" s="18">
        <f>D1288</f>
        <v>6310</v>
      </c>
      <c r="E1287" s="18">
        <f>E1288</f>
        <v>0</v>
      </c>
      <c r="F1287" s="18">
        <f t="shared" si="344"/>
        <v>6310</v>
      </c>
      <c r="G1287" s="18">
        <f>G1288</f>
        <v>0</v>
      </c>
      <c r="H1287" s="18">
        <f t="shared" si="345"/>
        <v>6310</v>
      </c>
      <c r="I1287" s="18">
        <f>I1288</f>
        <v>0</v>
      </c>
      <c r="J1287" s="18">
        <f t="shared" si="341"/>
        <v>6310</v>
      </c>
      <c r="K1287" s="18">
        <f>K1288</f>
        <v>-562.1</v>
      </c>
      <c r="L1287" s="18">
        <f t="shared" si="342"/>
        <v>5747.9</v>
      </c>
      <c r="M1287" s="18">
        <f>M1288</f>
        <v>0</v>
      </c>
      <c r="N1287" s="18">
        <f t="shared" si="334"/>
        <v>5747.9</v>
      </c>
      <c r="O1287" s="18">
        <f>O1288</f>
        <v>0</v>
      </c>
      <c r="P1287" s="18">
        <f t="shared" si="335"/>
        <v>5747.9</v>
      </c>
      <c r="Q1287" s="18">
        <f>Q1288</f>
        <v>0</v>
      </c>
      <c r="R1287" s="18">
        <f t="shared" si="336"/>
        <v>5747.9</v>
      </c>
      <c r="S1287" s="18">
        <f>S1288</f>
        <v>-1000</v>
      </c>
      <c r="T1287" s="18">
        <f t="shared" si="356"/>
        <v>4747.8999999999996</v>
      </c>
      <c r="U1287" s="18">
        <f>U1288</f>
        <v>0</v>
      </c>
      <c r="V1287" s="18">
        <f t="shared" si="357"/>
        <v>4747.8999999999996</v>
      </c>
      <c r="W1287" s="18">
        <f>W1288</f>
        <v>0</v>
      </c>
      <c r="X1287" s="18">
        <f t="shared" si="358"/>
        <v>4747.8999999999996</v>
      </c>
    </row>
    <row r="1288" spans="1:27" x14ac:dyDescent="0.25">
      <c r="A1288" s="7" t="s">
        <v>54</v>
      </c>
      <c r="B1288" s="25" t="s">
        <v>242</v>
      </c>
      <c r="C1288" s="25" t="s">
        <v>34</v>
      </c>
      <c r="D1288" s="19">
        <v>6310</v>
      </c>
      <c r="E1288" s="19"/>
      <c r="F1288" s="18">
        <f t="shared" si="344"/>
        <v>6310</v>
      </c>
      <c r="G1288" s="19"/>
      <c r="H1288" s="18">
        <f t="shared" si="345"/>
        <v>6310</v>
      </c>
      <c r="I1288" s="19"/>
      <c r="J1288" s="18">
        <f t="shared" si="341"/>
        <v>6310</v>
      </c>
      <c r="K1288" s="106">
        <v>-562.1</v>
      </c>
      <c r="L1288" s="18">
        <f t="shared" si="342"/>
        <v>5747.9</v>
      </c>
      <c r="M1288" s="64"/>
      <c r="N1288" s="18">
        <f t="shared" si="334"/>
        <v>5747.9</v>
      </c>
      <c r="O1288" s="64"/>
      <c r="P1288" s="18">
        <f t="shared" si="335"/>
        <v>5747.9</v>
      </c>
      <c r="Q1288" s="64"/>
      <c r="R1288" s="18">
        <f t="shared" si="336"/>
        <v>5747.9</v>
      </c>
      <c r="S1288" s="44">
        <v>-1000</v>
      </c>
      <c r="T1288" s="18">
        <f t="shared" si="356"/>
        <v>4747.8999999999996</v>
      </c>
      <c r="U1288" s="64"/>
      <c r="V1288" s="18">
        <f t="shared" si="357"/>
        <v>4747.8999999999996</v>
      </c>
      <c r="W1288" s="64"/>
      <c r="X1288" s="18">
        <f t="shared" si="358"/>
        <v>4747.8999999999996</v>
      </c>
      <c r="Z1288" s="43">
        <f>X1288+Y1288</f>
        <v>4747.8999999999996</v>
      </c>
      <c r="AA1288" s="43"/>
    </row>
    <row r="1289" spans="1:27" ht="43.5" customHeight="1" x14ac:dyDescent="0.25">
      <c r="A1289" s="46" t="s">
        <v>564</v>
      </c>
      <c r="B1289" s="24" t="s">
        <v>565</v>
      </c>
      <c r="C1289" s="27"/>
      <c r="D1289" s="19"/>
      <c r="E1289" s="47">
        <f>E1290</f>
        <v>9570</v>
      </c>
      <c r="F1289" s="18">
        <f t="shared" si="344"/>
        <v>9570</v>
      </c>
      <c r="G1289" s="47">
        <f>G1290</f>
        <v>0</v>
      </c>
      <c r="H1289" s="18">
        <f t="shared" si="345"/>
        <v>9570</v>
      </c>
      <c r="I1289" s="47">
        <f>I1290+I1291</f>
        <v>1</v>
      </c>
      <c r="J1289" s="18">
        <f t="shared" si="341"/>
        <v>9571</v>
      </c>
      <c r="K1289" s="47">
        <f>K1290+K1291</f>
        <v>0</v>
      </c>
      <c r="L1289" s="18">
        <f t="shared" si="342"/>
        <v>9571</v>
      </c>
      <c r="M1289" s="47">
        <f>M1290+M1291</f>
        <v>0</v>
      </c>
      <c r="N1289" s="18">
        <f t="shared" si="334"/>
        <v>9571</v>
      </c>
      <c r="O1289" s="47">
        <f>O1290+O1291</f>
        <v>0</v>
      </c>
      <c r="P1289" s="18">
        <f t="shared" si="335"/>
        <v>9571</v>
      </c>
      <c r="Q1289" s="47">
        <f>Q1290+Q1291</f>
        <v>0</v>
      </c>
      <c r="R1289" s="18">
        <f t="shared" si="336"/>
        <v>9571</v>
      </c>
      <c r="S1289" s="47">
        <f>S1290+S1291</f>
        <v>0</v>
      </c>
      <c r="T1289" s="18">
        <f t="shared" si="356"/>
        <v>9571</v>
      </c>
      <c r="U1289" s="47">
        <f>U1290+U1291</f>
        <v>0</v>
      </c>
      <c r="V1289" s="18">
        <f t="shared" si="357"/>
        <v>9571</v>
      </c>
      <c r="W1289" s="47">
        <f>W1290+W1291</f>
        <v>0</v>
      </c>
      <c r="X1289" s="18">
        <f t="shared" si="358"/>
        <v>9571</v>
      </c>
    </row>
    <row r="1290" spans="1:27" ht="24.75" x14ac:dyDescent="0.25">
      <c r="A1290" s="7" t="s">
        <v>502</v>
      </c>
      <c r="B1290" s="25" t="s">
        <v>565</v>
      </c>
      <c r="C1290" s="27" t="s">
        <v>209</v>
      </c>
      <c r="D1290" s="19"/>
      <c r="E1290" s="45">
        <v>9570</v>
      </c>
      <c r="F1290" s="18">
        <f t="shared" si="344"/>
        <v>9570</v>
      </c>
      <c r="G1290" s="64"/>
      <c r="H1290" s="18">
        <f t="shared" si="345"/>
        <v>9570</v>
      </c>
      <c r="I1290" s="64"/>
      <c r="J1290" s="18">
        <f t="shared" si="341"/>
        <v>9570</v>
      </c>
      <c r="K1290" s="64"/>
      <c r="L1290" s="18">
        <f t="shared" si="342"/>
        <v>9570</v>
      </c>
      <c r="M1290" s="64"/>
      <c r="N1290" s="18">
        <f t="shared" si="334"/>
        <v>9570</v>
      </c>
      <c r="O1290" s="64"/>
      <c r="P1290" s="18">
        <f t="shared" si="335"/>
        <v>9570</v>
      </c>
      <c r="Q1290" s="64"/>
      <c r="R1290" s="18">
        <f t="shared" si="336"/>
        <v>9570</v>
      </c>
      <c r="S1290" s="64"/>
      <c r="T1290" s="18">
        <f t="shared" si="356"/>
        <v>9570</v>
      </c>
      <c r="U1290" s="64"/>
      <c r="V1290" s="18">
        <f t="shared" si="357"/>
        <v>9570</v>
      </c>
      <c r="W1290" s="64"/>
      <c r="X1290" s="18">
        <f t="shared" si="358"/>
        <v>9570</v>
      </c>
      <c r="Z1290" s="43">
        <f t="shared" ref="Z1290:Z1291" si="359">X1290+Y1290</f>
        <v>9570</v>
      </c>
      <c r="AA1290" s="43"/>
    </row>
    <row r="1291" spans="1:27" ht="24.75" x14ac:dyDescent="0.25">
      <c r="A1291" s="7" t="s">
        <v>502</v>
      </c>
      <c r="B1291" s="25" t="s">
        <v>565</v>
      </c>
      <c r="C1291" s="27" t="s">
        <v>209</v>
      </c>
      <c r="D1291" s="19"/>
      <c r="E1291" s="45"/>
      <c r="F1291" s="18"/>
      <c r="G1291" s="64"/>
      <c r="H1291" s="18"/>
      <c r="I1291" s="44">
        <v>1</v>
      </c>
      <c r="J1291" s="82">
        <f t="shared" si="341"/>
        <v>1</v>
      </c>
      <c r="K1291" s="44"/>
      <c r="L1291" s="82">
        <f t="shared" si="342"/>
        <v>1</v>
      </c>
      <c r="M1291" s="44"/>
      <c r="N1291" s="82">
        <f t="shared" si="334"/>
        <v>1</v>
      </c>
      <c r="O1291" s="44"/>
      <c r="P1291" s="82">
        <f t="shared" si="335"/>
        <v>1</v>
      </c>
      <c r="Q1291" s="44"/>
      <c r="R1291" s="82">
        <f t="shared" si="336"/>
        <v>1</v>
      </c>
      <c r="S1291" s="64"/>
      <c r="T1291" s="82">
        <f t="shared" si="356"/>
        <v>1</v>
      </c>
      <c r="U1291" s="64"/>
      <c r="V1291" s="82">
        <f t="shared" si="357"/>
        <v>1</v>
      </c>
      <c r="W1291" s="64"/>
      <c r="X1291" s="82">
        <f t="shared" si="358"/>
        <v>1</v>
      </c>
      <c r="Z1291" s="43">
        <f t="shared" si="359"/>
        <v>1</v>
      </c>
      <c r="AA1291" s="43"/>
    </row>
    <row r="1292" spans="1:27" ht="24.75" x14ac:dyDescent="0.25">
      <c r="A1292" s="13" t="s">
        <v>243</v>
      </c>
      <c r="B1292" s="24" t="s">
        <v>244</v>
      </c>
      <c r="C1292" s="24" t="s">
        <v>2</v>
      </c>
      <c r="D1292" s="18">
        <f>D1293</f>
        <v>93.2</v>
      </c>
      <c r="E1292" s="18">
        <f>E1293</f>
        <v>0</v>
      </c>
      <c r="F1292" s="18">
        <f t="shared" si="344"/>
        <v>93.2</v>
      </c>
      <c r="G1292" s="18">
        <f>G1293</f>
        <v>0</v>
      </c>
      <c r="H1292" s="18">
        <f t="shared" si="345"/>
        <v>93.2</v>
      </c>
      <c r="I1292" s="18">
        <f>I1293</f>
        <v>-1</v>
      </c>
      <c r="J1292" s="18">
        <f t="shared" si="341"/>
        <v>92.2</v>
      </c>
      <c r="K1292" s="18">
        <f>K1293</f>
        <v>0</v>
      </c>
      <c r="L1292" s="18">
        <f t="shared" si="342"/>
        <v>92.2</v>
      </c>
      <c r="M1292" s="18">
        <f>M1293</f>
        <v>0</v>
      </c>
      <c r="N1292" s="18">
        <f t="shared" si="334"/>
        <v>92.2</v>
      </c>
      <c r="O1292" s="18">
        <f>O1293</f>
        <v>0</v>
      </c>
      <c r="P1292" s="18">
        <f t="shared" si="335"/>
        <v>92.2</v>
      </c>
      <c r="Q1292" s="18">
        <f>Q1293</f>
        <v>0</v>
      </c>
      <c r="R1292" s="18">
        <f t="shared" si="336"/>
        <v>92.2</v>
      </c>
      <c r="S1292" s="18">
        <f>S1293</f>
        <v>0</v>
      </c>
      <c r="T1292" s="18">
        <f t="shared" si="356"/>
        <v>92.2</v>
      </c>
      <c r="U1292" s="18">
        <f>U1293</f>
        <v>0</v>
      </c>
      <c r="V1292" s="18">
        <f t="shared" si="357"/>
        <v>92.2</v>
      </c>
      <c r="W1292" s="18">
        <f>W1293</f>
        <v>0</v>
      </c>
      <c r="X1292" s="18">
        <f t="shared" si="358"/>
        <v>92.2</v>
      </c>
    </row>
    <row r="1293" spans="1:27" x14ac:dyDescent="0.25">
      <c r="A1293" s="7" t="s">
        <v>54</v>
      </c>
      <c r="B1293" s="25" t="s">
        <v>244</v>
      </c>
      <c r="C1293" s="25" t="s">
        <v>34</v>
      </c>
      <c r="D1293" s="19">
        <v>93.2</v>
      </c>
      <c r="E1293" s="19"/>
      <c r="F1293" s="18">
        <f t="shared" si="344"/>
        <v>93.2</v>
      </c>
      <c r="G1293" s="19"/>
      <c r="H1293" s="18">
        <f t="shared" si="345"/>
        <v>93.2</v>
      </c>
      <c r="I1293" s="62">
        <v>-1</v>
      </c>
      <c r="J1293" s="18">
        <f t="shared" si="341"/>
        <v>92.2</v>
      </c>
      <c r="K1293" s="64"/>
      <c r="L1293" s="18">
        <f t="shared" si="342"/>
        <v>92.2</v>
      </c>
      <c r="M1293" s="64"/>
      <c r="N1293" s="18">
        <f t="shared" si="334"/>
        <v>92.2</v>
      </c>
      <c r="O1293" s="64"/>
      <c r="P1293" s="18">
        <f t="shared" si="335"/>
        <v>92.2</v>
      </c>
      <c r="Q1293" s="64"/>
      <c r="R1293" s="18">
        <f t="shared" si="336"/>
        <v>92.2</v>
      </c>
      <c r="S1293" s="64"/>
      <c r="T1293" s="18">
        <f t="shared" si="356"/>
        <v>92.2</v>
      </c>
      <c r="U1293" s="64"/>
      <c r="V1293" s="18">
        <f t="shared" si="357"/>
        <v>92.2</v>
      </c>
      <c r="W1293" s="64"/>
      <c r="X1293" s="18">
        <f t="shared" si="358"/>
        <v>92.2</v>
      </c>
      <c r="Z1293" s="43">
        <f>X1293+Y1293</f>
        <v>92.2</v>
      </c>
      <c r="AA1293" s="43"/>
    </row>
    <row r="1294" spans="1:27" ht="24.75" x14ac:dyDescent="0.25">
      <c r="A1294" s="16" t="s">
        <v>491</v>
      </c>
      <c r="B1294" s="22" t="s">
        <v>25</v>
      </c>
      <c r="C1294" s="22" t="s">
        <v>2</v>
      </c>
      <c r="D1294" s="17">
        <f>D1295+D1398+D1403</f>
        <v>149948.79999999996</v>
      </c>
      <c r="E1294" s="17">
        <f>E1295+E1398+E1403</f>
        <v>3715.2</v>
      </c>
      <c r="F1294" s="17">
        <f t="shared" si="344"/>
        <v>153663.99999999997</v>
      </c>
      <c r="G1294" s="17">
        <f>G1295+G1398+G1403</f>
        <v>-10000</v>
      </c>
      <c r="H1294" s="17">
        <f t="shared" si="345"/>
        <v>143663.99999999997</v>
      </c>
      <c r="I1294" s="17">
        <f>I1295+I1398+I1403</f>
        <v>-319.29999999999995</v>
      </c>
      <c r="J1294" s="17">
        <f t="shared" si="341"/>
        <v>143344.69999999998</v>
      </c>
      <c r="K1294" s="17">
        <f>K1295+K1398+K1403</f>
        <v>8962.7000000000007</v>
      </c>
      <c r="L1294" s="17">
        <f t="shared" si="342"/>
        <v>152307.4</v>
      </c>
      <c r="M1294" s="17">
        <f>M1295+M1398+M1403</f>
        <v>-1354.0999999999997</v>
      </c>
      <c r="N1294" s="17">
        <f t="shared" si="334"/>
        <v>150953.29999999999</v>
      </c>
      <c r="O1294" s="17">
        <f>O1295+O1398+O1403</f>
        <v>-12300</v>
      </c>
      <c r="P1294" s="17">
        <f t="shared" si="335"/>
        <v>138653.29999999999</v>
      </c>
      <c r="Q1294" s="17">
        <f>Q1295+Q1398+Q1403</f>
        <v>18241.199999999997</v>
      </c>
      <c r="R1294" s="17">
        <f t="shared" si="336"/>
        <v>156894.5</v>
      </c>
      <c r="S1294" s="17">
        <f>S1295+S1398+S1403</f>
        <v>-1302.9000000000001</v>
      </c>
      <c r="T1294" s="17">
        <f t="shared" si="356"/>
        <v>155591.6</v>
      </c>
      <c r="U1294" s="17">
        <f>U1295+U1398+U1403</f>
        <v>904.60000000000036</v>
      </c>
      <c r="V1294" s="17">
        <f t="shared" si="357"/>
        <v>156496.20000000001</v>
      </c>
      <c r="W1294" s="17">
        <f>W1295+W1398+W1403</f>
        <v>256.59999999999968</v>
      </c>
      <c r="X1294" s="17">
        <f t="shared" si="358"/>
        <v>156752.80000000002</v>
      </c>
    </row>
    <row r="1295" spans="1:27" x14ac:dyDescent="0.25">
      <c r="A1295" s="13" t="s">
        <v>26</v>
      </c>
      <c r="B1295" s="24" t="s">
        <v>27</v>
      </c>
      <c r="C1295" s="24" t="s">
        <v>2</v>
      </c>
      <c r="D1295" s="18">
        <f>D1296+D1301+D1304+D1314+D1371+D1376+D1391</f>
        <v>149445.79999999996</v>
      </c>
      <c r="E1295" s="18">
        <f>E1296+E1301+E1304+E1314+E1371+E1376+E1391</f>
        <v>3715.2</v>
      </c>
      <c r="F1295" s="18">
        <f t="shared" si="344"/>
        <v>153160.99999999997</v>
      </c>
      <c r="G1295" s="18">
        <f>G1296+G1301+G1304+G1314+G1371+G1376+G1391</f>
        <v>-10000</v>
      </c>
      <c r="H1295" s="18">
        <f t="shared" si="345"/>
        <v>143160.99999999997</v>
      </c>
      <c r="I1295" s="18">
        <f>I1296+I1301+I1304+I1314+I1371+I1376+I1391</f>
        <v>-319.29999999999995</v>
      </c>
      <c r="J1295" s="18">
        <f t="shared" si="341"/>
        <v>142841.69999999998</v>
      </c>
      <c r="K1295" s="18">
        <f>K1296+K1301+K1304+K1314+K1371+K1376+K1391</f>
        <v>8962.7000000000007</v>
      </c>
      <c r="L1295" s="18">
        <f t="shared" si="342"/>
        <v>151804.4</v>
      </c>
      <c r="M1295" s="18">
        <f>M1296+M1301+M1304+M1314+M1371+M1376+M1391</f>
        <v>-1354.0999999999997</v>
      </c>
      <c r="N1295" s="18">
        <f t="shared" si="334"/>
        <v>150450.29999999999</v>
      </c>
      <c r="O1295" s="18">
        <f>O1296+O1301+O1304+O1314+O1371+O1376+O1391</f>
        <v>-12300</v>
      </c>
      <c r="P1295" s="18">
        <f t="shared" si="335"/>
        <v>138150.29999999999</v>
      </c>
      <c r="Q1295" s="18">
        <f>Q1296+Q1301+Q1304+Q1314+Q1371+Q1376+Q1391</f>
        <v>18237.599999999999</v>
      </c>
      <c r="R1295" s="18">
        <f t="shared" si="336"/>
        <v>156387.9</v>
      </c>
      <c r="S1295" s="18">
        <f>S1296+S1301+S1304+S1314+S1371+S1376+S1391</f>
        <v>-1302.9000000000001</v>
      </c>
      <c r="T1295" s="18">
        <f t="shared" si="356"/>
        <v>155085</v>
      </c>
      <c r="U1295" s="18">
        <f>U1296+U1301+U1304+U1314+U1371+U1376+U1391</f>
        <v>904.60000000000036</v>
      </c>
      <c r="V1295" s="18">
        <f t="shared" si="357"/>
        <v>155989.6</v>
      </c>
      <c r="W1295" s="18">
        <f>W1296+W1301+W1304+W1314+W1371+W1376+W1391</f>
        <v>256.59999999999968</v>
      </c>
      <c r="X1295" s="18">
        <f t="shared" si="358"/>
        <v>156246.20000000001</v>
      </c>
    </row>
    <row r="1296" spans="1:27" ht="48.75" x14ac:dyDescent="0.25">
      <c r="A1296" s="13" t="s">
        <v>492</v>
      </c>
      <c r="B1296" s="24" t="s">
        <v>95</v>
      </c>
      <c r="C1296" s="24" t="s">
        <v>2</v>
      </c>
      <c r="D1296" s="18">
        <f>D1297+D1299</f>
        <v>634</v>
      </c>
      <c r="E1296" s="18">
        <f>E1297+E1299</f>
        <v>0</v>
      </c>
      <c r="F1296" s="18">
        <f t="shared" si="344"/>
        <v>634</v>
      </c>
      <c r="G1296" s="18">
        <f>G1297+G1299</f>
        <v>0</v>
      </c>
      <c r="H1296" s="18">
        <f t="shared" si="345"/>
        <v>634</v>
      </c>
      <c r="I1296" s="18">
        <f>I1297+I1299</f>
        <v>0</v>
      </c>
      <c r="J1296" s="18">
        <f t="shared" si="341"/>
        <v>634</v>
      </c>
      <c r="K1296" s="18">
        <f>K1297+K1299</f>
        <v>50</v>
      </c>
      <c r="L1296" s="18">
        <f t="shared" si="342"/>
        <v>684</v>
      </c>
      <c r="M1296" s="18">
        <f>M1297+M1299</f>
        <v>-600</v>
      </c>
      <c r="N1296" s="18">
        <f t="shared" si="334"/>
        <v>84</v>
      </c>
      <c r="O1296" s="18">
        <f>O1297+O1299</f>
        <v>0</v>
      </c>
      <c r="P1296" s="18">
        <f t="shared" si="335"/>
        <v>84</v>
      </c>
      <c r="Q1296" s="18">
        <f>Q1297+Q1299</f>
        <v>0</v>
      </c>
      <c r="R1296" s="18">
        <f t="shared" si="336"/>
        <v>84</v>
      </c>
      <c r="S1296" s="18">
        <f>S1297+S1299</f>
        <v>0</v>
      </c>
      <c r="T1296" s="18">
        <f t="shared" si="356"/>
        <v>84</v>
      </c>
      <c r="U1296" s="18">
        <f>U1297+U1299</f>
        <v>0</v>
      </c>
      <c r="V1296" s="18">
        <f t="shared" si="357"/>
        <v>84</v>
      </c>
      <c r="W1296" s="18">
        <f>W1297+W1299</f>
        <v>-38.200000000000003</v>
      </c>
      <c r="X1296" s="18">
        <f t="shared" si="358"/>
        <v>45.8</v>
      </c>
    </row>
    <row r="1297" spans="1:27" ht="24.75" hidden="1" x14ac:dyDescent="0.25">
      <c r="A1297" s="13" t="s">
        <v>96</v>
      </c>
      <c r="B1297" s="24" t="s">
        <v>97</v>
      </c>
      <c r="C1297" s="24" t="s">
        <v>2</v>
      </c>
      <c r="D1297" s="18">
        <f>D1298</f>
        <v>600</v>
      </c>
      <c r="E1297" s="18">
        <f>E1298</f>
        <v>0</v>
      </c>
      <c r="F1297" s="18">
        <f t="shared" si="344"/>
        <v>600</v>
      </c>
      <c r="G1297" s="18">
        <f>G1298</f>
        <v>0</v>
      </c>
      <c r="H1297" s="18">
        <f t="shared" si="345"/>
        <v>600</v>
      </c>
      <c r="I1297" s="18">
        <f>I1298</f>
        <v>0</v>
      </c>
      <c r="J1297" s="18">
        <f t="shared" si="341"/>
        <v>600</v>
      </c>
      <c r="K1297" s="18">
        <f>K1298</f>
        <v>0</v>
      </c>
      <c r="L1297" s="18">
        <f t="shared" si="342"/>
        <v>600</v>
      </c>
      <c r="M1297" s="18">
        <f>M1298</f>
        <v>-600</v>
      </c>
      <c r="N1297" s="18">
        <f t="shared" si="334"/>
        <v>0</v>
      </c>
      <c r="O1297" s="18">
        <f>O1298</f>
        <v>0</v>
      </c>
      <c r="P1297" s="18">
        <f t="shared" si="335"/>
        <v>0</v>
      </c>
      <c r="Q1297" s="18">
        <f>Q1298</f>
        <v>0</v>
      </c>
      <c r="R1297" s="18">
        <f t="shared" si="336"/>
        <v>0</v>
      </c>
      <c r="S1297" s="18">
        <f>S1298</f>
        <v>0</v>
      </c>
      <c r="T1297" s="18">
        <f t="shared" si="356"/>
        <v>0</v>
      </c>
      <c r="U1297" s="18">
        <f>U1298</f>
        <v>0</v>
      </c>
      <c r="V1297" s="18">
        <f t="shared" si="357"/>
        <v>0</v>
      </c>
      <c r="W1297" s="18">
        <f>W1298</f>
        <v>0</v>
      </c>
      <c r="X1297" s="18">
        <f t="shared" si="358"/>
        <v>0</v>
      </c>
    </row>
    <row r="1298" spans="1:27" hidden="1" x14ac:dyDescent="0.25">
      <c r="A1298" s="7" t="s">
        <v>54</v>
      </c>
      <c r="B1298" s="25" t="s">
        <v>97</v>
      </c>
      <c r="C1298" s="25" t="s">
        <v>34</v>
      </c>
      <c r="D1298" s="19">
        <v>600</v>
      </c>
      <c r="E1298" s="19"/>
      <c r="F1298" s="18">
        <f t="shared" si="344"/>
        <v>600</v>
      </c>
      <c r="G1298" s="19"/>
      <c r="H1298" s="18">
        <f t="shared" si="345"/>
        <v>600</v>
      </c>
      <c r="I1298" s="19"/>
      <c r="J1298" s="18">
        <f t="shared" si="341"/>
        <v>600</v>
      </c>
      <c r="K1298" s="19"/>
      <c r="L1298" s="18">
        <f t="shared" si="342"/>
        <v>600</v>
      </c>
      <c r="M1298" s="62">
        <v>-600</v>
      </c>
      <c r="N1298" s="18">
        <f t="shared" si="334"/>
        <v>0</v>
      </c>
      <c r="O1298" s="64"/>
      <c r="P1298" s="18">
        <f t="shared" si="335"/>
        <v>0</v>
      </c>
      <c r="Q1298" s="64"/>
      <c r="R1298" s="18">
        <f t="shared" si="336"/>
        <v>0</v>
      </c>
      <c r="S1298" s="64"/>
      <c r="T1298" s="18">
        <f t="shared" si="356"/>
        <v>0</v>
      </c>
      <c r="U1298" s="64"/>
      <c r="V1298" s="18">
        <f t="shared" si="357"/>
        <v>0</v>
      </c>
      <c r="W1298" s="64"/>
      <c r="X1298" s="18">
        <f t="shared" si="358"/>
        <v>0</v>
      </c>
      <c r="Z1298" s="43">
        <f>X1298+Y1298</f>
        <v>0</v>
      </c>
      <c r="AA1298" s="43"/>
    </row>
    <row r="1299" spans="1:27" ht="24.75" x14ac:dyDescent="0.25">
      <c r="A1299" s="13" t="s">
        <v>309</v>
      </c>
      <c r="B1299" s="24" t="s">
        <v>310</v>
      </c>
      <c r="C1299" s="24" t="s">
        <v>2</v>
      </c>
      <c r="D1299" s="18">
        <f>D1300</f>
        <v>34</v>
      </c>
      <c r="E1299" s="18">
        <f>E1300</f>
        <v>0</v>
      </c>
      <c r="F1299" s="18">
        <f t="shared" si="344"/>
        <v>34</v>
      </c>
      <c r="G1299" s="18">
        <f>G1300</f>
        <v>0</v>
      </c>
      <c r="H1299" s="18">
        <f t="shared" si="345"/>
        <v>34</v>
      </c>
      <c r="I1299" s="18">
        <f>I1300</f>
        <v>0</v>
      </c>
      <c r="J1299" s="18">
        <f t="shared" si="341"/>
        <v>34</v>
      </c>
      <c r="K1299" s="18">
        <f>K1300</f>
        <v>50</v>
      </c>
      <c r="L1299" s="18">
        <f t="shared" si="342"/>
        <v>84</v>
      </c>
      <c r="M1299" s="18">
        <f>M1300</f>
        <v>0</v>
      </c>
      <c r="N1299" s="18">
        <f t="shared" si="334"/>
        <v>84</v>
      </c>
      <c r="O1299" s="18">
        <f>O1300</f>
        <v>0</v>
      </c>
      <c r="P1299" s="18">
        <f t="shared" si="335"/>
        <v>84</v>
      </c>
      <c r="Q1299" s="18">
        <f>Q1300</f>
        <v>0</v>
      </c>
      <c r="R1299" s="18">
        <f t="shared" si="336"/>
        <v>84</v>
      </c>
      <c r="S1299" s="18">
        <f>S1300</f>
        <v>0</v>
      </c>
      <c r="T1299" s="18">
        <f t="shared" si="356"/>
        <v>84</v>
      </c>
      <c r="U1299" s="18">
        <f>U1300</f>
        <v>0</v>
      </c>
      <c r="V1299" s="18">
        <f t="shared" si="357"/>
        <v>84</v>
      </c>
      <c r="W1299" s="18">
        <f>W1300</f>
        <v>-38.200000000000003</v>
      </c>
      <c r="X1299" s="18">
        <f t="shared" si="358"/>
        <v>45.8</v>
      </c>
    </row>
    <row r="1300" spans="1:27" x14ac:dyDescent="0.25">
      <c r="A1300" s="7" t="s">
        <v>54</v>
      </c>
      <c r="B1300" s="25" t="s">
        <v>310</v>
      </c>
      <c r="C1300" s="25" t="s">
        <v>34</v>
      </c>
      <c r="D1300" s="19">
        <v>34</v>
      </c>
      <c r="E1300" s="19"/>
      <c r="F1300" s="18">
        <f t="shared" si="344"/>
        <v>34</v>
      </c>
      <c r="G1300" s="19"/>
      <c r="H1300" s="18">
        <f t="shared" si="345"/>
        <v>34</v>
      </c>
      <c r="I1300" s="19"/>
      <c r="J1300" s="18">
        <f t="shared" si="341"/>
        <v>34</v>
      </c>
      <c r="K1300" s="106">
        <v>50</v>
      </c>
      <c r="L1300" s="18">
        <f t="shared" si="342"/>
        <v>84</v>
      </c>
      <c r="M1300" s="64"/>
      <c r="N1300" s="18">
        <f t="shared" si="334"/>
        <v>84</v>
      </c>
      <c r="O1300" s="64"/>
      <c r="P1300" s="18">
        <f t="shared" si="335"/>
        <v>84</v>
      </c>
      <c r="Q1300" s="64"/>
      <c r="R1300" s="18">
        <f t="shared" si="336"/>
        <v>84</v>
      </c>
      <c r="S1300" s="64"/>
      <c r="T1300" s="18">
        <f t="shared" si="356"/>
        <v>84</v>
      </c>
      <c r="U1300" s="64"/>
      <c r="V1300" s="18">
        <f t="shared" si="357"/>
        <v>84</v>
      </c>
      <c r="W1300" s="44">
        <v>-38.200000000000003</v>
      </c>
      <c r="X1300" s="18">
        <f t="shared" si="358"/>
        <v>45.8</v>
      </c>
      <c r="Z1300" s="43">
        <f>X1300+Y1300</f>
        <v>45.8</v>
      </c>
      <c r="AA1300" s="43"/>
    </row>
    <row r="1301" spans="1:27" ht="24.75" hidden="1" x14ac:dyDescent="0.25">
      <c r="A1301" s="13" t="s">
        <v>98</v>
      </c>
      <c r="B1301" s="24" t="s">
        <v>99</v>
      </c>
      <c r="C1301" s="24" t="s">
        <v>2</v>
      </c>
      <c r="D1301" s="18">
        <f>D1302</f>
        <v>127.2</v>
      </c>
      <c r="E1301" s="18">
        <f>E1302</f>
        <v>0</v>
      </c>
      <c r="F1301" s="18">
        <f t="shared" si="344"/>
        <v>127.2</v>
      </c>
      <c r="G1301" s="18">
        <f>G1302</f>
        <v>0</v>
      </c>
      <c r="H1301" s="18">
        <f t="shared" si="345"/>
        <v>127.2</v>
      </c>
      <c r="I1301" s="18">
        <f>I1302</f>
        <v>0</v>
      </c>
      <c r="J1301" s="18">
        <f t="shared" si="341"/>
        <v>127.2</v>
      </c>
      <c r="K1301" s="18">
        <f>K1302</f>
        <v>0</v>
      </c>
      <c r="L1301" s="18">
        <f t="shared" si="342"/>
        <v>127.2</v>
      </c>
      <c r="M1301" s="18">
        <f>M1302</f>
        <v>0</v>
      </c>
      <c r="N1301" s="18">
        <f t="shared" si="334"/>
        <v>127.2</v>
      </c>
      <c r="O1301" s="18">
        <f>O1302</f>
        <v>0</v>
      </c>
      <c r="P1301" s="18">
        <f t="shared" si="335"/>
        <v>127.2</v>
      </c>
      <c r="Q1301" s="18">
        <f>Q1302</f>
        <v>-127.2</v>
      </c>
      <c r="R1301" s="18">
        <f t="shared" si="336"/>
        <v>0</v>
      </c>
      <c r="S1301" s="18">
        <f>S1302</f>
        <v>0</v>
      </c>
      <c r="T1301" s="18">
        <f t="shared" si="356"/>
        <v>0</v>
      </c>
      <c r="U1301" s="18">
        <f>U1302</f>
        <v>0</v>
      </c>
      <c r="V1301" s="18">
        <f t="shared" si="357"/>
        <v>0</v>
      </c>
      <c r="W1301" s="18">
        <f>W1302</f>
        <v>0</v>
      </c>
      <c r="X1301" s="18">
        <f t="shared" si="358"/>
        <v>0</v>
      </c>
    </row>
    <row r="1302" spans="1:27" hidden="1" x14ac:dyDescent="0.25">
      <c r="A1302" s="13" t="s">
        <v>100</v>
      </c>
      <c r="B1302" s="24" t="s">
        <v>101</v>
      </c>
      <c r="C1302" s="24" t="s">
        <v>2</v>
      </c>
      <c r="D1302" s="18">
        <f>D1303</f>
        <v>127.2</v>
      </c>
      <c r="E1302" s="18">
        <f>E1303</f>
        <v>0</v>
      </c>
      <c r="F1302" s="18">
        <f t="shared" si="344"/>
        <v>127.2</v>
      </c>
      <c r="G1302" s="18">
        <f>G1303</f>
        <v>0</v>
      </c>
      <c r="H1302" s="18">
        <f t="shared" si="345"/>
        <v>127.2</v>
      </c>
      <c r="I1302" s="18">
        <f>I1303</f>
        <v>0</v>
      </c>
      <c r="J1302" s="18">
        <f t="shared" si="341"/>
        <v>127.2</v>
      </c>
      <c r="K1302" s="18">
        <f>K1303</f>
        <v>0</v>
      </c>
      <c r="L1302" s="18">
        <f t="shared" si="342"/>
        <v>127.2</v>
      </c>
      <c r="M1302" s="18">
        <f>M1303</f>
        <v>0</v>
      </c>
      <c r="N1302" s="18">
        <f t="shared" si="334"/>
        <v>127.2</v>
      </c>
      <c r="O1302" s="18">
        <f>O1303</f>
        <v>0</v>
      </c>
      <c r="P1302" s="18">
        <f t="shared" si="335"/>
        <v>127.2</v>
      </c>
      <c r="Q1302" s="18">
        <f>Q1303</f>
        <v>-127.2</v>
      </c>
      <c r="R1302" s="18">
        <f t="shared" si="336"/>
        <v>0</v>
      </c>
      <c r="S1302" s="18">
        <f>S1303</f>
        <v>0</v>
      </c>
      <c r="T1302" s="18">
        <f t="shared" si="356"/>
        <v>0</v>
      </c>
      <c r="U1302" s="18">
        <f>U1303</f>
        <v>0</v>
      </c>
      <c r="V1302" s="18">
        <f t="shared" si="357"/>
        <v>0</v>
      </c>
      <c r="W1302" s="18">
        <f>W1303</f>
        <v>0</v>
      </c>
      <c r="X1302" s="18">
        <f t="shared" si="358"/>
        <v>0</v>
      </c>
    </row>
    <row r="1303" spans="1:27" ht="17.25" hidden="1" customHeight="1" x14ac:dyDescent="0.25">
      <c r="A1303" s="9" t="s">
        <v>501</v>
      </c>
      <c r="B1303" s="25" t="s">
        <v>101</v>
      </c>
      <c r="C1303" s="25" t="s">
        <v>33</v>
      </c>
      <c r="D1303" s="19">
        <v>127.2</v>
      </c>
      <c r="E1303" s="19"/>
      <c r="F1303" s="18">
        <f t="shared" si="344"/>
        <v>127.2</v>
      </c>
      <c r="G1303" s="19"/>
      <c r="H1303" s="18">
        <f t="shared" si="345"/>
        <v>127.2</v>
      </c>
      <c r="I1303" s="19"/>
      <c r="J1303" s="18">
        <f t="shared" si="341"/>
        <v>127.2</v>
      </c>
      <c r="K1303" s="19"/>
      <c r="L1303" s="18">
        <f t="shared" si="342"/>
        <v>127.2</v>
      </c>
      <c r="M1303" s="19"/>
      <c r="N1303" s="18">
        <f t="shared" si="334"/>
        <v>127.2</v>
      </c>
      <c r="O1303" s="19"/>
      <c r="P1303" s="18">
        <f t="shared" si="335"/>
        <v>127.2</v>
      </c>
      <c r="Q1303" s="44">
        <v>-127.2</v>
      </c>
      <c r="R1303" s="18">
        <f t="shared" si="336"/>
        <v>0</v>
      </c>
      <c r="S1303" s="64"/>
      <c r="T1303" s="18">
        <f t="shared" si="356"/>
        <v>0</v>
      </c>
      <c r="U1303" s="64"/>
      <c r="V1303" s="18">
        <f t="shared" si="357"/>
        <v>0</v>
      </c>
      <c r="W1303" s="64"/>
      <c r="X1303" s="18">
        <f t="shared" si="358"/>
        <v>0</v>
      </c>
      <c r="Z1303" s="43">
        <f>X1303+Y1303</f>
        <v>0</v>
      </c>
      <c r="AA1303" s="43"/>
    </row>
    <row r="1304" spans="1:27" x14ac:dyDescent="0.25">
      <c r="A1304" s="13" t="s">
        <v>28</v>
      </c>
      <c r="B1304" s="24" t="s">
        <v>29</v>
      </c>
      <c r="C1304" s="24" t="s">
        <v>2</v>
      </c>
      <c r="D1304" s="18">
        <f>D1311</f>
        <v>4415.5999999999995</v>
      </c>
      <c r="E1304" s="18">
        <f>E1311</f>
        <v>0</v>
      </c>
      <c r="F1304" s="18">
        <f t="shared" si="344"/>
        <v>4415.5999999999995</v>
      </c>
      <c r="G1304" s="18">
        <f>G1311</f>
        <v>0</v>
      </c>
      <c r="H1304" s="18">
        <f t="shared" si="345"/>
        <v>4415.5999999999995</v>
      </c>
      <c r="I1304" s="18">
        <f>I1311</f>
        <v>0</v>
      </c>
      <c r="J1304" s="18">
        <f t="shared" si="341"/>
        <v>4415.5999999999995</v>
      </c>
      <c r="K1304" s="18">
        <f>K1311</f>
        <v>0</v>
      </c>
      <c r="L1304" s="18">
        <f t="shared" si="342"/>
        <v>4415.5999999999995</v>
      </c>
      <c r="M1304" s="18">
        <f>M1311</f>
        <v>0</v>
      </c>
      <c r="N1304" s="18">
        <f t="shared" si="334"/>
        <v>4415.5999999999995</v>
      </c>
      <c r="O1304" s="18">
        <f>O1311</f>
        <v>0</v>
      </c>
      <c r="P1304" s="18">
        <f t="shared" si="335"/>
        <v>4415.5999999999995</v>
      </c>
      <c r="Q1304" s="18">
        <f>Q1311</f>
        <v>0</v>
      </c>
      <c r="R1304" s="18">
        <f t="shared" si="336"/>
        <v>4415.5999999999995</v>
      </c>
      <c r="S1304" s="18">
        <f>S1311</f>
        <v>0</v>
      </c>
      <c r="T1304" s="18">
        <f t="shared" si="356"/>
        <v>4415.5999999999995</v>
      </c>
      <c r="U1304" s="18">
        <f>U1311+U1308+U1305</f>
        <v>125.9</v>
      </c>
      <c r="V1304" s="18">
        <f t="shared" si="357"/>
        <v>4541.4999999999991</v>
      </c>
      <c r="W1304" s="18">
        <f>W1311+W1308+W1305</f>
        <v>0</v>
      </c>
      <c r="X1304" s="18">
        <f t="shared" si="358"/>
        <v>4541.4999999999991</v>
      </c>
    </row>
    <row r="1305" spans="1:27" x14ac:dyDescent="0.25">
      <c r="A1305" s="33" t="s">
        <v>662</v>
      </c>
      <c r="B1305" s="26" t="s">
        <v>1294</v>
      </c>
      <c r="C1305" s="26"/>
      <c r="D1305" s="18"/>
      <c r="E1305" s="18"/>
      <c r="F1305" s="18"/>
      <c r="G1305" s="18"/>
      <c r="H1305" s="18"/>
      <c r="I1305" s="18"/>
      <c r="J1305" s="18"/>
      <c r="K1305" s="18"/>
      <c r="L1305" s="18"/>
      <c r="M1305" s="18"/>
      <c r="N1305" s="18"/>
      <c r="O1305" s="18"/>
      <c r="P1305" s="18"/>
      <c r="Q1305" s="18"/>
      <c r="R1305" s="18"/>
      <c r="S1305" s="18"/>
      <c r="T1305" s="18"/>
      <c r="U1305" s="18">
        <f>U1306+U1307</f>
        <v>59.9</v>
      </c>
      <c r="V1305" s="18">
        <f t="shared" si="357"/>
        <v>59.9</v>
      </c>
      <c r="W1305" s="18">
        <f>W1306+W1307</f>
        <v>0</v>
      </c>
      <c r="X1305" s="18">
        <f t="shared" si="358"/>
        <v>59.9</v>
      </c>
    </row>
    <row r="1306" spans="1:27" x14ac:dyDescent="0.25">
      <c r="A1306" s="8" t="s">
        <v>496</v>
      </c>
      <c r="B1306" s="27" t="s">
        <v>1294</v>
      </c>
      <c r="C1306" s="27" t="s">
        <v>71</v>
      </c>
      <c r="D1306" s="18"/>
      <c r="E1306" s="18"/>
      <c r="F1306" s="18"/>
      <c r="G1306" s="18"/>
      <c r="H1306" s="18"/>
      <c r="I1306" s="18"/>
      <c r="J1306" s="18"/>
      <c r="K1306" s="18"/>
      <c r="L1306" s="18"/>
      <c r="M1306" s="18"/>
      <c r="N1306" s="18"/>
      <c r="O1306" s="18"/>
      <c r="P1306" s="18"/>
      <c r="Q1306" s="18"/>
      <c r="R1306" s="18"/>
      <c r="S1306" s="18"/>
      <c r="T1306" s="18"/>
      <c r="U1306" s="157">
        <v>46</v>
      </c>
      <c r="V1306" s="18">
        <f t="shared" si="357"/>
        <v>46</v>
      </c>
      <c r="W1306" s="64"/>
      <c r="X1306" s="18">
        <f t="shared" si="358"/>
        <v>46</v>
      </c>
      <c r="Z1306" s="43">
        <f t="shared" ref="Z1306:Z1307" si="360">X1306+Y1306</f>
        <v>46</v>
      </c>
      <c r="AA1306" s="43"/>
    </row>
    <row r="1307" spans="1:27" ht="24.75" x14ac:dyDescent="0.25">
      <c r="A1307" s="8" t="s">
        <v>497</v>
      </c>
      <c r="B1307" s="27" t="s">
        <v>1294</v>
      </c>
      <c r="C1307" s="27" t="s">
        <v>74</v>
      </c>
      <c r="D1307" s="18"/>
      <c r="E1307" s="18"/>
      <c r="F1307" s="18"/>
      <c r="G1307" s="18"/>
      <c r="H1307" s="18"/>
      <c r="I1307" s="18"/>
      <c r="J1307" s="18"/>
      <c r="K1307" s="18"/>
      <c r="L1307" s="18"/>
      <c r="M1307" s="18"/>
      <c r="N1307" s="18"/>
      <c r="O1307" s="18"/>
      <c r="P1307" s="18"/>
      <c r="Q1307" s="18"/>
      <c r="R1307" s="18"/>
      <c r="S1307" s="18"/>
      <c r="T1307" s="18"/>
      <c r="U1307" s="157">
        <v>13.9</v>
      </c>
      <c r="V1307" s="18">
        <f t="shared" si="357"/>
        <v>13.9</v>
      </c>
      <c r="W1307" s="64"/>
      <c r="X1307" s="18">
        <f t="shared" si="358"/>
        <v>13.9</v>
      </c>
      <c r="Z1307" s="43">
        <f t="shared" si="360"/>
        <v>13.9</v>
      </c>
      <c r="AA1307" s="43"/>
    </row>
    <row r="1308" spans="1:27" x14ac:dyDescent="0.25">
      <c r="A1308" s="101" t="s">
        <v>734</v>
      </c>
      <c r="B1308" s="26" t="s">
        <v>1284</v>
      </c>
      <c r="C1308" s="26"/>
      <c r="D1308" s="18"/>
      <c r="E1308" s="18"/>
      <c r="F1308" s="18"/>
      <c r="G1308" s="18"/>
      <c r="H1308" s="18"/>
      <c r="I1308" s="18"/>
      <c r="J1308" s="18"/>
      <c r="K1308" s="18"/>
      <c r="L1308" s="18"/>
      <c r="M1308" s="18"/>
      <c r="N1308" s="18"/>
      <c r="O1308" s="18"/>
      <c r="P1308" s="18"/>
      <c r="Q1308" s="18"/>
      <c r="R1308" s="18"/>
      <c r="S1308" s="18"/>
      <c r="T1308" s="18"/>
      <c r="U1308" s="20">
        <f>U1309+U1310</f>
        <v>66</v>
      </c>
      <c r="V1308" s="18">
        <f t="shared" si="357"/>
        <v>66</v>
      </c>
      <c r="W1308" s="20">
        <f>W1309+W1310</f>
        <v>0</v>
      </c>
      <c r="X1308" s="18">
        <f t="shared" si="358"/>
        <v>66</v>
      </c>
    </row>
    <row r="1309" spans="1:27" x14ac:dyDescent="0.25">
      <c r="A1309" s="8" t="s">
        <v>496</v>
      </c>
      <c r="B1309" s="27" t="s">
        <v>1284</v>
      </c>
      <c r="C1309" s="27" t="s">
        <v>71</v>
      </c>
      <c r="D1309" s="18"/>
      <c r="E1309" s="18"/>
      <c r="F1309" s="18"/>
      <c r="G1309" s="18"/>
      <c r="H1309" s="18"/>
      <c r="I1309" s="18"/>
      <c r="J1309" s="18"/>
      <c r="K1309" s="18"/>
      <c r="L1309" s="18"/>
      <c r="M1309" s="18"/>
      <c r="N1309" s="18"/>
      <c r="O1309" s="18"/>
      <c r="P1309" s="18"/>
      <c r="Q1309" s="18"/>
      <c r="R1309" s="18"/>
      <c r="S1309" s="18"/>
      <c r="T1309" s="18"/>
      <c r="U1309" s="151">
        <v>50.7</v>
      </c>
      <c r="V1309" s="18">
        <f t="shared" si="357"/>
        <v>50.7</v>
      </c>
      <c r="W1309" s="64"/>
      <c r="X1309" s="18">
        <f t="shared" si="358"/>
        <v>50.7</v>
      </c>
      <c r="Z1309" s="43">
        <f t="shared" ref="Z1309:Z1310" si="361">X1309+Y1309</f>
        <v>50.7</v>
      </c>
      <c r="AA1309" s="43"/>
    </row>
    <row r="1310" spans="1:27" ht="24.75" x14ac:dyDescent="0.25">
      <c r="A1310" s="8" t="s">
        <v>497</v>
      </c>
      <c r="B1310" s="27" t="s">
        <v>1284</v>
      </c>
      <c r="C1310" s="27" t="s">
        <v>74</v>
      </c>
      <c r="D1310" s="18"/>
      <c r="E1310" s="18"/>
      <c r="F1310" s="18"/>
      <c r="G1310" s="18"/>
      <c r="H1310" s="18"/>
      <c r="I1310" s="18"/>
      <c r="J1310" s="18"/>
      <c r="K1310" s="18"/>
      <c r="L1310" s="18"/>
      <c r="M1310" s="18"/>
      <c r="N1310" s="18"/>
      <c r="O1310" s="18"/>
      <c r="P1310" s="18"/>
      <c r="Q1310" s="18"/>
      <c r="R1310" s="18"/>
      <c r="S1310" s="18"/>
      <c r="T1310" s="18"/>
      <c r="U1310" s="151">
        <v>15.3</v>
      </c>
      <c r="V1310" s="18">
        <f t="shared" si="357"/>
        <v>15.3</v>
      </c>
      <c r="W1310" s="64"/>
      <c r="X1310" s="18">
        <f t="shared" si="358"/>
        <v>15.3</v>
      </c>
      <c r="Z1310" s="43">
        <f t="shared" si="361"/>
        <v>15.3</v>
      </c>
      <c r="AA1310" s="43"/>
    </row>
    <row r="1311" spans="1:27" s="5" customFormat="1" ht="27.75" customHeight="1" x14ac:dyDescent="0.25">
      <c r="A1311" s="13" t="s">
        <v>30</v>
      </c>
      <c r="B1311" s="24" t="s">
        <v>31</v>
      </c>
      <c r="C1311" s="24" t="s">
        <v>2</v>
      </c>
      <c r="D1311" s="18">
        <f>D1312+D1313</f>
        <v>4415.5999999999995</v>
      </c>
      <c r="E1311" s="18">
        <f>E1312+E1313</f>
        <v>0</v>
      </c>
      <c r="F1311" s="18">
        <f t="shared" si="344"/>
        <v>4415.5999999999995</v>
      </c>
      <c r="G1311" s="18">
        <f>G1312+G1313</f>
        <v>0</v>
      </c>
      <c r="H1311" s="18">
        <f t="shared" si="345"/>
        <v>4415.5999999999995</v>
      </c>
      <c r="I1311" s="18">
        <f>I1312+I1313</f>
        <v>0</v>
      </c>
      <c r="J1311" s="18">
        <f t="shared" si="341"/>
        <v>4415.5999999999995</v>
      </c>
      <c r="K1311" s="18">
        <f>K1312+K1313</f>
        <v>0</v>
      </c>
      <c r="L1311" s="18">
        <f t="shared" si="342"/>
        <v>4415.5999999999995</v>
      </c>
      <c r="M1311" s="18">
        <f>M1312+M1313</f>
        <v>0</v>
      </c>
      <c r="N1311" s="18">
        <f t="shared" si="334"/>
        <v>4415.5999999999995</v>
      </c>
      <c r="O1311" s="18">
        <f>O1312+O1313</f>
        <v>0</v>
      </c>
      <c r="P1311" s="18">
        <f t="shared" si="335"/>
        <v>4415.5999999999995</v>
      </c>
      <c r="Q1311" s="18">
        <f>Q1312+Q1313</f>
        <v>0</v>
      </c>
      <c r="R1311" s="18">
        <f t="shared" si="336"/>
        <v>4415.5999999999995</v>
      </c>
      <c r="S1311" s="18">
        <f>S1312+S1313</f>
        <v>0</v>
      </c>
      <c r="T1311" s="18">
        <f t="shared" si="356"/>
        <v>4415.5999999999995</v>
      </c>
      <c r="U1311" s="18">
        <f>U1312+U1313</f>
        <v>0</v>
      </c>
      <c r="V1311" s="18">
        <f t="shared" si="357"/>
        <v>4415.5999999999995</v>
      </c>
      <c r="W1311" s="18">
        <f>W1312+W1313</f>
        <v>0</v>
      </c>
      <c r="X1311" s="18">
        <f t="shared" si="358"/>
        <v>4415.5999999999995</v>
      </c>
      <c r="Y1311" s="165"/>
    </row>
    <row r="1312" spans="1:27" x14ac:dyDescent="0.25">
      <c r="A1312" s="7" t="s">
        <v>496</v>
      </c>
      <c r="B1312" s="25" t="s">
        <v>31</v>
      </c>
      <c r="C1312" s="25" t="s">
        <v>71</v>
      </c>
      <c r="D1312" s="19">
        <v>3391.5999999999995</v>
      </c>
      <c r="E1312" s="19"/>
      <c r="F1312" s="18">
        <f t="shared" si="344"/>
        <v>3391.5999999999995</v>
      </c>
      <c r="G1312" s="19"/>
      <c r="H1312" s="18">
        <f t="shared" si="345"/>
        <v>3391.5999999999995</v>
      </c>
      <c r="I1312" s="19"/>
      <c r="J1312" s="18">
        <f t="shared" si="341"/>
        <v>3391.5999999999995</v>
      </c>
      <c r="K1312" s="19"/>
      <c r="L1312" s="18">
        <f t="shared" si="342"/>
        <v>3391.5999999999995</v>
      </c>
      <c r="M1312" s="19"/>
      <c r="N1312" s="18">
        <f t="shared" si="334"/>
        <v>3391.5999999999995</v>
      </c>
      <c r="O1312" s="19"/>
      <c r="P1312" s="18">
        <f t="shared" si="335"/>
        <v>3391.5999999999995</v>
      </c>
      <c r="Q1312" s="19"/>
      <c r="R1312" s="18">
        <f t="shared" si="336"/>
        <v>3391.5999999999995</v>
      </c>
      <c r="S1312" s="64"/>
      <c r="T1312" s="18">
        <f t="shared" si="356"/>
        <v>3391.5999999999995</v>
      </c>
      <c r="U1312" s="64"/>
      <c r="V1312" s="18">
        <f t="shared" si="357"/>
        <v>3391.5999999999995</v>
      </c>
      <c r="W1312" s="64"/>
      <c r="X1312" s="18">
        <f t="shared" si="358"/>
        <v>3391.5999999999995</v>
      </c>
      <c r="Z1312" s="43">
        <f t="shared" ref="Z1312:Z1313" si="362">X1312+Y1312</f>
        <v>3391.5999999999995</v>
      </c>
      <c r="AA1312" s="43"/>
    </row>
    <row r="1313" spans="1:27" ht="24.75" x14ac:dyDescent="0.25">
      <c r="A1313" s="7" t="s">
        <v>497</v>
      </c>
      <c r="B1313" s="25" t="s">
        <v>31</v>
      </c>
      <c r="C1313" s="25" t="s">
        <v>74</v>
      </c>
      <c r="D1313" s="19">
        <v>1024</v>
      </c>
      <c r="E1313" s="19"/>
      <c r="F1313" s="18">
        <f t="shared" si="344"/>
        <v>1024</v>
      </c>
      <c r="G1313" s="19"/>
      <c r="H1313" s="18">
        <f t="shared" si="345"/>
        <v>1024</v>
      </c>
      <c r="I1313" s="19"/>
      <c r="J1313" s="18">
        <f t="shared" si="341"/>
        <v>1024</v>
      </c>
      <c r="K1313" s="19"/>
      <c r="L1313" s="18">
        <f t="shared" si="342"/>
        <v>1024</v>
      </c>
      <c r="M1313" s="19"/>
      <c r="N1313" s="18">
        <f t="shared" si="334"/>
        <v>1024</v>
      </c>
      <c r="O1313" s="19"/>
      <c r="P1313" s="18">
        <f t="shared" si="335"/>
        <v>1024</v>
      </c>
      <c r="Q1313" s="19"/>
      <c r="R1313" s="18">
        <f t="shared" si="336"/>
        <v>1024</v>
      </c>
      <c r="S1313" s="64"/>
      <c r="T1313" s="18">
        <f t="shared" si="356"/>
        <v>1024</v>
      </c>
      <c r="U1313" s="64"/>
      <c r="V1313" s="18">
        <f t="shared" si="357"/>
        <v>1024</v>
      </c>
      <c r="W1313" s="64"/>
      <c r="X1313" s="18">
        <f t="shared" si="358"/>
        <v>1024</v>
      </c>
      <c r="Z1313" s="43">
        <f t="shared" si="362"/>
        <v>1024</v>
      </c>
      <c r="AA1313" s="43"/>
    </row>
    <row r="1314" spans="1:27" x14ac:dyDescent="0.25">
      <c r="A1314" s="13" t="s">
        <v>42</v>
      </c>
      <c r="B1314" s="24" t="s">
        <v>43</v>
      </c>
      <c r="C1314" s="24" t="s">
        <v>2</v>
      </c>
      <c r="D1314" s="18">
        <f>D1321+D1332+D1347+D1357+D1369</f>
        <v>135744.49999999997</v>
      </c>
      <c r="E1314" s="18">
        <f>E1321+E1332+E1347+E1357+E1369</f>
        <v>2541.1999999999998</v>
      </c>
      <c r="F1314" s="18">
        <f t="shared" si="344"/>
        <v>138285.69999999998</v>
      </c>
      <c r="G1314" s="18">
        <f>G1321+G1332+G1347+G1357+G1369</f>
        <v>-10000</v>
      </c>
      <c r="H1314" s="18">
        <f t="shared" si="345"/>
        <v>128285.69999999998</v>
      </c>
      <c r="I1314" s="18">
        <f>I1321+I1332+I1347+I1357+I1369+I1353</f>
        <v>-319.29999999999995</v>
      </c>
      <c r="J1314" s="18">
        <f t="shared" ref="J1314:J1412" si="363">H1314+I1314</f>
        <v>127966.39999999998</v>
      </c>
      <c r="K1314" s="18">
        <f>K1321+K1332+K1347+K1357+K1369+K1353+K1344</f>
        <v>8912.7000000000007</v>
      </c>
      <c r="L1314" s="18">
        <f t="shared" ref="L1314:L1412" si="364">J1314+K1314</f>
        <v>136879.09999999998</v>
      </c>
      <c r="M1314" s="18">
        <f>M1321+M1332+M1347+M1357+M1369+M1353+M1344+M1359+M1361</f>
        <v>-781.79999999999973</v>
      </c>
      <c r="N1314" s="18">
        <f t="shared" si="334"/>
        <v>136097.29999999999</v>
      </c>
      <c r="O1314" s="18">
        <f>O1321+O1332+O1347+O1357+O1369+O1353+O1344+O1359+O1361</f>
        <v>-11300</v>
      </c>
      <c r="P1314" s="18">
        <f t="shared" si="335"/>
        <v>124797.29999999999</v>
      </c>
      <c r="Q1314" s="18">
        <f>Q1321+Q1332+Q1347+Q1357+Q1369+Q1353+Q1344+Q1359+Q1361+Q1351+Q1315+Q1318</f>
        <v>17895.7</v>
      </c>
      <c r="R1314" s="18">
        <f t="shared" si="336"/>
        <v>142693</v>
      </c>
      <c r="S1314" s="18">
        <f>S1321+S1332+S1347+S1357+S1369+S1353+S1344+S1359+S1361+S1351+S1315+S1318</f>
        <v>-128.90000000000009</v>
      </c>
      <c r="T1314" s="18">
        <f t="shared" si="356"/>
        <v>142564.1</v>
      </c>
      <c r="U1314" s="18">
        <f>U1321+U1332+U1347+U1357+U1369+U1353+U1344+U1359+U1361+U1351+U1315+U1318+U1355</f>
        <v>746.80000000000041</v>
      </c>
      <c r="V1314" s="18">
        <f t="shared" si="357"/>
        <v>143310.9</v>
      </c>
      <c r="W1314" s="18">
        <f>W1321+W1332+W1347+W1357+W1369+W1353+W1344+W1359+W1361+W1351+W1315+W1318+W1355</f>
        <v>187.09999999999968</v>
      </c>
      <c r="X1314" s="18">
        <f t="shared" si="358"/>
        <v>143498</v>
      </c>
    </row>
    <row r="1315" spans="1:27" x14ac:dyDescent="0.25">
      <c r="A1315" s="33" t="s">
        <v>662</v>
      </c>
      <c r="B1315" s="26" t="s">
        <v>1130</v>
      </c>
      <c r="C1315" s="26"/>
      <c r="D1315" s="18"/>
      <c r="E1315" s="18"/>
      <c r="F1315" s="18"/>
      <c r="G1315" s="18"/>
      <c r="H1315" s="18"/>
      <c r="I1315" s="18"/>
      <c r="J1315" s="18"/>
      <c r="K1315" s="18"/>
      <c r="L1315" s="18"/>
      <c r="M1315" s="18"/>
      <c r="N1315" s="18"/>
      <c r="O1315" s="18"/>
      <c r="P1315" s="18"/>
      <c r="Q1315" s="20">
        <f>Q1316+Q1317</f>
        <v>3316.7</v>
      </c>
      <c r="R1315" s="18">
        <f t="shared" si="336"/>
        <v>3316.7</v>
      </c>
      <c r="S1315" s="20">
        <f>S1316+S1317</f>
        <v>0</v>
      </c>
      <c r="T1315" s="18">
        <f t="shared" si="356"/>
        <v>3316.7</v>
      </c>
      <c r="U1315" s="20">
        <f>U1316+U1317</f>
        <v>-4.3000000000000114</v>
      </c>
      <c r="V1315" s="18">
        <f t="shared" si="357"/>
        <v>3312.3999999999996</v>
      </c>
      <c r="W1315" s="20">
        <f>W1316+W1317</f>
        <v>0</v>
      </c>
      <c r="X1315" s="18">
        <f t="shared" si="358"/>
        <v>3312.3999999999996</v>
      </c>
    </row>
    <row r="1316" spans="1:27" x14ac:dyDescent="0.25">
      <c r="A1316" s="8" t="s">
        <v>498</v>
      </c>
      <c r="B1316" s="27" t="s">
        <v>1130</v>
      </c>
      <c r="C1316" s="27" t="s">
        <v>8</v>
      </c>
      <c r="D1316" s="18"/>
      <c r="E1316" s="18"/>
      <c r="F1316" s="18"/>
      <c r="G1316" s="18"/>
      <c r="H1316" s="18"/>
      <c r="I1316" s="18"/>
      <c r="J1316" s="18"/>
      <c r="K1316" s="18"/>
      <c r="L1316" s="18"/>
      <c r="M1316" s="18"/>
      <c r="N1316" s="18"/>
      <c r="O1316" s="18"/>
      <c r="P1316" s="18"/>
      <c r="Q1316" s="45">
        <v>2356.6</v>
      </c>
      <c r="R1316" s="18">
        <f t="shared" si="336"/>
        <v>2356.6</v>
      </c>
      <c r="S1316" s="64"/>
      <c r="T1316" s="18">
        <f t="shared" si="356"/>
        <v>2356.6</v>
      </c>
      <c r="U1316" s="157">
        <v>171.5</v>
      </c>
      <c r="V1316" s="18">
        <f t="shared" si="357"/>
        <v>2528.1</v>
      </c>
      <c r="W1316" s="64"/>
      <c r="X1316" s="18">
        <f t="shared" si="358"/>
        <v>2528.1</v>
      </c>
      <c r="Z1316" s="43">
        <f t="shared" ref="Z1316:Z1317" si="365">X1316+Y1316</f>
        <v>2528.1</v>
      </c>
      <c r="AA1316" s="43"/>
    </row>
    <row r="1317" spans="1:27" ht="36.75" x14ac:dyDescent="0.25">
      <c r="A1317" s="8" t="s">
        <v>500</v>
      </c>
      <c r="B1317" s="27" t="s">
        <v>1130</v>
      </c>
      <c r="C1317" s="27" t="s">
        <v>9</v>
      </c>
      <c r="D1317" s="18"/>
      <c r="E1317" s="18"/>
      <c r="F1317" s="18"/>
      <c r="G1317" s="18"/>
      <c r="H1317" s="18"/>
      <c r="I1317" s="18"/>
      <c r="J1317" s="18"/>
      <c r="K1317" s="18"/>
      <c r="L1317" s="18"/>
      <c r="M1317" s="18"/>
      <c r="N1317" s="18"/>
      <c r="O1317" s="18"/>
      <c r="P1317" s="18"/>
      <c r="Q1317" s="45">
        <f>989.5-29.4</f>
        <v>960.1</v>
      </c>
      <c r="R1317" s="18">
        <f t="shared" si="336"/>
        <v>960.1</v>
      </c>
      <c r="S1317" s="64"/>
      <c r="T1317" s="18">
        <f t="shared" si="356"/>
        <v>960.1</v>
      </c>
      <c r="U1317" s="157">
        <v>-175.8</v>
      </c>
      <c r="V1317" s="18">
        <f t="shared" si="357"/>
        <v>784.3</v>
      </c>
      <c r="W1317" s="64"/>
      <c r="X1317" s="18">
        <f t="shared" si="358"/>
        <v>784.3</v>
      </c>
      <c r="Z1317" s="43">
        <f t="shared" si="365"/>
        <v>784.3</v>
      </c>
      <c r="AA1317" s="43"/>
    </row>
    <row r="1318" spans="1:27" ht="24.75" x14ac:dyDescent="0.25">
      <c r="A1318" s="33" t="s">
        <v>1122</v>
      </c>
      <c r="B1318" s="26" t="s">
        <v>1131</v>
      </c>
      <c r="C1318" s="26"/>
      <c r="D1318" s="18"/>
      <c r="E1318" s="18"/>
      <c r="F1318" s="18"/>
      <c r="G1318" s="18"/>
      <c r="H1318" s="18"/>
      <c r="I1318" s="18"/>
      <c r="J1318" s="18"/>
      <c r="K1318" s="18"/>
      <c r="L1318" s="18"/>
      <c r="M1318" s="18"/>
      <c r="N1318" s="18"/>
      <c r="O1318" s="18"/>
      <c r="P1318" s="18"/>
      <c r="Q1318" s="20">
        <f>Q1319+Q1320</f>
        <v>1428.1</v>
      </c>
      <c r="R1318" s="18">
        <f t="shared" si="336"/>
        <v>1428.1</v>
      </c>
      <c r="S1318" s="20">
        <f>S1319+S1320</f>
        <v>0</v>
      </c>
      <c r="T1318" s="18">
        <f t="shared" si="356"/>
        <v>1428.1</v>
      </c>
      <c r="U1318" s="20">
        <f>U1319+U1320</f>
        <v>0</v>
      </c>
      <c r="V1318" s="18">
        <f t="shared" si="357"/>
        <v>1428.1</v>
      </c>
      <c r="W1318" s="20">
        <f>W1319+W1320</f>
        <v>0</v>
      </c>
      <c r="X1318" s="18">
        <f t="shared" si="358"/>
        <v>1428.1</v>
      </c>
    </row>
    <row r="1319" spans="1:27" x14ac:dyDescent="0.25">
      <c r="A1319" s="8" t="s">
        <v>498</v>
      </c>
      <c r="B1319" s="27" t="s">
        <v>1131</v>
      </c>
      <c r="C1319" s="27" t="s">
        <v>8</v>
      </c>
      <c r="D1319" s="18"/>
      <c r="E1319" s="18"/>
      <c r="F1319" s="18"/>
      <c r="G1319" s="18"/>
      <c r="H1319" s="18"/>
      <c r="I1319" s="18"/>
      <c r="J1319" s="18"/>
      <c r="K1319" s="18"/>
      <c r="L1319" s="18"/>
      <c r="M1319" s="18"/>
      <c r="N1319" s="18"/>
      <c r="O1319" s="18"/>
      <c r="P1319" s="18"/>
      <c r="Q1319" s="45">
        <v>1287.5999999999999</v>
      </c>
      <c r="R1319" s="18">
        <f t="shared" si="336"/>
        <v>1287.5999999999999</v>
      </c>
      <c r="S1319" s="64"/>
      <c r="T1319" s="18">
        <f t="shared" si="356"/>
        <v>1287.5999999999999</v>
      </c>
      <c r="U1319" s="64"/>
      <c r="V1319" s="18">
        <f t="shared" si="357"/>
        <v>1287.5999999999999</v>
      </c>
      <c r="W1319" s="64"/>
      <c r="X1319" s="18">
        <f t="shared" si="358"/>
        <v>1287.5999999999999</v>
      </c>
      <c r="Z1319" s="43">
        <f t="shared" ref="Z1319:Z1320" si="366">X1319+Y1319</f>
        <v>1287.5999999999999</v>
      </c>
      <c r="AA1319" s="43"/>
    </row>
    <row r="1320" spans="1:27" ht="36.75" x14ac:dyDescent="0.25">
      <c r="A1320" s="8" t="s">
        <v>500</v>
      </c>
      <c r="B1320" s="27" t="s">
        <v>1131</v>
      </c>
      <c r="C1320" s="27" t="s">
        <v>9</v>
      </c>
      <c r="D1320" s="18"/>
      <c r="E1320" s="18"/>
      <c r="F1320" s="18"/>
      <c r="G1320" s="18"/>
      <c r="H1320" s="18"/>
      <c r="I1320" s="18"/>
      <c r="J1320" s="18"/>
      <c r="K1320" s="18"/>
      <c r="L1320" s="18"/>
      <c r="M1320" s="18"/>
      <c r="N1320" s="18"/>
      <c r="O1320" s="18"/>
      <c r="P1320" s="18"/>
      <c r="Q1320" s="45">
        <f>111.1+29.4</f>
        <v>140.5</v>
      </c>
      <c r="R1320" s="18">
        <f t="shared" si="336"/>
        <v>140.5</v>
      </c>
      <c r="S1320" s="64"/>
      <c r="T1320" s="18">
        <f t="shared" si="356"/>
        <v>140.5</v>
      </c>
      <c r="U1320" s="64"/>
      <c r="V1320" s="18">
        <f t="shared" si="357"/>
        <v>140.5</v>
      </c>
      <c r="W1320" s="64"/>
      <c r="X1320" s="18">
        <f t="shared" si="358"/>
        <v>140.5</v>
      </c>
      <c r="Z1320" s="43">
        <f t="shared" si="366"/>
        <v>140.5</v>
      </c>
      <c r="AA1320" s="43"/>
    </row>
    <row r="1321" spans="1:27" x14ac:dyDescent="0.25">
      <c r="A1321" s="13" t="s">
        <v>44</v>
      </c>
      <c r="B1321" s="24" t="s">
        <v>45</v>
      </c>
      <c r="C1321" s="24" t="s">
        <v>2</v>
      </c>
      <c r="D1321" s="18">
        <f>D1322+D1323+D1324+D1325+D1326+D1327+D1330+D1331</f>
        <v>59462.899999999994</v>
      </c>
      <c r="E1321" s="18">
        <f>E1322+E1323+E1324+E1325+E1326+E1327+E1330+E1331+E1328</f>
        <v>395.6</v>
      </c>
      <c r="F1321" s="18">
        <f t="shared" si="344"/>
        <v>59858.499999999993</v>
      </c>
      <c r="G1321" s="18">
        <f>G1322+G1323+G1324+G1325+G1326+G1327+G1330+G1331+G1328</f>
        <v>-10000</v>
      </c>
      <c r="H1321" s="18">
        <f t="shared" si="345"/>
        <v>49858.499999999993</v>
      </c>
      <c r="I1321" s="18">
        <f>I1322+I1323+I1324+I1325+I1326+I1327+I1330+I1331+I1328</f>
        <v>-505.20000000000005</v>
      </c>
      <c r="J1321" s="18">
        <f t="shared" si="363"/>
        <v>49353.299999999996</v>
      </c>
      <c r="K1321" s="18">
        <f>K1322+K1323+K1324+K1325+K1326+K1327+K1330+K1331+K1328</f>
        <v>380.4</v>
      </c>
      <c r="L1321" s="18">
        <f t="shared" si="364"/>
        <v>49733.7</v>
      </c>
      <c r="M1321" s="18">
        <f>M1322+M1323+M1324+M1325+M1326+M1327+M1330+M1331+M1328</f>
        <v>-481.2</v>
      </c>
      <c r="N1321" s="18">
        <f t="shared" si="334"/>
        <v>49252.5</v>
      </c>
      <c r="O1321" s="18">
        <f>O1322+O1323+O1324+O1325+O1326+O1327+O1330+O1331+O1328</f>
        <v>-4500</v>
      </c>
      <c r="P1321" s="18">
        <f t="shared" si="335"/>
        <v>44752.5</v>
      </c>
      <c r="Q1321" s="18">
        <f>Q1322+Q1323+Q1324+Q1325+Q1326+Q1327+Q1330+Q1331+Q1328</f>
        <v>-1695</v>
      </c>
      <c r="R1321" s="18">
        <f t="shared" si="336"/>
        <v>43057.5</v>
      </c>
      <c r="S1321" s="18">
        <f>S1322+S1323+S1324+S1325+S1326+S1327+S1330+S1331+S1328</f>
        <v>-73.7</v>
      </c>
      <c r="T1321" s="18">
        <f t="shared" si="356"/>
        <v>42983.8</v>
      </c>
      <c r="U1321" s="18">
        <f>U1322+U1323+U1324+U1325+U1326+U1327+U1330+U1331+U1328+U1329</f>
        <v>3229.6000000000004</v>
      </c>
      <c r="V1321" s="18">
        <f t="shared" si="357"/>
        <v>46213.4</v>
      </c>
      <c r="W1321" s="18">
        <f>W1322+W1323+W1324+W1325+W1326+W1327+W1330+W1331+W1328+W1329</f>
        <v>-17.200000000000003</v>
      </c>
      <c r="X1321" s="18">
        <f t="shared" si="358"/>
        <v>46196.200000000004</v>
      </c>
    </row>
    <row r="1322" spans="1:27" x14ac:dyDescent="0.25">
      <c r="A1322" s="7" t="s">
        <v>498</v>
      </c>
      <c r="B1322" s="25" t="s">
        <v>45</v>
      </c>
      <c r="C1322" s="25" t="s">
        <v>8</v>
      </c>
      <c r="D1322" s="19">
        <v>28159.1</v>
      </c>
      <c r="E1322" s="19"/>
      <c r="F1322" s="18">
        <f t="shared" si="344"/>
        <v>28159.1</v>
      </c>
      <c r="G1322" s="19"/>
      <c r="H1322" s="18">
        <f t="shared" si="345"/>
        <v>28159.1</v>
      </c>
      <c r="I1322" s="62">
        <v>-70</v>
      </c>
      <c r="J1322" s="18">
        <f t="shared" si="363"/>
        <v>28089.1</v>
      </c>
      <c r="K1322" s="106">
        <v>-400</v>
      </c>
      <c r="L1322" s="18">
        <f t="shared" si="364"/>
        <v>27689.1</v>
      </c>
      <c r="M1322" s="64"/>
      <c r="N1322" s="18">
        <f t="shared" si="334"/>
        <v>27689.1</v>
      </c>
      <c r="O1322" s="64"/>
      <c r="P1322" s="18">
        <f t="shared" si="335"/>
        <v>27689.1</v>
      </c>
      <c r="Q1322" s="64"/>
      <c r="R1322" s="18">
        <f t="shared" si="336"/>
        <v>27689.1</v>
      </c>
      <c r="S1322" s="64"/>
      <c r="T1322" s="18">
        <f t="shared" si="356"/>
        <v>27689.1</v>
      </c>
      <c r="U1322" s="96">
        <f>902.9+1172.4+831.6-738.3</f>
        <v>2168.6000000000004</v>
      </c>
      <c r="V1322" s="18">
        <f t="shared" si="357"/>
        <v>29857.699999999997</v>
      </c>
      <c r="W1322" s="44">
        <f>-0.8-105.6</f>
        <v>-106.39999999999999</v>
      </c>
      <c r="X1322" s="18">
        <f t="shared" si="358"/>
        <v>29751.299999999996</v>
      </c>
      <c r="Y1322" s="43">
        <v>-105.6</v>
      </c>
      <c r="Z1322" s="43">
        <f t="shared" ref="Z1322:Z1331" si="367">X1322+Y1322</f>
        <v>29645.699999999997</v>
      </c>
      <c r="AA1322" s="43"/>
    </row>
    <row r="1323" spans="1:27" ht="24.75" x14ac:dyDescent="0.25">
      <c r="A1323" s="7" t="s">
        <v>499</v>
      </c>
      <c r="B1323" s="25" t="s">
        <v>45</v>
      </c>
      <c r="C1323" s="25" t="s">
        <v>32</v>
      </c>
      <c r="D1323" s="19">
        <v>129.5</v>
      </c>
      <c r="E1323" s="19"/>
      <c r="F1323" s="18">
        <f t="shared" si="344"/>
        <v>129.5</v>
      </c>
      <c r="G1323" s="19"/>
      <c r="H1323" s="18">
        <f t="shared" si="345"/>
        <v>129.5</v>
      </c>
      <c r="I1323" s="19"/>
      <c r="J1323" s="18">
        <f t="shared" si="363"/>
        <v>129.5</v>
      </c>
      <c r="K1323" s="64"/>
      <c r="L1323" s="18">
        <f t="shared" si="364"/>
        <v>129.5</v>
      </c>
      <c r="M1323" s="64"/>
      <c r="N1323" s="18">
        <f t="shared" ref="N1323:N1415" si="368">L1323+M1323</f>
        <v>129.5</v>
      </c>
      <c r="O1323" s="64"/>
      <c r="P1323" s="18">
        <f t="shared" ref="P1323:P1415" si="369">N1323+O1323</f>
        <v>129.5</v>
      </c>
      <c r="Q1323" s="44">
        <v>26</v>
      </c>
      <c r="R1323" s="18">
        <f t="shared" ref="R1323:R1415" si="370">P1323+Q1323</f>
        <v>155.5</v>
      </c>
      <c r="S1323" s="64"/>
      <c r="T1323" s="18">
        <f t="shared" si="356"/>
        <v>155.5</v>
      </c>
      <c r="U1323" s="64"/>
      <c r="V1323" s="18">
        <f t="shared" si="357"/>
        <v>155.5</v>
      </c>
      <c r="W1323" s="44">
        <v>-13.8</v>
      </c>
      <c r="X1323" s="18">
        <f t="shared" si="358"/>
        <v>141.69999999999999</v>
      </c>
      <c r="Y1323" s="43">
        <v>-13.8</v>
      </c>
      <c r="Z1323" s="43">
        <f t="shared" si="367"/>
        <v>127.89999999999999</v>
      </c>
      <c r="AA1323" s="43"/>
    </row>
    <row r="1324" spans="1:27" ht="30.75" customHeight="1" x14ac:dyDescent="0.25">
      <c r="A1324" s="9" t="s">
        <v>500</v>
      </c>
      <c r="B1324" s="25" t="s">
        <v>45</v>
      </c>
      <c r="C1324" s="25" t="s">
        <v>9</v>
      </c>
      <c r="D1324" s="19">
        <v>8504</v>
      </c>
      <c r="E1324" s="19"/>
      <c r="F1324" s="18">
        <f t="shared" ref="F1324:F1418" si="371">D1324+E1324</f>
        <v>8504</v>
      </c>
      <c r="G1324" s="19"/>
      <c r="H1324" s="18">
        <f t="shared" ref="H1324:H1418" si="372">F1324+G1324</f>
        <v>8504</v>
      </c>
      <c r="I1324" s="19"/>
      <c r="J1324" s="18">
        <f t="shared" si="363"/>
        <v>8504</v>
      </c>
      <c r="K1324" s="64"/>
      <c r="L1324" s="18">
        <f t="shared" si="364"/>
        <v>8504</v>
      </c>
      <c r="M1324" s="64"/>
      <c r="N1324" s="18">
        <f t="shared" si="368"/>
        <v>8504</v>
      </c>
      <c r="O1324" s="64"/>
      <c r="P1324" s="18">
        <f t="shared" si="369"/>
        <v>8504</v>
      </c>
      <c r="Q1324" s="44">
        <v>-1589.1</v>
      </c>
      <c r="R1324" s="18">
        <f t="shared" si="370"/>
        <v>6914.9</v>
      </c>
      <c r="S1324" s="64"/>
      <c r="T1324" s="18">
        <f t="shared" si="356"/>
        <v>6914.9</v>
      </c>
      <c r="U1324" s="44">
        <f>272.7+738.3</f>
        <v>1011</v>
      </c>
      <c r="V1324" s="18">
        <f t="shared" si="357"/>
        <v>7925.9</v>
      </c>
      <c r="W1324" s="44">
        <f>44.5+0.1</f>
        <v>44.6</v>
      </c>
      <c r="X1324" s="18">
        <f t="shared" si="358"/>
        <v>7970.5</v>
      </c>
      <c r="Y1324" s="43">
        <v>0.1</v>
      </c>
      <c r="Z1324" s="43">
        <f t="shared" si="367"/>
        <v>7970.6</v>
      </c>
      <c r="AA1324" s="43"/>
    </row>
    <row r="1325" spans="1:27" ht="15.75" customHeight="1" x14ac:dyDescent="0.25">
      <c r="A1325" s="9" t="s">
        <v>501</v>
      </c>
      <c r="B1325" s="25" t="s">
        <v>45</v>
      </c>
      <c r="C1325" s="25" t="s">
        <v>33</v>
      </c>
      <c r="D1325" s="19">
        <v>1717.2</v>
      </c>
      <c r="E1325" s="19"/>
      <c r="F1325" s="18">
        <f t="shared" si="371"/>
        <v>1717.2</v>
      </c>
      <c r="G1325" s="19"/>
      <c r="H1325" s="18">
        <f t="shared" si="372"/>
        <v>1717.2</v>
      </c>
      <c r="I1325" s="19"/>
      <c r="J1325" s="18">
        <f t="shared" si="363"/>
        <v>1717.2</v>
      </c>
      <c r="K1325" s="64"/>
      <c r="L1325" s="18">
        <f t="shared" si="364"/>
        <v>1717.2</v>
      </c>
      <c r="M1325" s="64"/>
      <c r="N1325" s="18">
        <f t="shared" si="368"/>
        <v>1717.2</v>
      </c>
      <c r="O1325" s="64"/>
      <c r="P1325" s="18">
        <f t="shared" si="369"/>
        <v>1717.2</v>
      </c>
      <c r="Q1325" s="44">
        <v>-116.9</v>
      </c>
      <c r="R1325" s="18">
        <f t="shared" si="370"/>
        <v>1600.3</v>
      </c>
      <c r="S1325" s="64"/>
      <c r="T1325" s="18">
        <f t="shared" si="356"/>
        <v>1600.3</v>
      </c>
      <c r="U1325" s="96">
        <v>16.3</v>
      </c>
      <c r="V1325" s="18">
        <f t="shared" si="357"/>
        <v>1616.6</v>
      </c>
      <c r="W1325" s="44">
        <f>-1-135.4</f>
        <v>-136.4</v>
      </c>
      <c r="X1325" s="18">
        <f t="shared" si="358"/>
        <v>1480.1999999999998</v>
      </c>
      <c r="Y1325" s="43">
        <v>-135.4</v>
      </c>
      <c r="Z1325" s="43">
        <f t="shared" si="367"/>
        <v>1344.7999999999997</v>
      </c>
      <c r="AA1325" s="43"/>
    </row>
    <row r="1326" spans="1:27" x14ac:dyDescent="0.25">
      <c r="A1326" s="7" t="s">
        <v>54</v>
      </c>
      <c r="B1326" s="25" t="s">
        <v>45</v>
      </c>
      <c r="C1326" s="25" t="s">
        <v>34</v>
      </c>
      <c r="D1326" s="19">
        <v>19035.099999999999</v>
      </c>
      <c r="E1326" s="19"/>
      <c r="F1326" s="18">
        <f t="shared" si="371"/>
        <v>19035.099999999999</v>
      </c>
      <c r="G1326" s="44">
        <v>-10000</v>
      </c>
      <c r="H1326" s="18">
        <f t="shared" si="372"/>
        <v>9035.0999999999985</v>
      </c>
      <c r="I1326" s="62">
        <v>-505.2</v>
      </c>
      <c r="J1326" s="18">
        <f t="shared" si="363"/>
        <v>8529.8999999999978</v>
      </c>
      <c r="K1326" s="106">
        <v>340.4</v>
      </c>
      <c r="L1326" s="18">
        <f t="shared" si="364"/>
        <v>8870.2999999999975</v>
      </c>
      <c r="M1326" s="44">
        <f>-100-0.8-350.4</f>
        <v>-451.2</v>
      </c>
      <c r="N1326" s="18">
        <f t="shared" si="368"/>
        <v>8419.0999999999967</v>
      </c>
      <c r="O1326" s="96">
        <v>-4500</v>
      </c>
      <c r="P1326" s="18">
        <f t="shared" si="369"/>
        <v>3919.0999999999967</v>
      </c>
      <c r="Q1326" s="44">
        <v>-15</v>
      </c>
      <c r="R1326" s="18">
        <f t="shared" si="370"/>
        <v>3904.0999999999967</v>
      </c>
      <c r="S1326" s="64"/>
      <c r="T1326" s="18">
        <f t="shared" si="356"/>
        <v>3904.0999999999967</v>
      </c>
      <c r="U1326" s="96">
        <v>-616.29999999999995</v>
      </c>
      <c r="V1326" s="18">
        <f t="shared" si="357"/>
        <v>3287.7999999999965</v>
      </c>
      <c r="W1326" s="44">
        <f>1+96.8</f>
        <v>97.8</v>
      </c>
      <c r="X1326" s="18">
        <f t="shared" si="358"/>
        <v>3385.5999999999967</v>
      </c>
      <c r="Y1326" s="43">
        <v>96.8</v>
      </c>
      <c r="Z1326" s="43">
        <f t="shared" si="367"/>
        <v>3482.3999999999969</v>
      </c>
      <c r="AA1326" s="43"/>
    </row>
    <row r="1327" spans="1:27" x14ac:dyDescent="0.25">
      <c r="A1327" s="7" t="s">
        <v>503</v>
      </c>
      <c r="B1327" s="25" t="s">
        <v>45</v>
      </c>
      <c r="C1327" s="25" t="s">
        <v>35</v>
      </c>
      <c r="D1327" s="19">
        <v>1503</v>
      </c>
      <c r="E1327" s="19"/>
      <c r="F1327" s="18">
        <f t="shared" si="371"/>
        <v>1503</v>
      </c>
      <c r="G1327" s="19"/>
      <c r="H1327" s="18">
        <f t="shared" si="372"/>
        <v>1503</v>
      </c>
      <c r="I1327" s="19"/>
      <c r="J1327" s="18">
        <f t="shared" si="363"/>
        <v>1503</v>
      </c>
      <c r="K1327" s="64"/>
      <c r="L1327" s="18">
        <f t="shared" si="364"/>
        <v>1503</v>
      </c>
      <c r="M1327" s="64"/>
      <c r="N1327" s="18">
        <f t="shared" si="368"/>
        <v>1503</v>
      </c>
      <c r="O1327" s="64"/>
      <c r="P1327" s="18">
        <f t="shared" si="369"/>
        <v>1503</v>
      </c>
      <c r="Q1327" s="64"/>
      <c r="R1327" s="18">
        <f t="shared" si="370"/>
        <v>1503</v>
      </c>
      <c r="S1327" s="64"/>
      <c r="T1327" s="18">
        <f t="shared" si="356"/>
        <v>1503</v>
      </c>
      <c r="U1327" s="64"/>
      <c r="V1327" s="18">
        <f t="shared" si="357"/>
        <v>1503</v>
      </c>
      <c r="W1327" s="44">
        <v>97</v>
      </c>
      <c r="X1327" s="18">
        <f t="shared" si="358"/>
        <v>1600</v>
      </c>
      <c r="Y1327" s="43">
        <v>97</v>
      </c>
      <c r="Z1327" s="43">
        <f t="shared" si="367"/>
        <v>1697</v>
      </c>
      <c r="AA1327" s="43"/>
    </row>
    <row r="1328" spans="1:27" ht="24.75" x14ac:dyDescent="0.25">
      <c r="A1328" s="9" t="s">
        <v>505</v>
      </c>
      <c r="B1328" s="27" t="s">
        <v>45</v>
      </c>
      <c r="C1328" s="27" t="s">
        <v>260</v>
      </c>
      <c r="D1328" s="19"/>
      <c r="E1328" s="62">
        <v>395.6</v>
      </c>
      <c r="F1328" s="18">
        <f t="shared" si="371"/>
        <v>395.6</v>
      </c>
      <c r="G1328" s="64"/>
      <c r="H1328" s="18">
        <f t="shared" si="372"/>
        <v>395.6</v>
      </c>
      <c r="I1328" s="62">
        <v>70</v>
      </c>
      <c r="J1328" s="18">
        <f t="shared" si="363"/>
        <v>465.6</v>
      </c>
      <c r="K1328" s="106">
        <v>400</v>
      </c>
      <c r="L1328" s="18">
        <f t="shared" si="364"/>
        <v>865.6</v>
      </c>
      <c r="M1328" s="64"/>
      <c r="N1328" s="18">
        <f t="shared" si="368"/>
        <v>865.6</v>
      </c>
      <c r="O1328" s="64"/>
      <c r="P1328" s="18">
        <f t="shared" si="369"/>
        <v>865.6</v>
      </c>
      <c r="Q1328" s="64"/>
      <c r="R1328" s="18">
        <f t="shared" si="370"/>
        <v>865.6</v>
      </c>
      <c r="S1328" s="44">
        <v>-73.7</v>
      </c>
      <c r="T1328" s="18">
        <f t="shared" si="356"/>
        <v>791.9</v>
      </c>
      <c r="U1328" s="64"/>
      <c r="V1328" s="18">
        <f t="shared" si="357"/>
        <v>791.9</v>
      </c>
      <c r="W1328" s="64"/>
      <c r="X1328" s="18">
        <f t="shared" si="358"/>
        <v>791.9</v>
      </c>
      <c r="Z1328" s="43">
        <f t="shared" si="367"/>
        <v>791.9</v>
      </c>
      <c r="AA1328" s="43"/>
    </row>
    <row r="1329" spans="1:27" ht="36.75" x14ac:dyDescent="0.25">
      <c r="A1329" s="7" t="s">
        <v>514</v>
      </c>
      <c r="B1329" s="27" t="s">
        <v>45</v>
      </c>
      <c r="C1329" s="27" t="s">
        <v>181</v>
      </c>
      <c r="D1329" s="19"/>
      <c r="E1329" s="62"/>
      <c r="F1329" s="18"/>
      <c r="G1329" s="64"/>
      <c r="H1329" s="18"/>
      <c r="I1329" s="62"/>
      <c r="J1329" s="18"/>
      <c r="K1329" s="106"/>
      <c r="L1329" s="18"/>
      <c r="M1329" s="64"/>
      <c r="N1329" s="18"/>
      <c r="O1329" s="64"/>
      <c r="P1329" s="18"/>
      <c r="Q1329" s="64"/>
      <c r="R1329" s="18"/>
      <c r="S1329" s="44"/>
      <c r="T1329" s="18"/>
      <c r="U1329" s="96">
        <v>600</v>
      </c>
      <c r="V1329" s="18">
        <f t="shared" si="357"/>
        <v>600</v>
      </c>
      <c r="W1329" s="64"/>
      <c r="X1329" s="18">
        <f t="shared" si="358"/>
        <v>600</v>
      </c>
      <c r="Z1329" s="43">
        <f t="shared" si="367"/>
        <v>600</v>
      </c>
      <c r="AA1329" s="43"/>
    </row>
    <row r="1330" spans="1:27" x14ac:dyDescent="0.25">
      <c r="A1330" s="7" t="s">
        <v>37</v>
      </c>
      <c r="B1330" s="25" t="s">
        <v>45</v>
      </c>
      <c r="C1330" s="25" t="s">
        <v>38</v>
      </c>
      <c r="D1330" s="19">
        <v>200</v>
      </c>
      <c r="E1330" s="19"/>
      <c r="F1330" s="18">
        <f t="shared" si="371"/>
        <v>200</v>
      </c>
      <c r="G1330" s="19"/>
      <c r="H1330" s="18">
        <f t="shared" si="372"/>
        <v>200</v>
      </c>
      <c r="I1330" s="62">
        <v>-1</v>
      </c>
      <c r="J1330" s="18">
        <f t="shared" si="363"/>
        <v>199</v>
      </c>
      <c r="K1330" s="106">
        <v>-31</v>
      </c>
      <c r="L1330" s="18">
        <f t="shared" si="364"/>
        <v>168</v>
      </c>
      <c r="M1330" s="64"/>
      <c r="N1330" s="18">
        <f t="shared" si="368"/>
        <v>168</v>
      </c>
      <c r="O1330" s="64"/>
      <c r="P1330" s="18">
        <f t="shared" si="369"/>
        <v>168</v>
      </c>
      <c r="Q1330" s="64"/>
      <c r="R1330" s="18">
        <f t="shared" si="370"/>
        <v>168</v>
      </c>
      <c r="S1330" s="64"/>
      <c r="T1330" s="18">
        <f t="shared" si="356"/>
        <v>168</v>
      </c>
      <c r="U1330" s="64"/>
      <c r="V1330" s="18">
        <f t="shared" si="357"/>
        <v>168</v>
      </c>
      <c r="W1330" s="64"/>
      <c r="X1330" s="18">
        <f t="shared" si="358"/>
        <v>168</v>
      </c>
      <c r="Z1330" s="43">
        <f t="shared" si="367"/>
        <v>168</v>
      </c>
      <c r="AA1330" s="43"/>
    </row>
    <row r="1331" spans="1:27" x14ac:dyDescent="0.25">
      <c r="A1331" s="7" t="s">
        <v>39</v>
      </c>
      <c r="B1331" s="25" t="s">
        <v>45</v>
      </c>
      <c r="C1331" s="25" t="s">
        <v>40</v>
      </c>
      <c r="D1331" s="19">
        <v>215</v>
      </c>
      <c r="E1331" s="19"/>
      <c r="F1331" s="18">
        <f t="shared" si="371"/>
        <v>215</v>
      </c>
      <c r="G1331" s="19"/>
      <c r="H1331" s="18">
        <f t="shared" si="372"/>
        <v>215</v>
      </c>
      <c r="I1331" s="62">
        <v>1</v>
      </c>
      <c r="J1331" s="18">
        <f t="shared" si="363"/>
        <v>216</v>
      </c>
      <c r="K1331" s="44">
        <f>30+41</f>
        <v>71</v>
      </c>
      <c r="L1331" s="18">
        <f t="shared" si="364"/>
        <v>287</v>
      </c>
      <c r="M1331" s="62">
        <v>-30</v>
      </c>
      <c r="N1331" s="18">
        <f t="shared" si="368"/>
        <v>257</v>
      </c>
      <c r="O1331" s="64"/>
      <c r="P1331" s="18">
        <f t="shared" si="369"/>
        <v>257</v>
      </c>
      <c r="Q1331" s="64"/>
      <c r="R1331" s="18">
        <f t="shared" si="370"/>
        <v>257</v>
      </c>
      <c r="S1331" s="64"/>
      <c r="T1331" s="18">
        <f t="shared" si="356"/>
        <v>257</v>
      </c>
      <c r="U1331" s="44">
        <v>50</v>
      </c>
      <c r="V1331" s="18">
        <f t="shared" si="357"/>
        <v>307</v>
      </c>
      <c r="W1331" s="64"/>
      <c r="X1331" s="18">
        <f t="shared" si="358"/>
        <v>307</v>
      </c>
      <c r="Z1331" s="43">
        <f t="shared" si="367"/>
        <v>307</v>
      </c>
      <c r="AA1331" s="43"/>
    </row>
    <row r="1332" spans="1:27" x14ac:dyDescent="0.25">
      <c r="A1332" s="13" t="s">
        <v>468</v>
      </c>
      <c r="B1332" s="26" t="s">
        <v>469</v>
      </c>
      <c r="C1332" s="24" t="s">
        <v>2</v>
      </c>
      <c r="D1332" s="18">
        <f>D1333+D1334+D1335+D1336+D1337+D1338+D1341+D1342+D1343</f>
        <v>69483.400000000009</v>
      </c>
      <c r="E1332" s="18">
        <f>E1333+E1334+E1335+E1336+E1337+E1338+E1341+E1342+E1343+E1339</f>
        <v>3025.6</v>
      </c>
      <c r="F1332" s="18">
        <f t="shared" si="371"/>
        <v>72509.000000000015</v>
      </c>
      <c r="G1332" s="18">
        <f>G1333+G1334+G1335+G1336+G1337+G1338+G1341+G1342+G1343+G1339</f>
        <v>0</v>
      </c>
      <c r="H1332" s="18">
        <f t="shared" si="372"/>
        <v>72509.000000000015</v>
      </c>
      <c r="I1332" s="18">
        <f>I1333+I1334+I1335+I1336+I1337+I1338+I1341+I1342+I1343+I1339+I1340</f>
        <v>-113.09999999999995</v>
      </c>
      <c r="J1332" s="18">
        <f t="shared" si="363"/>
        <v>72395.900000000009</v>
      </c>
      <c r="K1332" s="47">
        <f>K1333+K1334+K1335+K1336+K1337+K1338+K1341+K1342+K1343+K1339+K1340</f>
        <v>-16.999999999999829</v>
      </c>
      <c r="L1332" s="18">
        <f t="shared" si="364"/>
        <v>72378.900000000009</v>
      </c>
      <c r="M1332" s="47">
        <f>M1333+M1334+M1335+M1336+M1337+M1338+M1341+M1342+M1343+M1339+M1340</f>
        <v>-354.6</v>
      </c>
      <c r="N1332" s="18">
        <f t="shared" si="368"/>
        <v>72024.3</v>
      </c>
      <c r="O1332" s="47">
        <f>O1333+O1334+O1335+O1336+O1337+O1338+O1341+O1342+O1343+O1339+O1340</f>
        <v>0</v>
      </c>
      <c r="P1332" s="18">
        <f t="shared" si="369"/>
        <v>72024.3</v>
      </c>
      <c r="Q1332" s="47">
        <f>Q1333+Q1334+Q1335+Q1336+Q1337+Q1338+Q1341+Q1342+Q1343+Q1339+Q1340</f>
        <v>9550.5000000000018</v>
      </c>
      <c r="R1332" s="18">
        <f t="shared" si="370"/>
        <v>81574.8</v>
      </c>
      <c r="S1332" s="47">
        <f>S1333+S1334+S1335+S1336+S1337+S1338+S1341+S1342+S1343+S1339+S1340</f>
        <v>1227.6000000000001</v>
      </c>
      <c r="T1332" s="18">
        <f t="shared" si="356"/>
        <v>82802.400000000009</v>
      </c>
      <c r="U1332" s="47">
        <f>U1333+U1334+U1335+U1336+U1337+U1338+U1341+U1342+U1343+U1339+U1340</f>
        <v>568.8000000000003</v>
      </c>
      <c r="V1332" s="18">
        <f t="shared" si="357"/>
        <v>83371.200000000012</v>
      </c>
      <c r="W1332" s="47">
        <f>W1333+W1334+W1335+W1336+W1337+W1338+W1341+W1342+W1343+W1339+W1340</f>
        <v>599.0999999999998</v>
      </c>
      <c r="X1332" s="18">
        <f t="shared" si="358"/>
        <v>83970.300000000017</v>
      </c>
    </row>
    <row r="1333" spans="1:27" x14ac:dyDescent="0.25">
      <c r="A1333" s="7" t="s">
        <v>498</v>
      </c>
      <c r="B1333" s="27" t="s">
        <v>469</v>
      </c>
      <c r="C1333" s="25" t="s">
        <v>8</v>
      </c>
      <c r="D1333" s="19">
        <f>34858.9-1156.5</f>
        <v>33702.400000000001</v>
      </c>
      <c r="E1333" s="19"/>
      <c r="F1333" s="18">
        <f t="shared" si="371"/>
        <v>33702.400000000001</v>
      </c>
      <c r="G1333" s="19"/>
      <c r="H1333" s="18">
        <f t="shared" si="372"/>
        <v>33702.400000000001</v>
      </c>
      <c r="I1333" s="62">
        <v>-1092.4000000000001</v>
      </c>
      <c r="J1333" s="18">
        <f t="shared" si="363"/>
        <v>32610</v>
      </c>
      <c r="K1333" s="106">
        <v>-509.3</v>
      </c>
      <c r="L1333" s="18">
        <f t="shared" si="364"/>
        <v>32100.7</v>
      </c>
      <c r="M1333" s="62">
        <v>78.599999999999994</v>
      </c>
      <c r="N1333" s="18">
        <f t="shared" si="368"/>
        <v>32179.3</v>
      </c>
      <c r="O1333" s="64"/>
      <c r="P1333" s="18">
        <f t="shared" si="369"/>
        <v>32179.3</v>
      </c>
      <c r="Q1333" s="44">
        <f>7332.4+1340.6</f>
        <v>8673</v>
      </c>
      <c r="R1333" s="18">
        <f t="shared" si="370"/>
        <v>40852.300000000003</v>
      </c>
      <c r="S1333" s="62">
        <v>1818</v>
      </c>
      <c r="T1333" s="18">
        <f t="shared" si="356"/>
        <v>42670.3</v>
      </c>
      <c r="U1333" s="44">
        <f>422.4+575.5</f>
        <v>997.9</v>
      </c>
      <c r="V1333" s="18">
        <f t="shared" si="357"/>
        <v>43668.200000000004</v>
      </c>
      <c r="W1333" s="44">
        <f>162+24.2+2.3+769.3</f>
        <v>957.8</v>
      </c>
      <c r="X1333" s="18">
        <f t="shared" si="358"/>
        <v>44626.000000000007</v>
      </c>
      <c r="Y1333" s="43">
        <v>769.3</v>
      </c>
      <c r="Z1333" s="43">
        <f t="shared" ref="Z1333:Z1343" si="373">X1333+Y1333</f>
        <v>45395.30000000001</v>
      </c>
      <c r="AA1333" s="43"/>
    </row>
    <row r="1334" spans="1:27" ht="24.75" hidden="1" x14ac:dyDescent="0.25">
      <c r="A1334" s="7" t="s">
        <v>499</v>
      </c>
      <c r="B1334" s="27" t="s">
        <v>469</v>
      </c>
      <c r="C1334" s="25" t="s">
        <v>32</v>
      </c>
      <c r="D1334" s="19">
        <v>9.1</v>
      </c>
      <c r="E1334" s="19"/>
      <c r="F1334" s="18">
        <f t="shared" si="371"/>
        <v>9.1</v>
      </c>
      <c r="G1334" s="19"/>
      <c r="H1334" s="18">
        <f t="shared" si="372"/>
        <v>9.1</v>
      </c>
      <c r="I1334" s="19"/>
      <c r="J1334" s="18">
        <f t="shared" si="363"/>
        <v>9.1</v>
      </c>
      <c r="K1334" s="64"/>
      <c r="L1334" s="18">
        <f t="shared" si="364"/>
        <v>9.1</v>
      </c>
      <c r="M1334" s="64"/>
      <c r="N1334" s="18">
        <f t="shared" si="368"/>
        <v>9.1</v>
      </c>
      <c r="O1334" s="64"/>
      <c r="P1334" s="18">
        <f t="shared" si="369"/>
        <v>9.1</v>
      </c>
      <c r="Q1334" s="64"/>
      <c r="R1334" s="18">
        <f t="shared" si="370"/>
        <v>9.1</v>
      </c>
      <c r="S1334" s="64"/>
      <c r="T1334" s="18">
        <f t="shared" si="356"/>
        <v>9.1</v>
      </c>
      <c r="U1334" s="64"/>
      <c r="V1334" s="18">
        <f t="shared" si="357"/>
        <v>9.1</v>
      </c>
      <c r="W1334" s="44">
        <v>-9.1</v>
      </c>
      <c r="X1334" s="18">
        <f t="shared" si="358"/>
        <v>0</v>
      </c>
      <c r="Y1334" s="43">
        <v>-9.1</v>
      </c>
      <c r="Z1334" s="43">
        <f t="shared" si="373"/>
        <v>-9.1</v>
      </c>
      <c r="AA1334" s="43"/>
    </row>
    <row r="1335" spans="1:27" ht="29.25" customHeight="1" x14ac:dyDescent="0.25">
      <c r="A1335" s="9" t="s">
        <v>500</v>
      </c>
      <c r="B1335" s="27" t="s">
        <v>469</v>
      </c>
      <c r="C1335" s="25" t="s">
        <v>9</v>
      </c>
      <c r="D1335" s="19">
        <f>11035.5-348.5</f>
        <v>10687</v>
      </c>
      <c r="E1335" s="19"/>
      <c r="F1335" s="18">
        <f t="shared" si="371"/>
        <v>10687</v>
      </c>
      <c r="G1335" s="19"/>
      <c r="H1335" s="18">
        <f t="shared" si="372"/>
        <v>10687</v>
      </c>
      <c r="I1335" s="19"/>
      <c r="J1335" s="18">
        <f t="shared" si="363"/>
        <v>10687</v>
      </c>
      <c r="K1335" s="64"/>
      <c r="L1335" s="18">
        <f t="shared" si="364"/>
        <v>10687</v>
      </c>
      <c r="M1335" s="64"/>
      <c r="N1335" s="18">
        <f t="shared" si="368"/>
        <v>10687</v>
      </c>
      <c r="O1335" s="64"/>
      <c r="P1335" s="18">
        <f t="shared" si="369"/>
        <v>10687</v>
      </c>
      <c r="Q1335" s="44">
        <f>947.4+807.8</f>
        <v>1755.1999999999998</v>
      </c>
      <c r="R1335" s="18">
        <f t="shared" si="370"/>
        <v>12442.2</v>
      </c>
      <c r="S1335" s="64"/>
      <c r="T1335" s="18">
        <f t="shared" si="356"/>
        <v>12442.2</v>
      </c>
      <c r="U1335" s="44">
        <f>295.2+425.8</f>
        <v>721</v>
      </c>
      <c r="V1335" s="18">
        <f t="shared" si="357"/>
        <v>13163.2</v>
      </c>
      <c r="W1335" s="44">
        <f>190.7+288.5</f>
        <v>479.2</v>
      </c>
      <c r="X1335" s="18">
        <f t="shared" si="358"/>
        <v>13642.400000000001</v>
      </c>
      <c r="Y1335" s="43">
        <v>288.5</v>
      </c>
      <c r="Z1335" s="43">
        <f t="shared" si="373"/>
        <v>13930.900000000001</v>
      </c>
      <c r="AA1335" s="43"/>
    </row>
    <row r="1336" spans="1:27" ht="15.75" customHeight="1" x14ac:dyDescent="0.25">
      <c r="A1336" s="9" t="s">
        <v>501</v>
      </c>
      <c r="B1336" s="27" t="s">
        <v>469</v>
      </c>
      <c r="C1336" s="25" t="s">
        <v>33</v>
      </c>
      <c r="D1336" s="19">
        <f>2310.2+0.2</f>
        <v>2310.3999999999996</v>
      </c>
      <c r="E1336" s="19"/>
      <c r="F1336" s="18">
        <f t="shared" si="371"/>
        <v>2310.3999999999996</v>
      </c>
      <c r="G1336" s="19"/>
      <c r="H1336" s="18">
        <f t="shared" si="372"/>
        <v>2310.3999999999996</v>
      </c>
      <c r="I1336" s="62">
        <v>27.5</v>
      </c>
      <c r="J1336" s="18">
        <f t="shared" si="363"/>
        <v>2337.8999999999996</v>
      </c>
      <c r="K1336" s="106">
        <v>130.80000000000001</v>
      </c>
      <c r="L1336" s="18">
        <f t="shared" si="364"/>
        <v>2468.6999999999998</v>
      </c>
      <c r="M1336" s="62">
        <v>35.9</v>
      </c>
      <c r="N1336" s="18">
        <f t="shared" si="368"/>
        <v>2504.6</v>
      </c>
      <c r="O1336" s="64"/>
      <c r="P1336" s="18">
        <f t="shared" si="369"/>
        <v>2504.6</v>
      </c>
      <c r="Q1336" s="44">
        <v>-65.2</v>
      </c>
      <c r="R1336" s="18">
        <f t="shared" si="370"/>
        <v>2439.4</v>
      </c>
      <c r="S1336" s="44">
        <f>-90.7-144</f>
        <v>-234.7</v>
      </c>
      <c r="T1336" s="18">
        <f t="shared" si="356"/>
        <v>2204.7000000000003</v>
      </c>
      <c r="U1336" s="96">
        <v>141.9</v>
      </c>
      <c r="V1336" s="18">
        <f t="shared" si="357"/>
        <v>2346.6000000000004</v>
      </c>
      <c r="W1336" s="44">
        <v>-52.7</v>
      </c>
      <c r="X1336" s="18">
        <f t="shared" si="358"/>
        <v>2293.9000000000005</v>
      </c>
      <c r="Y1336" s="43">
        <v>-52.7</v>
      </c>
      <c r="Z1336" s="43">
        <f t="shared" si="373"/>
        <v>2241.2000000000007</v>
      </c>
      <c r="AA1336" s="43"/>
    </row>
    <row r="1337" spans="1:27" x14ac:dyDescent="0.25">
      <c r="A1337" s="7" t="s">
        <v>54</v>
      </c>
      <c r="B1337" s="27" t="s">
        <v>469</v>
      </c>
      <c r="C1337" s="25" t="s">
        <v>34</v>
      </c>
      <c r="D1337" s="19">
        <f>(14060.8+4195.3)+50-0.2</f>
        <v>18305.899999999998</v>
      </c>
      <c r="E1337" s="62">
        <v>1903.9</v>
      </c>
      <c r="F1337" s="18">
        <f t="shared" si="371"/>
        <v>20209.8</v>
      </c>
      <c r="G1337" s="64"/>
      <c r="H1337" s="18">
        <f t="shared" si="372"/>
        <v>20209.8</v>
      </c>
      <c r="I1337" s="62">
        <v>-807.8</v>
      </c>
      <c r="J1337" s="18">
        <f t="shared" si="363"/>
        <v>19402</v>
      </c>
      <c r="K1337" s="44">
        <f>30-678.8</f>
        <v>-648.79999999999995</v>
      </c>
      <c r="L1337" s="18">
        <f t="shared" si="364"/>
        <v>18753.2</v>
      </c>
      <c r="M1337" s="44">
        <f>-258.5-193.6+51.8</f>
        <v>-400.3</v>
      </c>
      <c r="N1337" s="18">
        <f t="shared" si="368"/>
        <v>18352.900000000001</v>
      </c>
      <c r="O1337" s="64"/>
      <c r="P1337" s="18">
        <f t="shared" si="369"/>
        <v>18352.900000000001</v>
      </c>
      <c r="Q1337" s="44">
        <f>395.1-809.1</f>
        <v>-414</v>
      </c>
      <c r="R1337" s="18">
        <f t="shared" si="370"/>
        <v>17938.900000000001</v>
      </c>
      <c r="S1337" s="44">
        <f>-177.7-119</f>
        <v>-296.7</v>
      </c>
      <c r="T1337" s="18">
        <f t="shared" si="356"/>
        <v>17642.2</v>
      </c>
      <c r="U1337" s="44">
        <f>380+28.9+8.8-1546.6</f>
        <v>-1128.8999999999999</v>
      </c>
      <c r="V1337" s="18">
        <f t="shared" si="357"/>
        <v>16513.3</v>
      </c>
      <c r="W1337" s="44">
        <f>2.4+10-633.3</f>
        <v>-620.9</v>
      </c>
      <c r="X1337" s="18">
        <f t="shared" si="358"/>
        <v>15892.4</v>
      </c>
      <c r="Y1337" s="43">
        <v>-633.29999999999995</v>
      </c>
      <c r="Z1337" s="43">
        <f t="shared" si="373"/>
        <v>15259.1</v>
      </c>
      <c r="AA1337" s="43"/>
    </row>
    <row r="1338" spans="1:27" x14ac:dyDescent="0.25">
      <c r="A1338" s="7" t="s">
        <v>503</v>
      </c>
      <c r="B1338" s="27" t="s">
        <v>469</v>
      </c>
      <c r="C1338" s="25" t="s">
        <v>35</v>
      </c>
      <c r="D1338" s="19">
        <v>4154.5</v>
      </c>
      <c r="E1338" s="62">
        <v>499.7</v>
      </c>
      <c r="F1338" s="18">
        <f t="shared" si="371"/>
        <v>4654.2</v>
      </c>
      <c r="G1338" s="64"/>
      <c r="H1338" s="18">
        <f t="shared" si="372"/>
        <v>4654.2</v>
      </c>
      <c r="I1338" s="62">
        <v>642.20000000000005</v>
      </c>
      <c r="J1338" s="18">
        <f t="shared" si="363"/>
        <v>5296.4</v>
      </c>
      <c r="K1338" s="106">
        <v>477.7</v>
      </c>
      <c r="L1338" s="18">
        <f t="shared" si="364"/>
        <v>5774.0999999999995</v>
      </c>
      <c r="M1338" s="64"/>
      <c r="N1338" s="18">
        <f t="shared" si="368"/>
        <v>5774.0999999999995</v>
      </c>
      <c r="O1338" s="64"/>
      <c r="P1338" s="18">
        <f t="shared" si="369"/>
        <v>5774.0999999999995</v>
      </c>
      <c r="Q1338" s="44">
        <v>-300</v>
      </c>
      <c r="R1338" s="18">
        <f t="shared" si="370"/>
        <v>5474.0999999999995</v>
      </c>
      <c r="S1338" s="44">
        <f>-60-65.1</f>
        <v>-125.1</v>
      </c>
      <c r="T1338" s="18">
        <f t="shared" si="356"/>
        <v>5348.9999999999991</v>
      </c>
      <c r="U1338" s="96">
        <v>-141.6</v>
      </c>
      <c r="V1338" s="18">
        <f t="shared" si="357"/>
        <v>5207.3999999999987</v>
      </c>
      <c r="W1338" s="44">
        <v>-91.6</v>
      </c>
      <c r="X1338" s="18">
        <f t="shared" si="358"/>
        <v>5115.7999999999984</v>
      </c>
      <c r="Y1338" s="43">
        <v>-91.6</v>
      </c>
      <c r="Z1338" s="43">
        <f t="shared" si="373"/>
        <v>5024.199999999998</v>
      </c>
      <c r="AA1338" s="43"/>
    </row>
    <row r="1339" spans="1:27" ht="24.75" x14ac:dyDescent="0.25">
      <c r="A1339" s="9" t="s">
        <v>505</v>
      </c>
      <c r="B1339" s="27" t="s">
        <v>469</v>
      </c>
      <c r="C1339" s="27" t="s">
        <v>260</v>
      </c>
      <c r="D1339" s="19"/>
      <c r="E1339" s="62">
        <v>372</v>
      </c>
      <c r="F1339" s="18">
        <f t="shared" si="371"/>
        <v>372</v>
      </c>
      <c r="G1339" s="64"/>
      <c r="H1339" s="18">
        <f t="shared" si="372"/>
        <v>372</v>
      </c>
      <c r="I1339" s="62">
        <v>1092.4000000000001</v>
      </c>
      <c r="J1339" s="18">
        <f t="shared" si="363"/>
        <v>1464.4</v>
      </c>
      <c r="K1339" s="106">
        <v>509.3</v>
      </c>
      <c r="L1339" s="18">
        <f t="shared" si="364"/>
        <v>1973.7</v>
      </c>
      <c r="M1339" s="62">
        <v>-78.599999999999994</v>
      </c>
      <c r="N1339" s="18">
        <f t="shared" si="368"/>
        <v>1895.1000000000001</v>
      </c>
      <c r="O1339" s="64"/>
      <c r="P1339" s="18">
        <f t="shared" si="369"/>
        <v>1895.1000000000001</v>
      </c>
      <c r="Q1339" s="44">
        <v>-161.80000000000001</v>
      </c>
      <c r="R1339" s="18">
        <f t="shared" si="370"/>
        <v>1733.3000000000002</v>
      </c>
      <c r="S1339" s="64"/>
      <c r="T1339" s="18">
        <f t="shared" si="356"/>
        <v>1733.3000000000002</v>
      </c>
      <c r="U1339" s="64"/>
      <c r="V1339" s="18">
        <f t="shared" si="357"/>
        <v>1733.3000000000002</v>
      </c>
      <c r="W1339" s="64"/>
      <c r="X1339" s="18">
        <f t="shared" si="358"/>
        <v>1733.3000000000002</v>
      </c>
      <c r="Z1339" s="43">
        <f t="shared" si="373"/>
        <v>1733.3000000000002</v>
      </c>
      <c r="AA1339" s="43"/>
    </row>
    <row r="1340" spans="1:27" ht="24.75" x14ac:dyDescent="0.25">
      <c r="A1340" s="58" t="s">
        <v>578</v>
      </c>
      <c r="B1340" s="27" t="s">
        <v>469</v>
      </c>
      <c r="C1340" s="27" t="s">
        <v>580</v>
      </c>
      <c r="D1340" s="19"/>
      <c r="E1340" s="62"/>
      <c r="F1340" s="18"/>
      <c r="G1340" s="64"/>
      <c r="H1340" s="18"/>
      <c r="I1340" s="62">
        <v>43.2</v>
      </c>
      <c r="J1340" s="18">
        <f t="shared" si="363"/>
        <v>43.2</v>
      </c>
      <c r="K1340" s="106">
        <v>10</v>
      </c>
      <c r="L1340" s="18">
        <f t="shared" si="364"/>
        <v>53.2</v>
      </c>
      <c r="M1340" s="64"/>
      <c r="N1340" s="18">
        <f t="shared" si="368"/>
        <v>53.2</v>
      </c>
      <c r="O1340" s="64"/>
      <c r="P1340" s="18">
        <f t="shared" si="369"/>
        <v>53.2</v>
      </c>
      <c r="Q1340" s="64"/>
      <c r="R1340" s="18">
        <f t="shared" si="370"/>
        <v>53.2</v>
      </c>
      <c r="S1340" s="64"/>
      <c r="T1340" s="18">
        <f t="shared" si="356"/>
        <v>53.2</v>
      </c>
      <c r="U1340" s="96">
        <v>1.2</v>
      </c>
      <c r="V1340" s="18">
        <f t="shared" si="357"/>
        <v>54.400000000000006</v>
      </c>
      <c r="W1340" s="64"/>
      <c r="X1340" s="18">
        <f t="shared" si="358"/>
        <v>54.400000000000006</v>
      </c>
      <c r="Z1340" s="43">
        <f t="shared" si="373"/>
        <v>54.400000000000006</v>
      </c>
      <c r="AA1340" s="43"/>
    </row>
    <row r="1341" spans="1:27" x14ac:dyDescent="0.25">
      <c r="A1341" s="7" t="s">
        <v>515</v>
      </c>
      <c r="B1341" s="27" t="s">
        <v>469</v>
      </c>
      <c r="C1341" s="25" t="s">
        <v>36</v>
      </c>
      <c r="D1341" s="19">
        <v>190.5</v>
      </c>
      <c r="E1341" s="19"/>
      <c r="F1341" s="18">
        <f t="shared" si="371"/>
        <v>190.5</v>
      </c>
      <c r="G1341" s="19"/>
      <c r="H1341" s="18">
        <f t="shared" si="372"/>
        <v>190.5</v>
      </c>
      <c r="I1341" s="62">
        <v>-103.7</v>
      </c>
      <c r="J1341" s="18">
        <f t="shared" si="363"/>
        <v>86.8</v>
      </c>
      <c r="K1341" s="106">
        <v>-32.299999999999997</v>
      </c>
      <c r="L1341" s="18">
        <f t="shared" si="364"/>
        <v>54.5</v>
      </c>
      <c r="M1341" s="62">
        <v>-1.4</v>
      </c>
      <c r="N1341" s="18">
        <f t="shared" si="368"/>
        <v>53.1</v>
      </c>
      <c r="O1341" s="64"/>
      <c r="P1341" s="18">
        <f t="shared" si="369"/>
        <v>53.1</v>
      </c>
      <c r="Q1341" s="44">
        <v>-3.4</v>
      </c>
      <c r="R1341" s="18">
        <f t="shared" si="370"/>
        <v>49.7</v>
      </c>
      <c r="S1341" s="64"/>
      <c r="T1341" s="18">
        <f t="shared" si="356"/>
        <v>49.7</v>
      </c>
      <c r="U1341" s="64"/>
      <c r="V1341" s="18">
        <f t="shared" si="357"/>
        <v>49.7</v>
      </c>
      <c r="W1341" s="44">
        <v>-40</v>
      </c>
      <c r="X1341" s="18">
        <f t="shared" si="358"/>
        <v>9.7000000000000028</v>
      </c>
      <c r="Y1341" s="43">
        <v>-40</v>
      </c>
      <c r="Z1341" s="43">
        <f t="shared" si="373"/>
        <v>-30.299999999999997</v>
      </c>
      <c r="AA1341" s="43"/>
    </row>
    <row r="1342" spans="1:27" x14ac:dyDescent="0.25">
      <c r="A1342" s="7" t="s">
        <v>37</v>
      </c>
      <c r="B1342" s="27" t="s">
        <v>469</v>
      </c>
      <c r="C1342" s="25" t="s">
        <v>38</v>
      </c>
      <c r="D1342" s="19">
        <v>121.6</v>
      </c>
      <c r="E1342" s="19"/>
      <c r="F1342" s="18">
        <f t="shared" si="371"/>
        <v>121.6</v>
      </c>
      <c r="G1342" s="19"/>
      <c r="H1342" s="18">
        <f t="shared" si="372"/>
        <v>121.6</v>
      </c>
      <c r="I1342" s="62">
        <v>8.5</v>
      </c>
      <c r="J1342" s="18">
        <f t="shared" si="363"/>
        <v>130.1</v>
      </c>
      <c r="K1342" s="106">
        <v>-17.399999999999999</v>
      </c>
      <c r="L1342" s="18">
        <f t="shared" si="364"/>
        <v>112.69999999999999</v>
      </c>
      <c r="M1342" s="62">
        <v>1.9</v>
      </c>
      <c r="N1342" s="18">
        <f t="shared" si="368"/>
        <v>114.6</v>
      </c>
      <c r="O1342" s="64"/>
      <c r="P1342" s="18">
        <f t="shared" si="369"/>
        <v>114.6</v>
      </c>
      <c r="Q1342" s="44">
        <v>9.1</v>
      </c>
      <c r="R1342" s="18">
        <f t="shared" si="370"/>
        <v>123.69999999999999</v>
      </c>
      <c r="S1342" s="62">
        <v>5.4</v>
      </c>
      <c r="T1342" s="18">
        <f t="shared" si="356"/>
        <v>129.1</v>
      </c>
      <c r="U1342" s="44">
        <f>0.8-21.4</f>
        <v>-20.599999999999998</v>
      </c>
      <c r="V1342" s="18">
        <f t="shared" si="357"/>
        <v>108.5</v>
      </c>
      <c r="W1342" s="44">
        <v>-7.4</v>
      </c>
      <c r="X1342" s="18">
        <f t="shared" si="358"/>
        <v>101.1</v>
      </c>
      <c r="Y1342" s="43">
        <v>-7.4</v>
      </c>
      <c r="Z1342" s="43">
        <f t="shared" si="373"/>
        <v>93.699999999999989</v>
      </c>
      <c r="AA1342" s="43"/>
    </row>
    <row r="1343" spans="1:27" x14ac:dyDescent="0.25">
      <c r="A1343" s="7" t="s">
        <v>39</v>
      </c>
      <c r="B1343" s="27" t="s">
        <v>469</v>
      </c>
      <c r="C1343" s="25" t="s">
        <v>40</v>
      </c>
      <c r="D1343" s="19">
        <v>2</v>
      </c>
      <c r="E1343" s="62">
        <v>250</v>
      </c>
      <c r="F1343" s="18">
        <f t="shared" si="371"/>
        <v>252</v>
      </c>
      <c r="G1343" s="64"/>
      <c r="H1343" s="18">
        <f t="shared" si="372"/>
        <v>252</v>
      </c>
      <c r="I1343" s="62">
        <v>77</v>
      </c>
      <c r="J1343" s="18">
        <f t="shared" si="363"/>
        <v>329</v>
      </c>
      <c r="K1343" s="106">
        <v>63</v>
      </c>
      <c r="L1343" s="18">
        <f t="shared" si="364"/>
        <v>392</v>
      </c>
      <c r="M1343" s="62">
        <v>9.3000000000000007</v>
      </c>
      <c r="N1343" s="18">
        <f t="shared" si="368"/>
        <v>401.3</v>
      </c>
      <c r="O1343" s="64"/>
      <c r="P1343" s="18">
        <f t="shared" si="369"/>
        <v>401.3</v>
      </c>
      <c r="Q1343" s="44">
        <v>57.6</v>
      </c>
      <c r="R1343" s="18">
        <f t="shared" si="370"/>
        <v>458.90000000000003</v>
      </c>
      <c r="S1343" s="62">
        <v>60.7</v>
      </c>
      <c r="T1343" s="18">
        <f t="shared" si="356"/>
        <v>519.6</v>
      </c>
      <c r="U1343" s="44">
        <f>6+0.5-8.6</f>
        <v>-2.0999999999999996</v>
      </c>
      <c r="V1343" s="18">
        <f t="shared" si="357"/>
        <v>517.5</v>
      </c>
      <c r="W1343" s="44">
        <v>-16.2</v>
      </c>
      <c r="X1343" s="18">
        <f t="shared" si="358"/>
        <v>501.3</v>
      </c>
      <c r="Y1343" s="43">
        <v>-16.2</v>
      </c>
      <c r="Z1343" s="43">
        <f t="shared" si="373"/>
        <v>485.1</v>
      </c>
      <c r="AA1343" s="43"/>
    </row>
    <row r="1344" spans="1:27" x14ac:dyDescent="0.25">
      <c r="A1344" s="101" t="s">
        <v>734</v>
      </c>
      <c r="B1344" s="26" t="s">
        <v>733</v>
      </c>
      <c r="C1344" s="27"/>
      <c r="D1344" s="19"/>
      <c r="E1344" s="62"/>
      <c r="F1344" s="18"/>
      <c r="G1344" s="64"/>
      <c r="H1344" s="18"/>
      <c r="I1344" s="62"/>
      <c r="J1344" s="18"/>
      <c r="K1344" s="47">
        <f>K1345</f>
        <v>2500</v>
      </c>
      <c r="L1344" s="18">
        <f t="shared" si="364"/>
        <v>2500</v>
      </c>
      <c r="M1344" s="47">
        <f>M1345</f>
        <v>0</v>
      </c>
      <c r="N1344" s="18">
        <f t="shared" si="368"/>
        <v>2500</v>
      </c>
      <c r="O1344" s="47">
        <f>O1345</f>
        <v>-2500</v>
      </c>
      <c r="P1344" s="18">
        <f t="shared" si="369"/>
        <v>0</v>
      </c>
      <c r="Q1344" s="47">
        <f>Q1345</f>
        <v>2500</v>
      </c>
      <c r="R1344" s="18">
        <f t="shared" si="370"/>
        <v>2500</v>
      </c>
      <c r="S1344" s="47">
        <f>S1345</f>
        <v>0</v>
      </c>
      <c r="T1344" s="18">
        <f t="shared" si="356"/>
        <v>2500</v>
      </c>
      <c r="U1344" s="47">
        <f>U1345+U1346</f>
        <v>-1287.4000000000001</v>
      </c>
      <c r="V1344" s="18">
        <f t="shared" si="357"/>
        <v>1212.5999999999999</v>
      </c>
      <c r="W1344" s="47">
        <f>W1345+W1346</f>
        <v>-19.2</v>
      </c>
      <c r="X1344" s="18">
        <f t="shared" si="358"/>
        <v>1193.3999999999999</v>
      </c>
    </row>
    <row r="1345" spans="1:27" x14ac:dyDescent="0.25">
      <c r="A1345" s="7" t="s">
        <v>498</v>
      </c>
      <c r="B1345" s="27" t="s">
        <v>733</v>
      </c>
      <c r="C1345" s="27" t="s">
        <v>8</v>
      </c>
      <c r="D1345" s="19"/>
      <c r="E1345" s="62"/>
      <c r="F1345" s="18"/>
      <c r="G1345" s="64"/>
      <c r="H1345" s="18"/>
      <c r="I1345" s="62"/>
      <c r="J1345" s="18"/>
      <c r="K1345" s="81">
        <v>2500</v>
      </c>
      <c r="L1345" s="18">
        <f t="shared" si="364"/>
        <v>2500</v>
      </c>
      <c r="M1345" s="64"/>
      <c r="N1345" s="18">
        <f t="shared" si="368"/>
        <v>2500</v>
      </c>
      <c r="O1345" s="96">
        <v>-2500</v>
      </c>
      <c r="P1345" s="18">
        <f t="shared" si="369"/>
        <v>0</v>
      </c>
      <c r="Q1345" s="44">
        <v>2500</v>
      </c>
      <c r="R1345" s="18">
        <f t="shared" si="370"/>
        <v>2500</v>
      </c>
      <c r="S1345" s="64"/>
      <c r="T1345" s="18">
        <f t="shared" si="356"/>
        <v>2500</v>
      </c>
      <c r="U1345" s="151">
        <f>-1557.2-11.5</f>
        <v>-1568.7</v>
      </c>
      <c r="V1345" s="18">
        <f t="shared" si="357"/>
        <v>931.3</v>
      </c>
      <c r="W1345" s="44">
        <f>-11.7-3</f>
        <v>-14.7</v>
      </c>
      <c r="X1345" s="18">
        <f t="shared" si="358"/>
        <v>916.59999999999991</v>
      </c>
      <c r="Y1345" s="43">
        <v>-3</v>
      </c>
      <c r="Z1345" s="43">
        <f t="shared" ref="Z1345:Z1346" si="374">X1345+Y1345</f>
        <v>913.59999999999991</v>
      </c>
      <c r="AA1345" s="43"/>
    </row>
    <row r="1346" spans="1:27" ht="36.75" x14ac:dyDescent="0.25">
      <c r="A1346" s="9" t="s">
        <v>500</v>
      </c>
      <c r="B1346" s="27" t="s">
        <v>733</v>
      </c>
      <c r="C1346" s="27" t="s">
        <v>9</v>
      </c>
      <c r="D1346" s="19"/>
      <c r="E1346" s="62"/>
      <c r="F1346" s="18"/>
      <c r="G1346" s="64"/>
      <c r="H1346" s="18"/>
      <c r="I1346" s="62"/>
      <c r="J1346" s="18"/>
      <c r="K1346" s="81"/>
      <c r="L1346" s="18"/>
      <c r="M1346" s="64"/>
      <c r="N1346" s="18"/>
      <c r="O1346" s="96"/>
      <c r="P1346" s="18"/>
      <c r="Q1346" s="44"/>
      <c r="R1346" s="18"/>
      <c r="S1346" s="64"/>
      <c r="T1346" s="18"/>
      <c r="U1346" s="151">
        <f>284.7-3.4</f>
        <v>281.3</v>
      </c>
      <c r="V1346" s="18">
        <f t="shared" si="357"/>
        <v>281.3</v>
      </c>
      <c r="W1346" s="44">
        <f>-3.5-1</f>
        <v>-4.5</v>
      </c>
      <c r="X1346" s="18">
        <f t="shared" si="358"/>
        <v>276.8</v>
      </c>
      <c r="Y1346" s="43">
        <v>-1</v>
      </c>
      <c r="Z1346" s="43">
        <f t="shared" si="374"/>
        <v>275.8</v>
      </c>
      <c r="AA1346" s="43"/>
    </row>
    <row r="1347" spans="1:27" x14ac:dyDescent="0.25">
      <c r="A1347" s="13" t="s">
        <v>102</v>
      </c>
      <c r="B1347" s="24" t="s">
        <v>104</v>
      </c>
      <c r="C1347" s="24" t="s">
        <v>2</v>
      </c>
      <c r="D1347" s="18">
        <f>D1348+D1349+D1350</f>
        <v>2669.5</v>
      </c>
      <c r="E1347" s="18">
        <f>E1348+E1349+E1350</f>
        <v>0</v>
      </c>
      <c r="F1347" s="18">
        <f t="shared" si="371"/>
        <v>2669.5</v>
      </c>
      <c r="G1347" s="18">
        <f>G1348+G1349+G1350</f>
        <v>0</v>
      </c>
      <c r="H1347" s="18">
        <f t="shared" si="372"/>
        <v>2669.5</v>
      </c>
      <c r="I1347" s="18">
        <f>I1348+I1349+I1350</f>
        <v>500</v>
      </c>
      <c r="J1347" s="18">
        <f t="shared" si="363"/>
        <v>3169.5</v>
      </c>
      <c r="K1347" s="47">
        <f>K1348+K1349+K1350</f>
        <v>-80</v>
      </c>
      <c r="L1347" s="18">
        <f t="shared" si="364"/>
        <v>3089.5</v>
      </c>
      <c r="M1347" s="47">
        <f>M1348+M1349+M1350</f>
        <v>0</v>
      </c>
      <c r="N1347" s="18">
        <f t="shared" si="368"/>
        <v>3089.5</v>
      </c>
      <c r="O1347" s="47">
        <f>O1348+O1349+O1350</f>
        <v>0</v>
      </c>
      <c r="P1347" s="18">
        <f t="shared" si="369"/>
        <v>3089.5</v>
      </c>
      <c r="Q1347" s="47">
        <f>Q1348+Q1349+Q1350</f>
        <v>270.89999999999998</v>
      </c>
      <c r="R1347" s="18">
        <f t="shared" si="370"/>
        <v>3360.4</v>
      </c>
      <c r="S1347" s="47">
        <f>S1348+S1349+S1350</f>
        <v>-112.4</v>
      </c>
      <c r="T1347" s="18">
        <f t="shared" si="356"/>
        <v>3248</v>
      </c>
      <c r="U1347" s="47">
        <f>U1348+U1349+U1350</f>
        <v>-165.9</v>
      </c>
      <c r="V1347" s="18">
        <f t="shared" si="357"/>
        <v>3082.1</v>
      </c>
      <c r="W1347" s="47">
        <f>W1348+W1349+W1350</f>
        <v>-15.5</v>
      </c>
      <c r="X1347" s="18">
        <f t="shared" si="358"/>
        <v>3066.6</v>
      </c>
    </row>
    <row r="1348" spans="1:27" x14ac:dyDescent="0.25">
      <c r="A1348" s="7" t="s">
        <v>54</v>
      </c>
      <c r="B1348" s="25" t="s">
        <v>104</v>
      </c>
      <c r="C1348" s="25" t="s">
        <v>34</v>
      </c>
      <c r="D1348" s="19">
        <v>839.5</v>
      </c>
      <c r="E1348" s="19"/>
      <c r="F1348" s="18">
        <f t="shared" si="371"/>
        <v>839.5</v>
      </c>
      <c r="G1348" s="19"/>
      <c r="H1348" s="18">
        <f t="shared" si="372"/>
        <v>839.5</v>
      </c>
      <c r="I1348" s="62">
        <v>500</v>
      </c>
      <c r="J1348" s="18">
        <f t="shared" si="363"/>
        <v>1339.5</v>
      </c>
      <c r="K1348" s="44">
        <f>-335-80</f>
        <v>-415</v>
      </c>
      <c r="L1348" s="18">
        <f t="shared" si="364"/>
        <v>924.5</v>
      </c>
      <c r="M1348" s="64"/>
      <c r="N1348" s="18">
        <f t="shared" si="368"/>
        <v>924.5</v>
      </c>
      <c r="O1348" s="64"/>
      <c r="P1348" s="18">
        <f t="shared" si="369"/>
        <v>924.5</v>
      </c>
      <c r="Q1348" s="44">
        <v>-129.1</v>
      </c>
      <c r="R1348" s="18">
        <f t="shared" si="370"/>
        <v>795.4</v>
      </c>
      <c r="S1348" s="44">
        <f>-43-69.4</f>
        <v>-112.4</v>
      </c>
      <c r="T1348" s="18">
        <f t="shared" si="356"/>
        <v>683</v>
      </c>
      <c r="U1348" s="44">
        <f>-25.8-140.1</f>
        <v>-165.9</v>
      </c>
      <c r="V1348" s="18">
        <f t="shared" si="357"/>
        <v>517.1</v>
      </c>
      <c r="W1348" s="44">
        <v>-15.5</v>
      </c>
      <c r="X1348" s="18">
        <f t="shared" si="358"/>
        <v>501.6</v>
      </c>
      <c r="Y1348" s="43">
        <v>-15.5</v>
      </c>
      <c r="Z1348" s="43">
        <f t="shared" ref="Z1348:Z1350" si="375">X1348+Y1348</f>
        <v>486.1</v>
      </c>
      <c r="AA1348" s="43"/>
    </row>
    <row r="1349" spans="1:27" x14ac:dyDescent="0.25">
      <c r="A1349" s="7" t="s">
        <v>507</v>
      </c>
      <c r="B1349" s="25" t="s">
        <v>104</v>
      </c>
      <c r="C1349" s="25" t="s">
        <v>105</v>
      </c>
      <c r="D1349" s="19">
        <v>36</v>
      </c>
      <c r="E1349" s="19"/>
      <c r="F1349" s="18">
        <f t="shared" si="371"/>
        <v>36</v>
      </c>
      <c r="G1349" s="19"/>
      <c r="H1349" s="18">
        <f t="shared" si="372"/>
        <v>36</v>
      </c>
      <c r="I1349" s="19"/>
      <c r="J1349" s="18">
        <f t="shared" si="363"/>
        <v>36</v>
      </c>
      <c r="K1349" s="64"/>
      <c r="L1349" s="18">
        <f t="shared" si="364"/>
        <v>36</v>
      </c>
      <c r="M1349" s="64"/>
      <c r="N1349" s="18">
        <f t="shared" si="368"/>
        <v>36</v>
      </c>
      <c r="O1349" s="64"/>
      <c r="P1349" s="18">
        <f t="shared" si="369"/>
        <v>36</v>
      </c>
      <c r="Q1349" s="64"/>
      <c r="R1349" s="18">
        <f t="shared" si="370"/>
        <v>36</v>
      </c>
      <c r="S1349" s="64"/>
      <c r="T1349" s="18">
        <f t="shared" si="356"/>
        <v>36</v>
      </c>
      <c r="U1349" s="64"/>
      <c r="V1349" s="18">
        <f t="shared" si="357"/>
        <v>36</v>
      </c>
      <c r="W1349" s="64"/>
      <c r="X1349" s="18">
        <f t="shared" si="358"/>
        <v>36</v>
      </c>
      <c r="Z1349" s="43">
        <f t="shared" si="375"/>
        <v>36</v>
      </c>
      <c r="AA1349" s="43"/>
    </row>
    <row r="1350" spans="1:27" x14ac:dyDescent="0.25">
      <c r="A1350" s="9" t="s">
        <v>511</v>
      </c>
      <c r="B1350" s="25" t="s">
        <v>104</v>
      </c>
      <c r="C1350" s="25" t="s">
        <v>66</v>
      </c>
      <c r="D1350" s="19">
        <v>1794</v>
      </c>
      <c r="E1350" s="19"/>
      <c r="F1350" s="18">
        <f t="shared" si="371"/>
        <v>1794</v>
      </c>
      <c r="G1350" s="19"/>
      <c r="H1350" s="18">
        <f t="shared" si="372"/>
        <v>1794</v>
      </c>
      <c r="I1350" s="19"/>
      <c r="J1350" s="18">
        <f t="shared" si="363"/>
        <v>1794</v>
      </c>
      <c r="K1350" s="44">
        <v>335</v>
      </c>
      <c r="L1350" s="18">
        <f t="shared" si="364"/>
        <v>2129</v>
      </c>
      <c r="M1350" s="64"/>
      <c r="N1350" s="18">
        <f t="shared" si="368"/>
        <v>2129</v>
      </c>
      <c r="O1350" s="64"/>
      <c r="P1350" s="18">
        <f t="shared" si="369"/>
        <v>2129</v>
      </c>
      <c r="Q1350" s="44">
        <v>400</v>
      </c>
      <c r="R1350" s="18">
        <f t="shared" si="370"/>
        <v>2529</v>
      </c>
      <c r="S1350" s="64"/>
      <c r="T1350" s="18">
        <f t="shared" si="356"/>
        <v>2529</v>
      </c>
      <c r="U1350" s="64"/>
      <c r="V1350" s="18">
        <f t="shared" si="357"/>
        <v>2529</v>
      </c>
      <c r="W1350" s="64"/>
      <c r="X1350" s="18">
        <f t="shared" si="358"/>
        <v>2529</v>
      </c>
      <c r="Z1350" s="43">
        <f t="shared" si="375"/>
        <v>2529</v>
      </c>
      <c r="AA1350" s="43"/>
    </row>
    <row r="1351" spans="1:27" x14ac:dyDescent="0.25">
      <c r="A1351" s="28" t="s">
        <v>561</v>
      </c>
      <c r="B1351" s="26" t="s">
        <v>1127</v>
      </c>
      <c r="C1351" s="27"/>
      <c r="D1351" s="19"/>
      <c r="E1351" s="19"/>
      <c r="F1351" s="18"/>
      <c r="G1351" s="19"/>
      <c r="H1351" s="18"/>
      <c r="I1351" s="19"/>
      <c r="J1351" s="18"/>
      <c r="K1351" s="44"/>
      <c r="L1351" s="18"/>
      <c r="M1351" s="64"/>
      <c r="N1351" s="18"/>
      <c r="O1351" s="64"/>
      <c r="P1351" s="18"/>
      <c r="Q1351" s="78">
        <f>Q1352</f>
        <v>332.9</v>
      </c>
      <c r="R1351" s="18">
        <f t="shared" si="370"/>
        <v>332.9</v>
      </c>
      <c r="S1351" s="78">
        <f>S1352</f>
        <v>0</v>
      </c>
      <c r="T1351" s="18">
        <f t="shared" si="356"/>
        <v>332.9</v>
      </c>
      <c r="U1351" s="78">
        <f>U1352</f>
        <v>0</v>
      </c>
      <c r="V1351" s="18">
        <f t="shared" si="357"/>
        <v>332.9</v>
      </c>
      <c r="W1351" s="78">
        <f>W1352</f>
        <v>-282.90000000000003</v>
      </c>
      <c r="X1351" s="18">
        <f t="shared" si="358"/>
        <v>49.999999999999943</v>
      </c>
    </row>
    <row r="1352" spans="1:27" x14ac:dyDescent="0.25">
      <c r="A1352" s="7" t="s">
        <v>54</v>
      </c>
      <c r="B1352" s="27" t="s">
        <v>1127</v>
      </c>
      <c r="C1352" s="27" t="s">
        <v>34</v>
      </c>
      <c r="D1352" s="19"/>
      <c r="E1352" s="19"/>
      <c r="F1352" s="18"/>
      <c r="G1352" s="19"/>
      <c r="H1352" s="18"/>
      <c r="I1352" s="19"/>
      <c r="J1352" s="18"/>
      <c r="K1352" s="44"/>
      <c r="L1352" s="18"/>
      <c r="M1352" s="64"/>
      <c r="N1352" s="18"/>
      <c r="O1352" s="64"/>
      <c r="P1352" s="18"/>
      <c r="Q1352" s="90">
        <f>164.4+168.5</f>
        <v>332.9</v>
      </c>
      <c r="R1352" s="18">
        <f t="shared" si="370"/>
        <v>332.9</v>
      </c>
      <c r="S1352" s="77"/>
      <c r="T1352" s="18">
        <f t="shared" si="356"/>
        <v>332.9</v>
      </c>
      <c r="U1352" s="77"/>
      <c r="V1352" s="18">
        <f t="shared" si="357"/>
        <v>332.9</v>
      </c>
      <c r="W1352" s="90">
        <f>-18.8-5-259.1</f>
        <v>-282.90000000000003</v>
      </c>
      <c r="X1352" s="18">
        <f t="shared" si="358"/>
        <v>49.999999999999943</v>
      </c>
      <c r="Y1352" s="43">
        <v>-259.10000000000002</v>
      </c>
      <c r="Z1352" s="43">
        <f>X1352+Y1352</f>
        <v>-209.10000000000008</v>
      </c>
      <c r="AA1352" s="43"/>
    </row>
    <row r="1353" spans="1:27" x14ac:dyDescent="0.25">
      <c r="A1353" s="33" t="s">
        <v>263</v>
      </c>
      <c r="B1353" s="26" t="s">
        <v>690</v>
      </c>
      <c r="C1353" s="26" t="s">
        <v>2</v>
      </c>
      <c r="D1353" s="19"/>
      <c r="E1353" s="19"/>
      <c r="F1353" s="18"/>
      <c r="G1353" s="19"/>
      <c r="H1353" s="18"/>
      <c r="I1353" s="47">
        <f>I1354</f>
        <v>21.1</v>
      </c>
      <c r="J1353" s="18">
        <f t="shared" si="363"/>
        <v>21.1</v>
      </c>
      <c r="K1353" s="47">
        <f>K1354</f>
        <v>30.5</v>
      </c>
      <c r="L1353" s="18">
        <f t="shared" si="364"/>
        <v>51.6</v>
      </c>
      <c r="M1353" s="47">
        <f>M1354</f>
        <v>0</v>
      </c>
      <c r="N1353" s="18">
        <f t="shared" si="368"/>
        <v>51.6</v>
      </c>
      <c r="O1353" s="47">
        <f>O1354</f>
        <v>0</v>
      </c>
      <c r="P1353" s="18">
        <f t="shared" si="369"/>
        <v>51.6</v>
      </c>
      <c r="Q1353" s="47">
        <f>Q1354</f>
        <v>12.5</v>
      </c>
      <c r="R1353" s="18">
        <f t="shared" si="370"/>
        <v>64.099999999999994</v>
      </c>
      <c r="S1353" s="47">
        <f>S1354</f>
        <v>0</v>
      </c>
      <c r="T1353" s="18">
        <f t="shared" si="356"/>
        <v>64.099999999999994</v>
      </c>
      <c r="U1353" s="47">
        <f>U1354</f>
        <v>0.5</v>
      </c>
      <c r="V1353" s="18">
        <f t="shared" si="357"/>
        <v>64.599999999999994</v>
      </c>
      <c r="W1353" s="47">
        <f>W1354</f>
        <v>-10.1</v>
      </c>
      <c r="X1353" s="18">
        <f t="shared" si="358"/>
        <v>54.499999999999993</v>
      </c>
    </row>
    <row r="1354" spans="1:27" x14ac:dyDescent="0.25">
      <c r="A1354" s="9" t="s">
        <v>515</v>
      </c>
      <c r="B1354" s="27" t="s">
        <v>690</v>
      </c>
      <c r="C1354" s="27" t="s">
        <v>36</v>
      </c>
      <c r="D1354" s="19"/>
      <c r="E1354" s="19"/>
      <c r="F1354" s="18"/>
      <c r="G1354" s="19"/>
      <c r="H1354" s="18"/>
      <c r="I1354" s="62">
        <v>21.1</v>
      </c>
      <c r="J1354" s="18">
        <f t="shared" si="363"/>
        <v>21.1</v>
      </c>
      <c r="K1354" s="106">
        <v>30.5</v>
      </c>
      <c r="L1354" s="18">
        <f t="shared" si="364"/>
        <v>51.6</v>
      </c>
      <c r="M1354" s="64"/>
      <c r="N1354" s="18">
        <f t="shared" si="368"/>
        <v>51.6</v>
      </c>
      <c r="O1354" s="64"/>
      <c r="P1354" s="18">
        <f t="shared" si="369"/>
        <v>51.6</v>
      </c>
      <c r="Q1354" s="44">
        <v>12.5</v>
      </c>
      <c r="R1354" s="18">
        <f t="shared" si="370"/>
        <v>64.099999999999994</v>
      </c>
      <c r="S1354" s="64"/>
      <c r="T1354" s="18">
        <f t="shared" si="356"/>
        <v>64.099999999999994</v>
      </c>
      <c r="U1354" s="96">
        <v>0.5</v>
      </c>
      <c r="V1354" s="18">
        <f t="shared" si="357"/>
        <v>64.599999999999994</v>
      </c>
      <c r="W1354" s="44">
        <f>-11.5+1.4</f>
        <v>-10.1</v>
      </c>
      <c r="X1354" s="18">
        <f t="shared" si="358"/>
        <v>54.499999999999993</v>
      </c>
      <c r="Y1354" s="43">
        <v>1.4</v>
      </c>
      <c r="Z1354" s="43">
        <f>X1354+Y1354</f>
        <v>55.899999999999991</v>
      </c>
      <c r="AA1354" s="43"/>
    </row>
    <row r="1355" spans="1:27" ht="36.75" x14ac:dyDescent="0.25">
      <c r="A1355" s="119" t="s">
        <v>1297</v>
      </c>
      <c r="B1355" s="26" t="s">
        <v>1298</v>
      </c>
      <c r="C1355" s="27"/>
      <c r="D1355" s="19"/>
      <c r="E1355" s="19"/>
      <c r="F1355" s="18"/>
      <c r="G1355" s="19"/>
      <c r="H1355" s="18"/>
      <c r="I1355" s="62"/>
      <c r="J1355" s="18"/>
      <c r="K1355" s="106"/>
      <c r="L1355" s="18"/>
      <c r="M1355" s="64"/>
      <c r="N1355" s="18"/>
      <c r="O1355" s="64"/>
      <c r="P1355" s="18"/>
      <c r="Q1355" s="44"/>
      <c r="R1355" s="18"/>
      <c r="S1355" s="64"/>
      <c r="T1355" s="18"/>
      <c r="U1355" s="47">
        <f>U1356</f>
        <v>56</v>
      </c>
      <c r="V1355" s="18">
        <f t="shared" si="357"/>
        <v>56</v>
      </c>
      <c r="W1355" s="47">
        <f>W1356</f>
        <v>0</v>
      </c>
      <c r="X1355" s="18">
        <f t="shared" si="358"/>
        <v>56</v>
      </c>
    </row>
    <row r="1356" spans="1:27" x14ac:dyDescent="0.25">
      <c r="A1356" s="7" t="s">
        <v>54</v>
      </c>
      <c r="B1356" s="27" t="s">
        <v>1298</v>
      </c>
      <c r="C1356" s="27" t="s">
        <v>34</v>
      </c>
      <c r="D1356" s="19"/>
      <c r="E1356" s="19"/>
      <c r="F1356" s="18"/>
      <c r="G1356" s="19"/>
      <c r="H1356" s="18"/>
      <c r="I1356" s="62"/>
      <c r="J1356" s="18"/>
      <c r="K1356" s="106"/>
      <c r="L1356" s="18"/>
      <c r="M1356" s="64"/>
      <c r="N1356" s="18"/>
      <c r="O1356" s="64"/>
      <c r="P1356" s="18"/>
      <c r="Q1356" s="44"/>
      <c r="R1356" s="18"/>
      <c r="S1356" s="64"/>
      <c r="T1356" s="18"/>
      <c r="U1356" s="44">
        <v>56</v>
      </c>
      <c r="V1356" s="18">
        <f t="shared" si="357"/>
        <v>56</v>
      </c>
      <c r="W1356" s="64"/>
      <c r="X1356" s="18">
        <f t="shared" si="358"/>
        <v>56</v>
      </c>
      <c r="Z1356" s="43">
        <f>X1356+Y1356</f>
        <v>56</v>
      </c>
      <c r="AA1356" s="43"/>
    </row>
    <row r="1357" spans="1:27" x14ac:dyDescent="0.25">
      <c r="A1357" s="14" t="s">
        <v>41</v>
      </c>
      <c r="B1357" s="26" t="s">
        <v>517</v>
      </c>
      <c r="C1357" s="26" t="s">
        <v>2</v>
      </c>
      <c r="D1357" s="20">
        <f>D1358</f>
        <v>51.9</v>
      </c>
      <c r="E1357" s="20">
        <f>E1358</f>
        <v>0</v>
      </c>
      <c r="F1357" s="18">
        <f t="shared" si="371"/>
        <v>51.9</v>
      </c>
      <c r="G1357" s="20">
        <f>G1358</f>
        <v>0</v>
      </c>
      <c r="H1357" s="18">
        <f t="shared" si="372"/>
        <v>51.9</v>
      </c>
      <c r="I1357" s="20">
        <f>I1358</f>
        <v>546</v>
      </c>
      <c r="J1357" s="18">
        <f t="shared" si="363"/>
        <v>597.9</v>
      </c>
      <c r="K1357" s="20">
        <f>K1358</f>
        <v>230.3</v>
      </c>
      <c r="L1357" s="18">
        <f t="shared" si="364"/>
        <v>828.2</v>
      </c>
      <c r="M1357" s="20">
        <f>M1358</f>
        <v>25</v>
      </c>
      <c r="N1357" s="18">
        <f t="shared" si="368"/>
        <v>853.2</v>
      </c>
      <c r="O1357" s="20">
        <f>O1358</f>
        <v>0</v>
      </c>
      <c r="P1357" s="18">
        <f t="shared" si="369"/>
        <v>853.2</v>
      </c>
      <c r="Q1357" s="20">
        <f>Q1358</f>
        <v>1250</v>
      </c>
      <c r="R1357" s="18">
        <f t="shared" si="370"/>
        <v>2103.1999999999998</v>
      </c>
      <c r="S1357" s="20">
        <f>S1358</f>
        <v>338.3</v>
      </c>
      <c r="T1357" s="18">
        <f t="shared" si="356"/>
        <v>2441.5</v>
      </c>
      <c r="U1357" s="20">
        <f>U1358</f>
        <v>12.5</v>
      </c>
      <c r="V1357" s="18">
        <f t="shared" si="357"/>
        <v>2454</v>
      </c>
      <c r="W1357" s="20">
        <f>W1358</f>
        <v>-67.099999999999994</v>
      </c>
      <c r="X1357" s="18">
        <f t="shared" si="358"/>
        <v>2386.9</v>
      </c>
    </row>
    <row r="1358" spans="1:27" x14ac:dyDescent="0.25">
      <c r="A1358" s="9" t="s">
        <v>515</v>
      </c>
      <c r="B1358" s="27" t="s">
        <v>517</v>
      </c>
      <c r="C1358" s="27" t="s">
        <v>36</v>
      </c>
      <c r="D1358" s="21">
        <v>51.9</v>
      </c>
      <c r="E1358" s="21"/>
      <c r="F1358" s="18">
        <f t="shared" si="371"/>
        <v>51.9</v>
      </c>
      <c r="G1358" s="21"/>
      <c r="H1358" s="18">
        <f t="shared" si="372"/>
        <v>51.9</v>
      </c>
      <c r="I1358" s="62">
        <v>546</v>
      </c>
      <c r="J1358" s="18">
        <f t="shared" si="363"/>
        <v>597.9</v>
      </c>
      <c r="K1358" s="106">
        <v>230.3</v>
      </c>
      <c r="L1358" s="18">
        <f t="shared" si="364"/>
        <v>828.2</v>
      </c>
      <c r="M1358" s="62">
        <v>25</v>
      </c>
      <c r="N1358" s="18">
        <f t="shared" si="368"/>
        <v>853.2</v>
      </c>
      <c r="O1358" s="64"/>
      <c r="P1358" s="18">
        <f t="shared" si="369"/>
        <v>853.2</v>
      </c>
      <c r="Q1358" s="44">
        <f>508.2+741.8</f>
        <v>1250</v>
      </c>
      <c r="R1358" s="18">
        <f t="shared" si="370"/>
        <v>2103.1999999999998</v>
      </c>
      <c r="S1358" s="62">
        <v>338.3</v>
      </c>
      <c r="T1358" s="18">
        <f t="shared" si="356"/>
        <v>2441.5</v>
      </c>
      <c r="U1358" s="44">
        <f>40.6-0.5-11.6-16</f>
        <v>12.5</v>
      </c>
      <c r="V1358" s="18">
        <f t="shared" si="357"/>
        <v>2454</v>
      </c>
      <c r="W1358" s="44">
        <f>-46.8-34.2+13.9</f>
        <v>-67.099999999999994</v>
      </c>
      <c r="X1358" s="18">
        <f t="shared" si="358"/>
        <v>2386.9</v>
      </c>
      <c r="Y1358" s="43">
        <v>13.9</v>
      </c>
      <c r="Z1358" s="43">
        <f>X1358+Y1358</f>
        <v>2400.8000000000002</v>
      </c>
      <c r="AA1358" s="43"/>
    </row>
    <row r="1359" spans="1:27" ht="36.75" hidden="1" x14ac:dyDescent="0.25">
      <c r="A1359" s="33" t="s">
        <v>746</v>
      </c>
      <c r="B1359" s="26" t="s">
        <v>748</v>
      </c>
      <c r="C1359" s="26" t="s">
        <v>2</v>
      </c>
      <c r="D1359" s="21"/>
      <c r="E1359" s="21"/>
      <c r="F1359" s="18"/>
      <c r="G1359" s="21"/>
      <c r="H1359" s="18"/>
      <c r="I1359" s="62"/>
      <c r="J1359" s="18"/>
      <c r="K1359" s="106"/>
      <c r="L1359" s="18"/>
      <c r="M1359" s="78">
        <f>M1360</f>
        <v>2000</v>
      </c>
      <c r="N1359" s="18">
        <f t="shared" si="368"/>
        <v>2000</v>
      </c>
      <c r="O1359" s="78">
        <f>O1360</f>
        <v>-1000</v>
      </c>
      <c r="P1359" s="18">
        <f t="shared" si="369"/>
        <v>1000</v>
      </c>
      <c r="Q1359" s="78">
        <f>Q1360</f>
        <v>0</v>
      </c>
      <c r="R1359" s="18">
        <f t="shared" si="370"/>
        <v>1000</v>
      </c>
      <c r="S1359" s="78">
        <f>S1360</f>
        <v>-651.1</v>
      </c>
      <c r="T1359" s="18">
        <f t="shared" si="356"/>
        <v>348.9</v>
      </c>
      <c r="U1359" s="78">
        <f>U1360</f>
        <v>-348.9</v>
      </c>
      <c r="V1359" s="18">
        <f t="shared" si="357"/>
        <v>0</v>
      </c>
      <c r="W1359" s="78">
        <f>W1360</f>
        <v>0</v>
      </c>
      <c r="X1359" s="18">
        <f t="shared" si="358"/>
        <v>0</v>
      </c>
    </row>
    <row r="1360" spans="1:27" hidden="1" x14ac:dyDescent="0.25">
      <c r="A1360" s="7" t="s">
        <v>54</v>
      </c>
      <c r="B1360" s="27" t="s">
        <v>748</v>
      </c>
      <c r="C1360" s="27" t="s">
        <v>34</v>
      </c>
      <c r="D1360" s="21"/>
      <c r="E1360" s="21"/>
      <c r="F1360" s="18"/>
      <c r="G1360" s="21"/>
      <c r="H1360" s="18"/>
      <c r="I1360" s="62"/>
      <c r="J1360" s="18"/>
      <c r="K1360" s="106"/>
      <c r="L1360" s="18"/>
      <c r="M1360" s="90">
        <v>2000</v>
      </c>
      <c r="N1360" s="18">
        <f t="shared" si="368"/>
        <v>2000</v>
      </c>
      <c r="O1360" s="138">
        <v>-1000</v>
      </c>
      <c r="P1360" s="18">
        <f t="shared" si="369"/>
        <v>1000</v>
      </c>
      <c r="Q1360" s="90">
        <f>1000-1000</f>
        <v>0</v>
      </c>
      <c r="R1360" s="18">
        <f t="shared" si="370"/>
        <v>1000</v>
      </c>
      <c r="S1360" s="92">
        <v>-651.1</v>
      </c>
      <c r="T1360" s="18">
        <f t="shared" si="356"/>
        <v>348.9</v>
      </c>
      <c r="U1360" s="138">
        <v>-348.9</v>
      </c>
      <c r="V1360" s="18">
        <f t="shared" si="357"/>
        <v>0</v>
      </c>
      <c r="W1360" s="77"/>
      <c r="X1360" s="18">
        <f t="shared" si="358"/>
        <v>0</v>
      </c>
      <c r="Z1360" s="43">
        <f>X1360+Y1360</f>
        <v>0</v>
      </c>
      <c r="AA1360" s="43"/>
    </row>
    <row r="1361" spans="1:27" ht="36.75" x14ac:dyDescent="0.25">
      <c r="A1361" s="33" t="s">
        <v>747</v>
      </c>
      <c r="B1361" s="26" t="s">
        <v>749</v>
      </c>
      <c r="C1361" s="26" t="s">
        <v>2</v>
      </c>
      <c r="D1361" s="21"/>
      <c r="E1361" s="21"/>
      <c r="F1361" s="18"/>
      <c r="G1361" s="21"/>
      <c r="H1361" s="18"/>
      <c r="I1361" s="62"/>
      <c r="J1361" s="18"/>
      <c r="K1361" s="106"/>
      <c r="L1361" s="18"/>
      <c r="M1361" s="78">
        <f>M1363+M1362+M1364+M1366+M1367+M1368</f>
        <v>2356.4</v>
      </c>
      <c r="N1361" s="18">
        <f t="shared" si="368"/>
        <v>2356.4</v>
      </c>
      <c r="O1361" s="78">
        <f>O1363+O1362+O1364+O1366+O1367+O1368</f>
        <v>0</v>
      </c>
      <c r="P1361" s="18">
        <f t="shared" si="369"/>
        <v>2356.4</v>
      </c>
      <c r="Q1361" s="78">
        <f>Q1363+Q1362+Q1364+Q1366+Q1367+Q1368+Q1365</f>
        <v>-1568.6</v>
      </c>
      <c r="R1361" s="18">
        <f t="shared" si="370"/>
        <v>787.80000000000018</v>
      </c>
      <c r="S1361" s="78">
        <f>S1363+S1362+S1364+S1366+S1367+S1368+S1365</f>
        <v>293.89999999999998</v>
      </c>
      <c r="T1361" s="18">
        <f t="shared" si="356"/>
        <v>1081.7000000000003</v>
      </c>
      <c r="U1361" s="78">
        <f>U1363+U1362+U1364+U1366+U1367+U1368+U1365</f>
        <v>701.9</v>
      </c>
      <c r="V1361" s="18">
        <f t="shared" si="357"/>
        <v>1783.6000000000004</v>
      </c>
      <c r="W1361" s="78">
        <f>W1363+W1362+W1364+W1366+W1367+W1368+W1365</f>
        <v>0</v>
      </c>
      <c r="X1361" s="18">
        <f t="shared" si="358"/>
        <v>1783.6000000000004</v>
      </c>
    </row>
    <row r="1362" spans="1:27" ht="24.75" x14ac:dyDescent="0.25">
      <c r="A1362" s="8" t="s">
        <v>501</v>
      </c>
      <c r="B1362" s="27" t="s">
        <v>749</v>
      </c>
      <c r="C1362" s="27" t="s">
        <v>33</v>
      </c>
      <c r="D1362" s="21"/>
      <c r="E1362" s="21"/>
      <c r="F1362" s="18"/>
      <c r="G1362" s="21"/>
      <c r="H1362" s="18"/>
      <c r="I1362" s="62"/>
      <c r="J1362" s="18"/>
      <c r="K1362" s="106"/>
      <c r="L1362" s="18"/>
      <c r="M1362" s="92">
        <v>4</v>
      </c>
      <c r="N1362" s="18">
        <f t="shared" si="368"/>
        <v>4</v>
      </c>
      <c r="O1362" s="77"/>
      <c r="P1362" s="18">
        <f t="shared" si="369"/>
        <v>4</v>
      </c>
      <c r="Q1362" s="77"/>
      <c r="R1362" s="18">
        <f t="shared" si="370"/>
        <v>4</v>
      </c>
      <c r="S1362" s="77"/>
      <c r="T1362" s="18">
        <f t="shared" si="356"/>
        <v>4</v>
      </c>
      <c r="U1362" s="77"/>
      <c r="V1362" s="18">
        <f t="shared" si="357"/>
        <v>4</v>
      </c>
      <c r="W1362" s="77"/>
      <c r="X1362" s="18">
        <f t="shared" si="358"/>
        <v>4</v>
      </c>
      <c r="Z1362" s="43">
        <f t="shared" ref="Z1362:Z1368" si="376">X1362+Y1362</f>
        <v>4</v>
      </c>
      <c r="AA1362" s="43"/>
    </row>
    <row r="1363" spans="1:27" x14ac:dyDescent="0.25">
      <c r="A1363" s="7" t="s">
        <v>54</v>
      </c>
      <c r="B1363" s="27" t="s">
        <v>749</v>
      </c>
      <c r="C1363" s="27" t="s">
        <v>34</v>
      </c>
      <c r="D1363" s="21"/>
      <c r="E1363" s="21"/>
      <c r="F1363" s="18"/>
      <c r="G1363" s="21"/>
      <c r="H1363" s="18"/>
      <c r="I1363" s="62"/>
      <c r="J1363" s="18"/>
      <c r="K1363" s="106"/>
      <c r="L1363" s="18"/>
      <c r="M1363" s="90">
        <f>2000+75.5</f>
        <v>2075.5</v>
      </c>
      <c r="N1363" s="18">
        <f t="shared" si="368"/>
        <v>2075.5</v>
      </c>
      <c r="O1363" s="77"/>
      <c r="P1363" s="18">
        <f t="shared" si="369"/>
        <v>2075.5</v>
      </c>
      <c r="Q1363" s="90">
        <v>-1783.1</v>
      </c>
      <c r="R1363" s="18">
        <f t="shared" si="370"/>
        <v>292.40000000000009</v>
      </c>
      <c r="S1363" s="92">
        <v>268.7</v>
      </c>
      <c r="T1363" s="18">
        <f t="shared" si="356"/>
        <v>561.10000000000014</v>
      </c>
      <c r="U1363" s="138">
        <v>702</v>
      </c>
      <c r="V1363" s="18">
        <f t="shared" si="357"/>
        <v>1263.1000000000001</v>
      </c>
      <c r="W1363" s="77"/>
      <c r="X1363" s="18">
        <f t="shared" si="358"/>
        <v>1263.1000000000001</v>
      </c>
      <c r="Z1363" s="43">
        <f t="shared" si="376"/>
        <v>1263.1000000000001</v>
      </c>
      <c r="AA1363" s="43"/>
    </row>
    <row r="1364" spans="1:27" x14ac:dyDescent="0.25">
      <c r="A1364" s="7" t="s">
        <v>503</v>
      </c>
      <c r="B1364" s="27" t="s">
        <v>749</v>
      </c>
      <c r="C1364" s="27" t="s">
        <v>35</v>
      </c>
      <c r="D1364" s="21"/>
      <c r="E1364" s="21"/>
      <c r="F1364" s="18"/>
      <c r="G1364" s="21"/>
      <c r="H1364" s="18"/>
      <c r="I1364" s="62"/>
      <c r="J1364" s="18"/>
      <c r="K1364" s="106"/>
      <c r="L1364" s="18"/>
      <c r="M1364" s="92">
        <v>92.5</v>
      </c>
      <c r="N1364" s="18">
        <f t="shared" si="368"/>
        <v>92.5</v>
      </c>
      <c r="O1364" s="77"/>
      <c r="P1364" s="18">
        <f t="shared" si="369"/>
        <v>92.5</v>
      </c>
      <c r="Q1364" s="77"/>
      <c r="R1364" s="18">
        <f t="shared" si="370"/>
        <v>92.5</v>
      </c>
      <c r="S1364" s="92">
        <v>25.2</v>
      </c>
      <c r="T1364" s="18">
        <f t="shared" si="356"/>
        <v>117.7</v>
      </c>
      <c r="U1364" s="138">
        <v>-0.1</v>
      </c>
      <c r="V1364" s="18">
        <f t="shared" si="357"/>
        <v>117.60000000000001</v>
      </c>
      <c r="W1364" s="77"/>
      <c r="X1364" s="18">
        <f t="shared" si="358"/>
        <v>117.60000000000001</v>
      </c>
      <c r="Z1364" s="43">
        <f t="shared" si="376"/>
        <v>117.60000000000001</v>
      </c>
      <c r="AA1364" s="43"/>
    </row>
    <row r="1365" spans="1:27" ht="24.75" x14ac:dyDescent="0.25">
      <c r="A1365" s="58" t="s">
        <v>578</v>
      </c>
      <c r="B1365" s="27" t="s">
        <v>749</v>
      </c>
      <c r="C1365" s="27" t="s">
        <v>580</v>
      </c>
      <c r="D1365" s="21"/>
      <c r="E1365" s="21"/>
      <c r="F1365" s="18"/>
      <c r="G1365" s="21"/>
      <c r="H1365" s="18"/>
      <c r="I1365" s="62"/>
      <c r="J1365" s="18"/>
      <c r="K1365" s="106"/>
      <c r="L1365" s="18"/>
      <c r="M1365" s="92"/>
      <c r="N1365" s="18"/>
      <c r="O1365" s="77"/>
      <c r="P1365" s="18"/>
      <c r="Q1365" s="90">
        <v>2.5</v>
      </c>
      <c r="R1365" s="18">
        <f t="shared" si="370"/>
        <v>2.5</v>
      </c>
      <c r="S1365" s="77"/>
      <c r="T1365" s="18">
        <f t="shared" si="356"/>
        <v>2.5</v>
      </c>
      <c r="U1365" s="77"/>
      <c r="V1365" s="18">
        <f t="shared" si="357"/>
        <v>2.5</v>
      </c>
      <c r="W1365" s="77"/>
      <c r="X1365" s="18">
        <f t="shared" si="358"/>
        <v>2.5</v>
      </c>
      <c r="Z1365" s="43">
        <f t="shared" si="376"/>
        <v>2.5</v>
      </c>
      <c r="AA1365" s="43"/>
    </row>
    <row r="1366" spans="1:27" x14ac:dyDescent="0.25">
      <c r="A1366" s="7" t="s">
        <v>515</v>
      </c>
      <c r="B1366" s="27" t="s">
        <v>749</v>
      </c>
      <c r="C1366" s="27" t="s">
        <v>36</v>
      </c>
      <c r="D1366" s="21"/>
      <c r="E1366" s="21"/>
      <c r="F1366" s="18"/>
      <c r="G1366" s="21"/>
      <c r="H1366" s="18"/>
      <c r="I1366" s="62"/>
      <c r="J1366" s="18"/>
      <c r="K1366" s="106"/>
      <c r="L1366" s="18"/>
      <c r="M1366" s="92">
        <v>180.3</v>
      </c>
      <c r="N1366" s="18">
        <f t="shared" si="368"/>
        <v>180.3</v>
      </c>
      <c r="O1366" s="77"/>
      <c r="P1366" s="18">
        <f t="shared" si="369"/>
        <v>180.3</v>
      </c>
      <c r="Q1366" s="90">
        <v>109.7</v>
      </c>
      <c r="R1366" s="18">
        <f t="shared" si="370"/>
        <v>290</v>
      </c>
      <c r="S1366" s="77"/>
      <c r="T1366" s="18">
        <f t="shared" si="356"/>
        <v>290</v>
      </c>
      <c r="U1366" s="77"/>
      <c r="V1366" s="18">
        <f t="shared" si="357"/>
        <v>290</v>
      </c>
      <c r="W1366" s="77"/>
      <c r="X1366" s="18">
        <f t="shared" si="358"/>
        <v>290</v>
      </c>
      <c r="Z1366" s="43">
        <f t="shared" si="376"/>
        <v>290</v>
      </c>
      <c r="AA1366" s="43"/>
    </row>
    <row r="1367" spans="1:27" x14ac:dyDescent="0.25">
      <c r="A1367" s="7" t="s">
        <v>37</v>
      </c>
      <c r="B1367" s="27" t="s">
        <v>749</v>
      </c>
      <c r="C1367" s="27" t="s">
        <v>38</v>
      </c>
      <c r="D1367" s="21"/>
      <c r="E1367" s="21"/>
      <c r="F1367" s="18"/>
      <c r="G1367" s="21"/>
      <c r="H1367" s="18"/>
      <c r="I1367" s="62"/>
      <c r="J1367" s="18"/>
      <c r="K1367" s="106"/>
      <c r="L1367" s="18"/>
      <c r="M1367" s="92">
        <v>2.5</v>
      </c>
      <c r="N1367" s="18">
        <f t="shared" si="368"/>
        <v>2.5</v>
      </c>
      <c r="O1367" s="77"/>
      <c r="P1367" s="18">
        <f t="shared" si="369"/>
        <v>2.5</v>
      </c>
      <c r="Q1367" s="90">
        <v>70.2</v>
      </c>
      <c r="R1367" s="18">
        <f t="shared" si="370"/>
        <v>72.7</v>
      </c>
      <c r="S1367" s="77"/>
      <c r="T1367" s="18">
        <f t="shared" si="356"/>
        <v>72.7</v>
      </c>
      <c r="U1367" s="77"/>
      <c r="V1367" s="18">
        <f t="shared" si="357"/>
        <v>72.7</v>
      </c>
      <c r="W1367" s="77"/>
      <c r="X1367" s="18">
        <f t="shared" si="358"/>
        <v>72.7</v>
      </c>
      <c r="Z1367" s="43">
        <f t="shared" si="376"/>
        <v>72.7</v>
      </c>
      <c r="AA1367" s="43"/>
    </row>
    <row r="1368" spans="1:27" x14ac:dyDescent="0.25">
      <c r="A1368" s="7" t="s">
        <v>39</v>
      </c>
      <c r="B1368" s="27" t="s">
        <v>749</v>
      </c>
      <c r="C1368" s="27" t="s">
        <v>40</v>
      </c>
      <c r="D1368" s="21"/>
      <c r="E1368" s="21"/>
      <c r="F1368" s="18"/>
      <c r="G1368" s="21"/>
      <c r="H1368" s="18"/>
      <c r="I1368" s="62"/>
      <c r="J1368" s="18"/>
      <c r="K1368" s="106"/>
      <c r="L1368" s="18"/>
      <c r="M1368" s="92">
        <v>1.6</v>
      </c>
      <c r="N1368" s="18">
        <f t="shared" si="368"/>
        <v>1.6</v>
      </c>
      <c r="O1368" s="77"/>
      <c r="P1368" s="18">
        <f t="shared" si="369"/>
        <v>1.6</v>
      </c>
      <c r="Q1368" s="90">
        <v>32.1</v>
      </c>
      <c r="R1368" s="18">
        <f t="shared" si="370"/>
        <v>33.700000000000003</v>
      </c>
      <c r="S1368" s="77"/>
      <c r="T1368" s="18">
        <f t="shared" si="356"/>
        <v>33.700000000000003</v>
      </c>
      <c r="U1368" s="77"/>
      <c r="V1368" s="18">
        <f t="shared" si="357"/>
        <v>33.700000000000003</v>
      </c>
      <c r="W1368" s="77"/>
      <c r="X1368" s="18">
        <f t="shared" si="358"/>
        <v>33.700000000000003</v>
      </c>
      <c r="Z1368" s="43">
        <f t="shared" si="376"/>
        <v>33.700000000000003</v>
      </c>
      <c r="AA1368" s="43"/>
    </row>
    <row r="1369" spans="1:27" hidden="1" x14ac:dyDescent="0.25">
      <c r="A1369" s="14" t="s">
        <v>103</v>
      </c>
      <c r="B1369" s="26" t="s">
        <v>518</v>
      </c>
      <c r="C1369" s="26" t="s">
        <v>2</v>
      </c>
      <c r="D1369" s="20">
        <f>D1370</f>
        <v>4076.7999999999993</v>
      </c>
      <c r="E1369" s="20">
        <f>E1370</f>
        <v>-879.99999999999977</v>
      </c>
      <c r="F1369" s="18">
        <f t="shared" si="371"/>
        <v>3196.7999999999993</v>
      </c>
      <c r="G1369" s="20">
        <f>G1370</f>
        <v>0</v>
      </c>
      <c r="H1369" s="18">
        <f t="shared" si="372"/>
        <v>3196.7999999999993</v>
      </c>
      <c r="I1369" s="20">
        <f>I1370</f>
        <v>-768.1</v>
      </c>
      <c r="J1369" s="18">
        <f t="shared" si="363"/>
        <v>2428.6999999999994</v>
      </c>
      <c r="K1369" s="47">
        <f>K1370</f>
        <v>5868.5</v>
      </c>
      <c r="L1369" s="18">
        <f t="shared" si="364"/>
        <v>8297.1999999999989</v>
      </c>
      <c r="M1369" s="47">
        <f>M1370</f>
        <v>-4327.3999999999996</v>
      </c>
      <c r="N1369" s="18">
        <f t="shared" si="368"/>
        <v>3969.7999999999993</v>
      </c>
      <c r="O1369" s="47">
        <f>O1370</f>
        <v>-3300</v>
      </c>
      <c r="P1369" s="18">
        <f t="shared" si="369"/>
        <v>669.79999999999927</v>
      </c>
      <c r="Q1369" s="47">
        <f>Q1370</f>
        <v>2497.6999999999998</v>
      </c>
      <c r="R1369" s="18">
        <f t="shared" si="370"/>
        <v>3167.4999999999991</v>
      </c>
      <c r="S1369" s="47">
        <f>S1370</f>
        <v>-1151.5</v>
      </c>
      <c r="T1369" s="18">
        <f t="shared" si="356"/>
        <v>2015.9999999999991</v>
      </c>
      <c r="U1369" s="47">
        <f>U1370</f>
        <v>-2016</v>
      </c>
      <c r="V1369" s="18">
        <f t="shared" si="357"/>
        <v>0</v>
      </c>
      <c r="W1369" s="47">
        <f>W1370</f>
        <v>0</v>
      </c>
      <c r="X1369" s="18">
        <f t="shared" si="358"/>
        <v>0</v>
      </c>
    </row>
    <row r="1370" spans="1:27" hidden="1" x14ac:dyDescent="0.25">
      <c r="A1370" s="9" t="s">
        <v>54</v>
      </c>
      <c r="B1370" s="27" t="s">
        <v>518</v>
      </c>
      <c r="C1370" s="27" t="s">
        <v>34</v>
      </c>
      <c r="D1370" s="21">
        <f>14000-121+461.1-4195.3+2000-8068</f>
        <v>4076.7999999999993</v>
      </c>
      <c r="E1370" s="44">
        <f>5957.6-1903.9-43.5-120-13-3932.5-75-749.7</f>
        <v>-879.99999999999977</v>
      </c>
      <c r="F1370" s="18">
        <f t="shared" si="371"/>
        <v>3196.7999999999993</v>
      </c>
      <c r="G1370" s="64"/>
      <c r="H1370" s="18">
        <f t="shared" si="372"/>
        <v>3196.7999999999993</v>
      </c>
      <c r="I1370" s="62">
        <v>-768.1</v>
      </c>
      <c r="J1370" s="18">
        <f t="shared" si="363"/>
        <v>2428.6999999999994</v>
      </c>
      <c r="K1370" s="97">
        <f>8068-2199.5</f>
        <v>5868.5</v>
      </c>
      <c r="L1370" s="18">
        <f t="shared" si="364"/>
        <v>8297.1999999999989</v>
      </c>
      <c r="M1370" s="90">
        <f>-4000-327.4</f>
        <v>-4327.3999999999996</v>
      </c>
      <c r="N1370" s="18">
        <f t="shared" si="368"/>
        <v>3969.7999999999993</v>
      </c>
      <c r="O1370" s="138">
        <v>-3300</v>
      </c>
      <c r="P1370" s="18">
        <f t="shared" si="369"/>
        <v>669.79999999999927</v>
      </c>
      <c r="Q1370" s="90">
        <f>3500-332.9-669.4</f>
        <v>2497.6999999999998</v>
      </c>
      <c r="R1370" s="18">
        <f t="shared" si="370"/>
        <v>3167.4999999999991</v>
      </c>
      <c r="S1370" s="92">
        <v>-1151.5</v>
      </c>
      <c r="T1370" s="18">
        <f t="shared" si="356"/>
        <v>2015.9999999999991</v>
      </c>
      <c r="U1370" s="138">
        <v>-2016</v>
      </c>
      <c r="V1370" s="18">
        <f t="shared" si="357"/>
        <v>0</v>
      </c>
      <c r="W1370" s="77"/>
      <c r="X1370" s="18">
        <f t="shared" si="358"/>
        <v>0</v>
      </c>
      <c r="Z1370" s="43">
        <f>X1370+Y1370</f>
        <v>0</v>
      </c>
      <c r="AA1370" s="43"/>
    </row>
    <row r="1371" spans="1:27" x14ac:dyDescent="0.25">
      <c r="A1371" s="13" t="s">
        <v>414</v>
      </c>
      <c r="B1371" s="24" t="s">
        <v>415</v>
      </c>
      <c r="C1371" s="24" t="s">
        <v>2</v>
      </c>
      <c r="D1371" s="18">
        <f>D1372+D1374</f>
        <v>3083.8</v>
      </c>
      <c r="E1371" s="18">
        <f>E1372+E1374</f>
        <v>0</v>
      </c>
      <c r="F1371" s="18">
        <f t="shared" si="371"/>
        <v>3083.8</v>
      </c>
      <c r="G1371" s="18">
        <f>G1372+G1374</f>
        <v>0</v>
      </c>
      <c r="H1371" s="18">
        <f t="shared" si="372"/>
        <v>3083.8</v>
      </c>
      <c r="I1371" s="18">
        <f>I1372+I1374</f>
        <v>0</v>
      </c>
      <c r="J1371" s="18">
        <f t="shared" si="363"/>
        <v>3083.8</v>
      </c>
      <c r="K1371" s="47">
        <f>K1372+K1374</f>
        <v>0</v>
      </c>
      <c r="L1371" s="18">
        <f t="shared" si="364"/>
        <v>3083.8</v>
      </c>
      <c r="M1371" s="47">
        <f>M1372+M1374</f>
        <v>0</v>
      </c>
      <c r="N1371" s="18">
        <f t="shared" si="368"/>
        <v>3083.8</v>
      </c>
      <c r="O1371" s="47">
        <f>O1372+O1374</f>
        <v>0</v>
      </c>
      <c r="P1371" s="18">
        <f t="shared" si="369"/>
        <v>3083.8</v>
      </c>
      <c r="Q1371" s="47">
        <f>Q1372+Q1374</f>
        <v>0</v>
      </c>
      <c r="R1371" s="18">
        <f t="shared" si="370"/>
        <v>3083.8</v>
      </c>
      <c r="S1371" s="47">
        <f>S1372+S1374</f>
        <v>0</v>
      </c>
      <c r="T1371" s="18">
        <f t="shared" si="356"/>
        <v>3083.8</v>
      </c>
      <c r="U1371" s="47">
        <f>U1372+U1374</f>
        <v>0</v>
      </c>
      <c r="V1371" s="18">
        <f t="shared" si="357"/>
        <v>3083.8</v>
      </c>
      <c r="W1371" s="47">
        <f>W1372+W1374</f>
        <v>62</v>
      </c>
      <c r="X1371" s="18">
        <f t="shared" si="358"/>
        <v>3145.8</v>
      </c>
    </row>
    <row r="1372" spans="1:27" x14ac:dyDescent="0.25">
      <c r="A1372" s="13" t="s">
        <v>416</v>
      </c>
      <c r="B1372" s="24" t="s">
        <v>417</v>
      </c>
      <c r="C1372" s="24" t="s">
        <v>2</v>
      </c>
      <c r="D1372" s="18">
        <f>D1373</f>
        <v>2033.8</v>
      </c>
      <c r="E1372" s="18">
        <f>E1373</f>
        <v>0</v>
      </c>
      <c r="F1372" s="18">
        <f t="shared" si="371"/>
        <v>2033.8</v>
      </c>
      <c r="G1372" s="18">
        <f>G1373</f>
        <v>0</v>
      </c>
      <c r="H1372" s="18">
        <f t="shared" si="372"/>
        <v>2033.8</v>
      </c>
      <c r="I1372" s="18">
        <f>I1373</f>
        <v>0</v>
      </c>
      <c r="J1372" s="18">
        <f t="shared" si="363"/>
        <v>2033.8</v>
      </c>
      <c r="K1372" s="18">
        <f>K1373</f>
        <v>0</v>
      </c>
      <c r="L1372" s="18">
        <f t="shared" si="364"/>
        <v>2033.8</v>
      </c>
      <c r="M1372" s="18">
        <f>M1373</f>
        <v>0</v>
      </c>
      <c r="N1372" s="18">
        <f t="shared" si="368"/>
        <v>2033.8</v>
      </c>
      <c r="O1372" s="18">
        <f>O1373</f>
        <v>0</v>
      </c>
      <c r="P1372" s="18">
        <f t="shared" si="369"/>
        <v>2033.8</v>
      </c>
      <c r="Q1372" s="18">
        <f>Q1373</f>
        <v>0</v>
      </c>
      <c r="R1372" s="18">
        <f t="shared" si="370"/>
        <v>2033.8</v>
      </c>
      <c r="S1372" s="18">
        <f>S1373</f>
        <v>0</v>
      </c>
      <c r="T1372" s="18">
        <f t="shared" si="356"/>
        <v>2033.8</v>
      </c>
      <c r="U1372" s="18">
        <f>U1373</f>
        <v>0</v>
      </c>
      <c r="V1372" s="18">
        <f t="shared" si="357"/>
        <v>2033.8</v>
      </c>
      <c r="W1372" s="18">
        <f>W1373</f>
        <v>99.5</v>
      </c>
      <c r="X1372" s="18">
        <f t="shared" si="358"/>
        <v>2133.3000000000002</v>
      </c>
    </row>
    <row r="1373" spans="1:27" ht="24.75" x14ac:dyDescent="0.25">
      <c r="A1373" s="7" t="s">
        <v>504</v>
      </c>
      <c r="B1373" s="25" t="s">
        <v>417</v>
      </c>
      <c r="C1373" s="25" t="s">
        <v>418</v>
      </c>
      <c r="D1373" s="19">
        <v>2033.8</v>
      </c>
      <c r="E1373" s="19"/>
      <c r="F1373" s="18">
        <f t="shared" si="371"/>
        <v>2033.8</v>
      </c>
      <c r="G1373" s="19"/>
      <c r="H1373" s="18">
        <f t="shared" si="372"/>
        <v>2033.8</v>
      </c>
      <c r="I1373" s="19"/>
      <c r="J1373" s="18">
        <f t="shared" si="363"/>
        <v>2033.8</v>
      </c>
      <c r="K1373" s="19"/>
      <c r="L1373" s="18">
        <f t="shared" si="364"/>
        <v>2033.8</v>
      </c>
      <c r="M1373" s="19"/>
      <c r="N1373" s="18">
        <f t="shared" si="368"/>
        <v>2033.8</v>
      </c>
      <c r="O1373" s="19"/>
      <c r="P1373" s="18">
        <f t="shared" si="369"/>
        <v>2033.8</v>
      </c>
      <c r="Q1373" s="19"/>
      <c r="R1373" s="18">
        <f t="shared" si="370"/>
        <v>2033.8</v>
      </c>
      <c r="S1373" s="64"/>
      <c r="T1373" s="18">
        <f t="shared" si="356"/>
        <v>2033.8</v>
      </c>
      <c r="U1373" s="64"/>
      <c r="V1373" s="18">
        <f t="shared" si="357"/>
        <v>2033.8</v>
      </c>
      <c r="W1373" s="44">
        <v>99.5</v>
      </c>
      <c r="X1373" s="18">
        <f t="shared" si="358"/>
        <v>2133.3000000000002</v>
      </c>
      <c r="Z1373" s="43">
        <f>X1373+Y1373</f>
        <v>2133.3000000000002</v>
      </c>
      <c r="AA1373" s="43"/>
    </row>
    <row r="1374" spans="1:27" ht="24.75" x14ac:dyDescent="0.25">
      <c r="A1374" s="13" t="s">
        <v>432</v>
      </c>
      <c r="B1374" s="24" t="s">
        <v>433</v>
      </c>
      <c r="C1374" s="24" t="s">
        <v>2</v>
      </c>
      <c r="D1374" s="18">
        <f>D1375</f>
        <v>1050</v>
      </c>
      <c r="E1374" s="18">
        <f>E1375</f>
        <v>0</v>
      </c>
      <c r="F1374" s="18">
        <f t="shared" si="371"/>
        <v>1050</v>
      </c>
      <c r="G1374" s="18">
        <f>G1375</f>
        <v>0</v>
      </c>
      <c r="H1374" s="18">
        <f t="shared" si="372"/>
        <v>1050</v>
      </c>
      <c r="I1374" s="18">
        <f>I1375</f>
        <v>0</v>
      </c>
      <c r="J1374" s="18">
        <f t="shared" si="363"/>
        <v>1050</v>
      </c>
      <c r="K1374" s="18">
        <f>K1375</f>
        <v>0</v>
      </c>
      <c r="L1374" s="18">
        <f t="shared" si="364"/>
        <v>1050</v>
      </c>
      <c r="M1374" s="18">
        <f>M1375</f>
        <v>0</v>
      </c>
      <c r="N1374" s="18">
        <f t="shared" si="368"/>
        <v>1050</v>
      </c>
      <c r="O1374" s="18">
        <f>O1375</f>
        <v>0</v>
      </c>
      <c r="P1374" s="18">
        <f t="shared" si="369"/>
        <v>1050</v>
      </c>
      <c r="Q1374" s="18">
        <f>Q1375</f>
        <v>0</v>
      </c>
      <c r="R1374" s="18">
        <f t="shared" si="370"/>
        <v>1050</v>
      </c>
      <c r="S1374" s="18">
        <f>S1375</f>
        <v>0</v>
      </c>
      <c r="T1374" s="18">
        <f t="shared" si="356"/>
        <v>1050</v>
      </c>
      <c r="U1374" s="18">
        <f>U1375</f>
        <v>0</v>
      </c>
      <c r="V1374" s="18">
        <f t="shared" si="357"/>
        <v>1050</v>
      </c>
      <c r="W1374" s="18">
        <f>W1375</f>
        <v>-37.5</v>
      </c>
      <c r="X1374" s="18">
        <f t="shared" si="358"/>
        <v>1012.5</v>
      </c>
    </row>
    <row r="1375" spans="1:27" ht="24.75" x14ac:dyDescent="0.25">
      <c r="A1375" s="7" t="s">
        <v>504</v>
      </c>
      <c r="B1375" s="25" t="s">
        <v>433</v>
      </c>
      <c r="C1375" s="25" t="s">
        <v>418</v>
      </c>
      <c r="D1375" s="19">
        <v>1050</v>
      </c>
      <c r="E1375" s="19"/>
      <c r="F1375" s="18">
        <f t="shared" si="371"/>
        <v>1050</v>
      </c>
      <c r="G1375" s="19"/>
      <c r="H1375" s="18">
        <f t="shared" si="372"/>
        <v>1050</v>
      </c>
      <c r="I1375" s="19"/>
      <c r="J1375" s="18">
        <f t="shared" si="363"/>
        <v>1050</v>
      </c>
      <c r="K1375" s="19"/>
      <c r="L1375" s="18">
        <f t="shared" si="364"/>
        <v>1050</v>
      </c>
      <c r="M1375" s="19"/>
      <c r="N1375" s="18">
        <f t="shared" si="368"/>
        <v>1050</v>
      </c>
      <c r="O1375" s="19"/>
      <c r="P1375" s="18">
        <f t="shared" si="369"/>
        <v>1050</v>
      </c>
      <c r="Q1375" s="19"/>
      <c r="R1375" s="18">
        <f t="shared" si="370"/>
        <v>1050</v>
      </c>
      <c r="S1375" s="64"/>
      <c r="T1375" s="18">
        <f t="shared" si="356"/>
        <v>1050</v>
      </c>
      <c r="U1375" s="64"/>
      <c r="V1375" s="18">
        <f t="shared" si="357"/>
        <v>1050</v>
      </c>
      <c r="W1375" s="44">
        <f>-42.5+5</f>
        <v>-37.5</v>
      </c>
      <c r="X1375" s="18">
        <f t="shared" si="358"/>
        <v>1012.5</v>
      </c>
      <c r="Z1375" s="43">
        <f>X1375+Y1375</f>
        <v>1012.5</v>
      </c>
      <c r="AA1375" s="43"/>
    </row>
    <row r="1376" spans="1:27" ht="24.75" x14ac:dyDescent="0.25">
      <c r="A1376" s="13" t="s">
        <v>493</v>
      </c>
      <c r="B1376" s="24" t="s">
        <v>396</v>
      </c>
      <c r="C1376" s="24" t="s">
        <v>2</v>
      </c>
      <c r="D1376" s="18">
        <f>D1377+D1387</f>
        <v>2936.6</v>
      </c>
      <c r="E1376" s="18">
        <f>E1377+E1387+E1385</f>
        <v>1174</v>
      </c>
      <c r="F1376" s="18">
        <f t="shared" si="371"/>
        <v>4110.6000000000004</v>
      </c>
      <c r="G1376" s="18">
        <f>G1377+G1387+G1385</f>
        <v>0</v>
      </c>
      <c r="H1376" s="18">
        <f t="shared" si="372"/>
        <v>4110.6000000000004</v>
      </c>
      <c r="I1376" s="18">
        <f>I1377+I1387+I1385</f>
        <v>0</v>
      </c>
      <c r="J1376" s="18">
        <f t="shared" si="363"/>
        <v>4110.6000000000004</v>
      </c>
      <c r="K1376" s="18">
        <f>K1377+K1387+K1385</f>
        <v>0</v>
      </c>
      <c r="L1376" s="18">
        <f t="shared" si="364"/>
        <v>4110.6000000000004</v>
      </c>
      <c r="M1376" s="18">
        <f>M1377+M1387+M1385</f>
        <v>27.700000000000003</v>
      </c>
      <c r="N1376" s="18">
        <f t="shared" si="368"/>
        <v>4138.3</v>
      </c>
      <c r="O1376" s="18">
        <f>O1377+O1387+O1385</f>
        <v>-1000</v>
      </c>
      <c r="P1376" s="18">
        <f t="shared" si="369"/>
        <v>3138.3</v>
      </c>
      <c r="Q1376" s="18">
        <f>Q1377+Q1387+Q1385</f>
        <v>469.1</v>
      </c>
      <c r="R1376" s="18">
        <f t="shared" si="370"/>
        <v>3607.4</v>
      </c>
      <c r="S1376" s="18">
        <f>S1377+S1387+S1385</f>
        <v>-1174</v>
      </c>
      <c r="T1376" s="18">
        <f t="shared" si="356"/>
        <v>2433.4</v>
      </c>
      <c r="U1376" s="18">
        <f>U1377+U1387+U1385+U1382</f>
        <v>31.9</v>
      </c>
      <c r="V1376" s="18">
        <f t="shared" si="357"/>
        <v>2465.3000000000002</v>
      </c>
      <c r="W1376" s="18">
        <f>W1377+W1387+W1385+W1382</f>
        <v>-3.3</v>
      </c>
      <c r="X1376" s="18">
        <f t="shared" si="358"/>
        <v>2462</v>
      </c>
    </row>
    <row r="1377" spans="1:27" ht="24.75" x14ac:dyDescent="0.25">
      <c r="A1377" s="13" t="s">
        <v>399</v>
      </c>
      <c r="B1377" s="24" t="s">
        <v>400</v>
      </c>
      <c r="C1377" s="24" t="s">
        <v>2</v>
      </c>
      <c r="D1377" s="18">
        <f>D1378+D1379+D1380</f>
        <v>971.6</v>
      </c>
      <c r="E1377" s="18">
        <f>E1378+E1379+E1380</f>
        <v>0</v>
      </c>
      <c r="F1377" s="18">
        <f t="shared" si="371"/>
        <v>971.6</v>
      </c>
      <c r="G1377" s="18">
        <f>G1378+G1379+G1380</f>
        <v>0</v>
      </c>
      <c r="H1377" s="18">
        <f t="shared" si="372"/>
        <v>971.6</v>
      </c>
      <c r="I1377" s="18">
        <f>I1378+I1379+I1380</f>
        <v>0</v>
      </c>
      <c r="J1377" s="18">
        <f t="shared" si="363"/>
        <v>971.6</v>
      </c>
      <c r="K1377" s="18">
        <f>K1378+K1379+K1380</f>
        <v>0</v>
      </c>
      <c r="L1377" s="18">
        <f t="shared" si="364"/>
        <v>971.6</v>
      </c>
      <c r="M1377" s="18">
        <f>M1378+M1379+M1380+M1381</f>
        <v>27.700000000000003</v>
      </c>
      <c r="N1377" s="18">
        <f t="shared" si="368"/>
        <v>999.30000000000007</v>
      </c>
      <c r="O1377" s="18">
        <f>O1378+O1379+O1380+O1381</f>
        <v>0</v>
      </c>
      <c r="P1377" s="18">
        <f t="shared" si="369"/>
        <v>999.30000000000007</v>
      </c>
      <c r="Q1377" s="18">
        <f>Q1378+Q1379+Q1380+Q1381</f>
        <v>0</v>
      </c>
      <c r="R1377" s="18">
        <f t="shared" si="370"/>
        <v>999.30000000000007</v>
      </c>
      <c r="S1377" s="18">
        <f>S1378+S1379+S1380+S1381</f>
        <v>0</v>
      </c>
      <c r="T1377" s="18">
        <f t="shared" si="356"/>
        <v>999.30000000000007</v>
      </c>
      <c r="U1377" s="18">
        <f>U1378+U1379+U1380+U1381</f>
        <v>0</v>
      </c>
      <c r="V1377" s="18">
        <f t="shared" si="357"/>
        <v>999.30000000000007</v>
      </c>
      <c r="W1377" s="18">
        <f>W1378+W1379+W1380+W1381</f>
        <v>0</v>
      </c>
      <c r="X1377" s="18">
        <f t="shared" si="358"/>
        <v>999.30000000000007</v>
      </c>
    </row>
    <row r="1378" spans="1:27" x14ac:dyDescent="0.25">
      <c r="A1378" s="7" t="s">
        <v>498</v>
      </c>
      <c r="B1378" s="25" t="s">
        <v>400</v>
      </c>
      <c r="C1378" s="25" t="s">
        <v>8</v>
      </c>
      <c r="D1378" s="19">
        <v>547</v>
      </c>
      <c r="E1378" s="19"/>
      <c r="F1378" s="18">
        <f t="shared" si="371"/>
        <v>547</v>
      </c>
      <c r="G1378" s="19"/>
      <c r="H1378" s="18">
        <f t="shared" si="372"/>
        <v>547</v>
      </c>
      <c r="I1378" s="19"/>
      <c r="J1378" s="18">
        <f t="shared" si="363"/>
        <v>547</v>
      </c>
      <c r="K1378" s="19"/>
      <c r="L1378" s="18">
        <f t="shared" si="364"/>
        <v>547</v>
      </c>
      <c r="M1378" s="45">
        <v>21</v>
      </c>
      <c r="N1378" s="18">
        <f t="shared" si="368"/>
        <v>568</v>
      </c>
      <c r="O1378" s="64"/>
      <c r="P1378" s="18">
        <f t="shared" si="369"/>
        <v>568</v>
      </c>
      <c r="Q1378" s="64"/>
      <c r="R1378" s="18">
        <f t="shared" si="370"/>
        <v>568</v>
      </c>
      <c r="S1378" s="122"/>
      <c r="T1378" s="18">
        <f t="shared" si="356"/>
        <v>568</v>
      </c>
      <c r="U1378" s="122"/>
      <c r="V1378" s="18">
        <f t="shared" si="357"/>
        <v>568</v>
      </c>
      <c r="W1378" s="64"/>
      <c r="X1378" s="18">
        <f t="shared" si="358"/>
        <v>568</v>
      </c>
      <c r="Z1378" s="43">
        <f t="shared" ref="Z1378:Z1381" si="377">X1378+Y1378</f>
        <v>568</v>
      </c>
      <c r="AA1378" s="43"/>
    </row>
    <row r="1379" spans="1:27" ht="29.25" customHeight="1" x14ac:dyDescent="0.25">
      <c r="A1379" s="9" t="s">
        <v>500</v>
      </c>
      <c r="B1379" s="25" t="s">
        <v>400</v>
      </c>
      <c r="C1379" s="25" t="s">
        <v>9</v>
      </c>
      <c r="D1379" s="19">
        <v>166</v>
      </c>
      <c r="E1379" s="19"/>
      <c r="F1379" s="18">
        <f t="shared" si="371"/>
        <v>166</v>
      </c>
      <c r="G1379" s="19"/>
      <c r="H1379" s="18">
        <f t="shared" si="372"/>
        <v>166</v>
      </c>
      <c r="I1379" s="19"/>
      <c r="J1379" s="18">
        <f t="shared" si="363"/>
        <v>166</v>
      </c>
      <c r="K1379" s="19"/>
      <c r="L1379" s="18">
        <f t="shared" si="364"/>
        <v>166</v>
      </c>
      <c r="M1379" s="45">
        <v>6.7</v>
      </c>
      <c r="N1379" s="18">
        <f t="shared" si="368"/>
        <v>172.7</v>
      </c>
      <c r="O1379" s="64"/>
      <c r="P1379" s="18">
        <f t="shared" si="369"/>
        <v>172.7</v>
      </c>
      <c r="Q1379" s="64"/>
      <c r="R1379" s="18">
        <f t="shared" si="370"/>
        <v>172.7</v>
      </c>
      <c r="S1379" s="122"/>
      <c r="T1379" s="18">
        <f t="shared" si="356"/>
        <v>172.7</v>
      </c>
      <c r="U1379" s="122"/>
      <c r="V1379" s="18">
        <f t="shared" si="357"/>
        <v>172.7</v>
      </c>
      <c r="W1379" s="64"/>
      <c r="X1379" s="18">
        <f t="shared" si="358"/>
        <v>172.7</v>
      </c>
      <c r="Z1379" s="43">
        <f t="shared" si="377"/>
        <v>172.7</v>
      </c>
      <c r="AA1379" s="43"/>
    </row>
    <row r="1380" spans="1:27" x14ac:dyDescent="0.25">
      <c r="A1380" s="7" t="s">
        <v>54</v>
      </c>
      <c r="B1380" s="25" t="s">
        <v>400</v>
      </c>
      <c r="C1380" s="25" t="s">
        <v>34</v>
      </c>
      <c r="D1380" s="19">
        <v>258.60000000000002</v>
      </c>
      <c r="E1380" s="19"/>
      <c r="F1380" s="18">
        <f t="shared" si="371"/>
        <v>258.60000000000002</v>
      </c>
      <c r="G1380" s="19"/>
      <c r="H1380" s="18">
        <f t="shared" si="372"/>
        <v>258.60000000000002</v>
      </c>
      <c r="I1380" s="19"/>
      <c r="J1380" s="18">
        <f t="shared" si="363"/>
        <v>258.60000000000002</v>
      </c>
      <c r="K1380" s="19"/>
      <c r="L1380" s="18">
        <f t="shared" si="364"/>
        <v>258.60000000000002</v>
      </c>
      <c r="M1380" s="116">
        <v>-9.1</v>
      </c>
      <c r="N1380" s="18">
        <f t="shared" si="368"/>
        <v>249.50000000000003</v>
      </c>
      <c r="O1380" s="64"/>
      <c r="P1380" s="18">
        <f t="shared" si="369"/>
        <v>249.50000000000003</v>
      </c>
      <c r="Q1380" s="64"/>
      <c r="R1380" s="18">
        <f t="shared" si="370"/>
        <v>249.50000000000003</v>
      </c>
      <c r="S1380" s="122">
        <v>-6.7</v>
      </c>
      <c r="T1380" s="18">
        <f t="shared" si="356"/>
        <v>242.80000000000004</v>
      </c>
      <c r="U1380" s="64"/>
      <c r="V1380" s="18">
        <f t="shared" si="357"/>
        <v>242.80000000000004</v>
      </c>
      <c r="W1380" s="45">
        <v>-10.5</v>
      </c>
      <c r="X1380" s="18">
        <f t="shared" si="358"/>
        <v>232.30000000000004</v>
      </c>
      <c r="Z1380" s="43">
        <f t="shared" si="377"/>
        <v>232.30000000000004</v>
      </c>
      <c r="AA1380" s="43"/>
    </row>
    <row r="1381" spans="1:27" ht="24.75" x14ac:dyDescent="0.25">
      <c r="A1381" s="8" t="s">
        <v>501</v>
      </c>
      <c r="B1381" s="25" t="s">
        <v>400</v>
      </c>
      <c r="C1381" s="25" t="s">
        <v>33</v>
      </c>
      <c r="D1381" s="19"/>
      <c r="E1381" s="19"/>
      <c r="F1381" s="18"/>
      <c r="G1381" s="19"/>
      <c r="H1381" s="18"/>
      <c r="I1381" s="19"/>
      <c r="J1381" s="18"/>
      <c r="K1381" s="19"/>
      <c r="L1381" s="18"/>
      <c r="M1381" s="116">
        <v>9.1</v>
      </c>
      <c r="N1381" s="18">
        <f t="shared" si="368"/>
        <v>9.1</v>
      </c>
      <c r="O1381" s="64"/>
      <c r="P1381" s="18">
        <f t="shared" si="369"/>
        <v>9.1</v>
      </c>
      <c r="Q1381" s="64"/>
      <c r="R1381" s="18">
        <f t="shared" si="370"/>
        <v>9.1</v>
      </c>
      <c r="S1381" s="122">
        <v>6.7</v>
      </c>
      <c r="T1381" s="18">
        <f t="shared" si="356"/>
        <v>15.8</v>
      </c>
      <c r="U1381" s="64"/>
      <c r="V1381" s="18">
        <f t="shared" si="357"/>
        <v>15.8</v>
      </c>
      <c r="W1381" s="45">
        <v>10.5</v>
      </c>
      <c r="X1381" s="18">
        <f t="shared" si="358"/>
        <v>26.3</v>
      </c>
      <c r="Z1381" s="43">
        <f t="shared" si="377"/>
        <v>26.3</v>
      </c>
      <c r="AA1381" s="43"/>
    </row>
    <row r="1382" spans="1:27" x14ac:dyDescent="0.25">
      <c r="A1382" s="101" t="s">
        <v>734</v>
      </c>
      <c r="B1382" s="26" t="s">
        <v>1285</v>
      </c>
      <c r="C1382" s="27"/>
      <c r="D1382" s="19"/>
      <c r="E1382" s="19"/>
      <c r="F1382" s="18"/>
      <c r="G1382" s="19"/>
      <c r="H1382" s="18"/>
      <c r="I1382" s="19"/>
      <c r="J1382" s="18"/>
      <c r="K1382" s="19"/>
      <c r="L1382" s="18"/>
      <c r="M1382" s="116"/>
      <c r="N1382" s="18"/>
      <c r="O1382" s="64"/>
      <c r="P1382" s="18"/>
      <c r="Q1382" s="64"/>
      <c r="R1382" s="18"/>
      <c r="S1382" s="122"/>
      <c r="T1382" s="18"/>
      <c r="U1382" s="47">
        <f>U1383+U1384</f>
        <v>31.9</v>
      </c>
      <c r="V1382" s="18">
        <f t="shared" si="357"/>
        <v>31.9</v>
      </c>
      <c r="W1382" s="47">
        <f>W1383+W1384</f>
        <v>-3.3</v>
      </c>
      <c r="X1382" s="18">
        <f t="shared" si="358"/>
        <v>28.599999999999998</v>
      </c>
    </row>
    <row r="1383" spans="1:27" x14ac:dyDescent="0.25">
      <c r="A1383" s="8" t="s">
        <v>498</v>
      </c>
      <c r="B1383" s="27" t="s">
        <v>1285</v>
      </c>
      <c r="C1383" s="27" t="s">
        <v>8</v>
      </c>
      <c r="D1383" s="19"/>
      <c r="E1383" s="19"/>
      <c r="F1383" s="18"/>
      <c r="G1383" s="19"/>
      <c r="H1383" s="18"/>
      <c r="I1383" s="19"/>
      <c r="J1383" s="18"/>
      <c r="K1383" s="19"/>
      <c r="L1383" s="18"/>
      <c r="M1383" s="116"/>
      <c r="N1383" s="18"/>
      <c r="O1383" s="64"/>
      <c r="P1383" s="18"/>
      <c r="Q1383" s="64"/>
      <c r="R1383" s="18"/>
      <c r="S1383" s="122"/>
      <c r="T1383" s="18"/>
      <c r="U1383" s="151">
        <v>25.3</v>
      </c>
      <c r="V1383" s="18">
        <f t="shared" si="357"/>
        <v>25.3</v>
      </c>
      <c r="W1383" s="44">
        <v>-3.3</v>
      </c>
      <c r="X1383" s="18">
        <f t="shared" si="358"/>
        <v>22</v>
      </c>
      <c r="Z1383" s="43">
        <f t="shared" ref="Z1383:Z1384" si="378">X1383+Y1383</f>
        <v>22</v>
      </c>
      <c r="AA1383" s="43"/>
    </row>
    <row r="1384" spans="1:27" ht="36.75" x14ac:dyDescent="0.25">
      <c r="A1384" s="8" t="s">
        <v>500</v>
      </c>
      <c r="B1384" s="27" t="s">
        <v>1285</v>
      </c>
      <c r="C1384" s="27" t="s">
        <v>9</v>
      </c>
      <c r="D1384" s="19"/>
      <c r="E1384" s="19"/>
      <c r="F1384" s="18"/>
      <c r="G1384" s="19"/>
      <c r="H1384" s="18"/>
      <c r="I1384" s="19"/>
      <c r="J1384" s="18"/>
      <c r="K1384" s="19"/>
      <c r="L1384" s="18"/>
      <c r="M1384" s="116"/>
      <c r="N1384" s="18"/>
      <c r="O1384" s="64"/>
      <c r="P1384" s="18"/>
      <c r="Q1384" s="64"/>
      <c r="R1384" s="18"/>
      <c r="S1384" s="122"/>
      <c r="T1384" s="18"/>
      <c r="U1384" s="151">
        <v>6.6</v>
      </c>
      <c r="V1384" s="18">
        <f t="shared" si="357"/>
        <v>6.6</v>
      </c>
      <c r="W1384" s="64"/>
      <c r="X1384" s="18">
        <f t="shared" si="358"/>
        <v>6.6</v>
      </c>
      <c r="Z1384" s="43">
        <f t="shared" si="378"/>
        <v>6.6</v>
      </c>
      <c r="AA1384" s="43"/>
    </row>
    <row r="1385" spans="1:27" ht="24.75" hidden="1" x14ac:dyDescent="0.25">
      <c r="A1385" s="13" t="s">
        <v>194</v>
      </c>
      <c r="B1385" s="24" t="s">
        <v>563</v>
      </c>
      <c r="C1385" s="27"/>
      <c r="D1385" s="19"/>
      <c r="E1385" s="20">
        <f>E1386</f>
        <v>1174</v>
      </c>
      <c r="F1385" s="18">
        <f t="shared" si="371"/>
        <v>1174</v>
      </c>
      <c r="G1385" s="20">
        <f>G1386</f>
        <v>0</v>
      </c>
      <c r="H1385" s="18">
        <f t="shared" si="372"/>
        <v>1174</v>
      </c>
      <c r="I1385" s="20">
        <f>I1386</f>
        <v>0</v>
      </c>
      <c r="J1385" s="18">
        <f t="shared" si="363"/>
        <v>1174</v>
      </c>
      <c r="K1385" s="20">
        <f>K1386</f>
        <v>0</v>
      </c>
      <c r="L1385" s="18">
        <f t="shared" si="364"/>
        <v>1174</v>
      </c>
      <c r="M1385" s="20">
        <f>M1386</f>
        <v>0</v>
      </c>
      <c r="N1385" s="18">
        <f t="shared" si="368"/>
        <v>1174</v>
      </c>
      <c r="O1385" s="20">
        <f>O1386</f>
        <v>-1000</v>
      </c>
      <c r="P1385" s="18">
        <f t="shared" si="369"/>
        <v>174</v>
      </c>
      <c r="Q1385" s="20">
        <f>Q1386</f>
        <v>1000</v>
      </c>
      <c r="R1385" s="18">
        <f t="shared" si="370"/>
        <v>1174</v>
      </c>
      <c r="S1385" s="20">
        <f>S1386</f>
        <v>-1174</v>
      </c>
      <c r="T1385" s="18">
        <f t="shared" si="356"/>
        <v>0</v>
      </c>
      <c r="U1385" s="20">
        <f>U1386</f>
        <v>0</v>
      </c>
      <c r="V1385" s="18">
        <f t="shared" si="357"/>
        <v>0</v>
      </c>
      <c r="W1385" s="20">
        <f>W1386</f>
        <v>0</v>
      </c>
      <c r="X1385" s="18">
        <f t="shared" si="358"/>
        <v>0</v>
      </c>
    </row>
    <row r="1386" spans="1:27" hidden="1" x14ac:dyDescent="0.25">
      <c r="A1386" s="7" t="s">
        <v>54</v>
      </c>
      <c r="B1386" s="25" t="s">
        <v>563</v>
      </c>
      <c r="C1386" s="27" t="s">
        <v>34</v>
      </c>
      <c r="D1386" s="19"/>
      <c r="E1386" s="44">
        <v>1174</v>
      </c>
      <c r="F1386" s="18">
        <f t="shared" si="371"/>
        <v>1174</v>
      </c>
      <c r="G1386" s="64"/>
      <c r="H1386" s="18">
        <f t="shared" si="372"/>
        <v>1174</v>
      </c>
      <c r="I1386" s="64"/>
      <c r="J1386" s="18">
        <f t="shared" si="363"/>
        <v>1174</v>
      </c>
      <c r="K1386" s="64"/>
      <c r="L1386" s="18">
        <f t="shared" si="364"/>
        <v>1174</v>
      </c>
      <c r="M1386" s="77"/>
      <c r="N1386" s="18">
        <f t="shared" si="368"/>
        <v>1174</v>
      </c>
      <c r="O1386" s="138">
        <v>-1000</v>
      </c>
      <c r="P1386" s="18">
        <f t="shared" si="369"/>
        <v>174</v>
      </c>
      <c r="Q1386" s="90">
        <v>1000</v>
      </c>
      <c r="R1386" s="18">
        <f t="shared" si="370"/>
        <v>1174</v>
      </c>
      <c r="S1386" s="90">
        <v>-1174</v>
      </c>
      <c r="T1386" s="18">
        <f t="shared" si="356"/>
        <v>0</v>
      </c>
      <c r="U1386" s="77"/>
      <c r="V1386" s="18">
        <f t="shared" si="357"/>
        <v>0</v>
      </c>
      <c r="W1386" s="77"/>
      <c r="X1386" s="18">
        <f t="shared" si="358"/>
        <v>0</v>
      </c>
      <c r="Z1386" s="43">
        <f>X1386+Y1386</f>
        <v>0</v>
      </c>
      <c r="AA1386" s="43"/>
    </row>
    <row r="1387" spans="1:27" x14ac:dyDescent="0.25">
      <c r="A1387" s="13" t="s">
        <v>397</v>
      </c>
      <c r="B1387" s="24" t="s">
        <v>398</v>
      </c>
      <c r="C1387" s="24" t="s">
        <v>2</v>
      </c>
      <c r="D1387" s="18">
        <f>D1388+D1389</f>
        <v>1965</v>
      </c>
      <c r="E1387" s="18">
        <f>E1388+E1389</f>
        <v>0</v>
      </c>
      <c r="F1387" s="18">
        <f t="shared" si="371"/>
        <v>1965</v>
      </c>
      <c r="G1387" s="18">
        <f>G1388+G1389</f>
        <v>0</v>
      </c>
      <c r="H1387" s="18">
        <f t="shared" si="372"/>
        <v>1965</v>
      </c>
      <c r="I1387" s="18">
        <f>I1388+I1389+I1390</f>
        <v>0</v>
      </c>
      <c r="J1387" s="18">
        <f t="shared" si="363"/>
        <v>1965</v>
      </c>
      <c r="K1387" s="18">
        <f>K1388+K1389+K1390</f>
        <v>0</v>
      </c>
      <c r="L1387" s="18">
        <f t="shared" si="364"/>
        <v>1965</v>
      </c>
      <c r="M1387" s="18">
        <f>M1388+M1389+M1390</f>
        <v>0</v>
      </c>
      <c r="N1387" s="18">
        <f t="shared" si="368"/>
        <v>1965</v>
      </c>
      <c r="O1387" s="18">
        <f>O1388+O1389+O1390</f>
        <v>0</v>
      </c>
      <c r="P1387" s="18">
        <f t="shared" si="369"/>
        <v>1965</v>
      </c>
      <c r="Q1387" s="18">
        <f>Q1388+Q1389+Q1390</f>
        <v>-530.9</v>
      </c>
      <c r="R1387" s="18">
        <f t="shared" si="370"/>
        <v>1434.1</v>
      </c>
      <c r="S1387" s="18">
        <f>S1388+S1389+S1390</f>
        <v>0</v>
      </c>
      <c r="T1387" s="18">
        <f t="shared" si="356"/>
        <v>1434.1</v>
      </c>
      <c r="U1387" s="18">
        <f>U1388+U1389+U1390</f>
        <v>0</v>
      </c>
      <c r="V1387" s="18">
        <f t="shared" si="357"/>
        <v>1434.1</v>
      </c>
      <c r="W1387" s="18">
        <f>W1388+W1389+W1390</f>
        <v>0</v>
      </c>
      <c r="X1387" s="18">
        <f t="shared" si="358"/>
        <v>1434.1</v>
      </c>
    </row>
    <row r="1388" spans="1:27" x14ac:dyDescent="0.25">
      <c r="A1388" s="7" t="s">
        <v>498</v>
      </c>
      <c r="B1388" s="25" t="s">
        <v>398</v>
      </c>
      <c r="C1388" s="25" t="s">
        <v>8</v>
      </c>
      <c r="D1388" s="19">
        <v>1509</v>
      </c>
      <c r="E1388" s="19"/>
      <c r="F1388" s="18">
        <f t="shared" si="371"/>
        <v>1509</v>
      </c>
      <c r="G1388" s="19"/>
      <c r="H1388" s="18">
        <f t="shared" si="372"/>
        <v>1509</v>
      </c>
      <c r="I1388" s="19"/>
      <c r="J1388" s="18">
        <f t="shared" si="363"/>
        <v>1509</v>
      </c>
      <c r="K1388" s="19"/>
      <c r="L1388" s="18">
        <f t="shared" si="364"/>
        <v>1509</v>
      </c>
      <c r="M1388" s="19"/>
      <c r="N1388" s="18">
        <f t="shared" si="368"/>
        <v>1509</v>
      </c>
      <c r="O1388" s="19"/>
      <c r="P1388" s="18">
        <f t="shared" si="369"/>
        <v>1509</v>
      </c>
      <c r="Q1388" s="44">
        <v>-477.2</v>
      </c>
      <c r="R1388" s="18">
        <f t="shared" si="370"/>
        <v>1031.8</v>
      </c>
      <c r="S1388" s="64"/>
      <c r="T1388" s="18">
        <f t="shared" si="356"/>
        <v>1031.8</v>
      </c>
      <c r="U1388" s="64"/>
      <c r="V1388" s="18">
        <f t="shared" si="357"/>
        <v>1031.8</v>
      </c>
      <c r="W1388" s="64"/>
      <c r="X1388" s="18">
        <f t="shared" si="358"/>
        <v>1031.8</v>
      </c>
      <c r="Z1388" s="43">
        <f t="shared" ref="Z1388:Z1390" si="379">X1388+Y1388</f>
        <v>1031.8</v>
      </c>
      <c r="AA1388" s="43"/>
    </row>
    <row r="1389" spans="1:27" ht="24" customHeight="1" x14ac:dyDescent="0.25">
      <c r="A1389" s="9" t="s">
        <v>500</v>
      </c>
      <c r="B1389" s="25" t="s">
        <v>398</v>
      </c>
      <c r="C1389" s="25" t="s">
        <v>9</v>
      </c>
      <c r="D1389" s="19">
        <v>456</v>
      </c>
      <c r="E1389" s="19"/>
      <c r="F1389" s="18">
        <f t="shared" si="371"/>
        <v>456</v>
      </c>
      <c r="G1389" s="19"/>
      <c r="H1389" s="18">
        <f t="shared" si="372"/>
        <v>456</v>
      </c>
      <c r="I1389" s="62">
        <v>-0.7</v>
      </c>
      <c r="J1389" s="18">
        <f t="shared" si="363"/>
        <v>455.3</v>
      </c>
      <c r="K1389" s="64"/>
      <c r="L1389" s="18">
        <f t="shared" si="364"/>
        <v>455.3</v>
      </c>
      <c r="M1389" s="64"/>
      <c r="N1389" s="18">
        <f t="shared" si="368"/>
        <v>455.3</v>
      </c>
      <c r="O1389" s="64"/>
      <c r="P1389" s="18">
        <f t="shared" si="369"/>
        <v>455.3</v>
      </c>
      <c r="Q1389" s="44">
        <v>-53.7</v>
      </c>
      <c r="R1389" s="18">
        <f t="shared" si="370"/>
        <v>401.6</v>
      </c>
      <c r="S1389" s="64"/>
      <c r="T1389" s="18">
        <f t="shared" si="356"/>
        <v>401.6</v>
      </c>
      <c r="U1389" s="64"/>
      <c r="V1389" s="18">
        <f t="shared" si="357"/>
        <v>401.6</v>
      </c>
      <c r="W1389" s="64"/>
      <c r="X1389" s="18">
        <f t="shared" si="358"/>
        <v>401.6</v>
      </c>
      <c r="Z1389" s="43">
        <f t="shared" si="379"/>
        <v>401.6</v>
      </c>
      <c r="AA1389" s="43"/>
    </row>
    <row r="1390" spans="1:27" ht="15" customHeight="1" x14ac:dyDescent="0.25">
      <c r="A1390" s="58" t="s">
        <v>39</v>
      </c>
      <c r="B1390" s="27" t="s">
        <v>398</v>
      </c>
      <c r="C1390" s="27" t="s">
        <v>40</v>
      </c>
      <c r="D1390" s="19"/>
      <c r="E1390" s="19"/>
      <c r="F1390" s="18"/>
      <c r="G1390" s="19"/>
      <c r="H1390" s="18"/>
      <c r="I1390" s="62">
        <v>0.7</v>
      </c>
      <c r="J1390" s="18">
        <f t="shared" si="363"/>
        <v>0.7</v>
      </c>
      <c r="K1390" s="64"/>
      <c r="L1390" s="18">
        <f t="shared" si="364"/>
        <v>0.7</v>
      </c>
      <c r="M1390" s="64"/>
      <c r="N1390" s="18">
        <f t="shared" si="368"/>
        <v>0.7</v>
      </c>
      <c r="O1390" s="64"/>
      <c r="P1390" s="18">
        <f t="shared" si="369"/>
        <v>0.7</v>
      </c>
      <c r="Q1390" s="64"/>
      <c r="R1390" s="18">
        <f t="shared" si="370"/>
        <v>0.7</v>
      </c>
      <c r="S1390" s="64"/>
      <c r="T1390" s="18">
        <f t="shared" si="356"/>
        <v>0.7</v>
      </c>
      <c r="U1390" s="64"/>
      <c r="V1390" s="18">
        <f t="shared" si="357"/>
        <v>0.7</v>
      </c>
      <c r="W1390" s="64"/>
      <c r="X1390" s="18">
        <f t="shared" si="358"/>
        <v>0.7</v>
      </c>
      <c r="Z1390" s="43">
        <f t="shared" si="379"/>
        <v>0.7</v>
      </c>
      <c r="AA1390" s="43"/>
    </row>
    <row r="1391" spans="1:27" ht="24" customHeight="1" x14ac:dyDescent="0.25">
      <c r="A1391" s="28" t="s">
        <v>529</v>
      </c>
      <c r="B1391" s="29" t="s">
        <v>531</v>
      </c>
      <c r="C1391" s="30"/>
      <c r="D1391" s="18">
        <f>D1392</f>
        <v>2504.1</v>
      </c>
      <c r="E1391" s="18">
        <f>E1392</f>
        <v>0</v>
      </c>
      <c r="F1391" s="18">
        <f t="shared" si="371"/>
        <v>2504.1</v>
      </c>
      <c r="G1391" s="18">
        <f>G1392</f>
        <v>0</v>
      </c>
      <c r="H1391" s="18">
        <f t="shared" si="372"/>
        <v>2504.1</v>
      </c>
      <c r="I1391" s="18">
        <f>I1392</f>
        <v>0</v>
      </c>
      <c r="J1391" s="18">
        <f t="shared" si="363"/>
        <v>2504.1</v>
      </c>
      <c r="K1391" s="18">
        <f>K1392</f>
        <v>0</v>
      </c>
      <c r="L1391" s="18">
        <f t="shared" si="364"/>
        <v>2504.1</v>
      </c>
      <c r="M1391" s="18">
        <f>M1392</f>
        <v>0</v>
      </c>
      <c r="N1391" s="18">
        <f t="shared" si="368"/>
        <v>2504.1</v>
      </c>
      <c r="O1391" s="18">
        <f>O1392</f>
        <v>0</v>
      </c>
      <c r="P1391" s="18">
        <f t="shared" si="369"/>
        <v>2504.1</v>
      </c>
      <c r="Q1391" s="18">
        <f>Q1392</f>
        <v>0</v>
      </c>
      <c r="R1391" s="18">
        <f t="shared" si="370"/>
        <v>2504.1</v>
      </c>
      <c r="S1391" s="18">
        <f>S1392</f>
        <v>0</v>
      </c>
      <c r="T1391" s="18">
        <f t="shared" si="356"/>
        <v>2504.1</v>
      </c>
      <c r="U1391" s="18">
        <f>U1392</f>
        <v>3.5527136788005009E-15</v>
      </c>
      <c r="V1391" s="18">
        <f t="shared" si="357"/>
        <v>2504.1</v>
      </c>
      <c r="W1391" s="18">
        <f>W1392</f>
        <v>49</v>
      </c>
      <c r="X1391" s="18">
        <f t="shared" si="358"/>
        <v>2553.1</v>
      </c>
    </row>
    <row r="1392" spans="1:27" ht="13.5" customHeight="1" x14ac:dyDescent="0.25">
      <c r="A1392" s="28" t="s">
        <v>530</v>
      </c>
      <c r="B1392" s="29" t="s">
        <v>532</v>
      </c>
      <c r="C1392" s="30"/>
      <c r="D1392" s="18">
        <f>D1393+D1394+D1395+D1396</f>
        <v>2504.1</v>
      </c>
      <c r="E1392" s="18">
        <f>E1393+E1394+E1395+E1396</f>
        <v>0</v>
      </c>
      <c r="F1392" s="18">
        <f t="shared" si="371"/>
        <v>2504.1</v>
      </c>
      <c r="G1392" s="18">
        <f>G1393+G1394+G1395+G1396+G1397</f>
        <v>0</v>
      </c>
      <c r="H1392" s="18">
        <f t="shared" si="372"/>
        <v>2504.1</v>
      </c>
      <c r="I1392" s="18">
        <f>I1393+I1394+I1395+I1396+I1397</f>
        <v>0</v>
      </c>
      <c r="J1392" s="18">
        <f t="shared" si="363"/>
        <v>2504.1</v>
      </c>
      <c r="K1392" s="18">
        <f>K1393+K1394+K1395+K1396+K1397</f>
        <v>0</v>
      </c>
      <c r="L1392" s="18">
        <f t="shared" si="364"/>
        <v>2504.1</v>
      </c>
      <c r="M1392" s="18">
        <f>M1393+M1394+M1395+M1396+M1397</f>
        <v>0</v>
      </c>
      <c r="N1392" s="18">
        <f t="shared" si="368"/>
        <v>2504.1</v>
      </c>
      <c r="O1392" s="18">
        <f>O1393+O1394+O1395+O1396+O1397</f>
        <v>0</v>
      </c>
      <c r="P1392" s="18">
        <f t="shared" si="369"/>
        <v>2504.1</v>
      </c>
      <c r="Q1392" s="18">
        <f>Q1393+Q1394+Q1395+Q1396+Q1397</f>
        <v>0</v>
      </c>
      <c r="R1392" s="18">
        <f t="shared" si="370"/>
        <v>2504.1</v>
      </c>
      <c r="S1392" s="18">
        <f>S1393+S1394+S1395+S1396+S1397</f>
        <v>0</v>
      </c>
      <c r="T1392" s="18">
        <f t="shared" si="356"/>
        <v>2504.1</v>
      </c>
      <c r="U1392" s="18">
        <f>U1393+U1394+U1395+U1396+U1397</f>
        <v>3.5527136788005009E-15</v>
      </c>
      <c r="V1392" s="18">
        <f t="shared" si="357"/>
        <v>2504.1</v>
      </c>
      <c r="W1392" s="18">
        <f>W1393+W1394+W1395+W1396+W1397</f>
        <v>49</v>
      </c>
      <c r="X1392" s="18">
        <f t="shared" si="358"/>
        <v>2553.1</v>
      </c>
    </row>
    <row r="1393" spans="1:27" ht="15" customHeight="1" x14ac:dyDescent="0.25">
      <c r="A1393" s="7" t="s">
        <v>498</v>
      </c>
      <c r="B1393" s="31" t="s">
        <v>532</v>
      </c>
      <c r="C1393" s="31" t="s">
        <v>8</v>
      </c>
      <c r="D1393" s="32">
        <v>1839.6</v>
      </c>
      <c r="E1393" s="32"/>
      <c r="F1393" s="18">
        <f t="shared" si="371"/>
        <v>1839.6</v>
      </c>
      <c r="G1393" s="65">
        <v>-20</v>
      </c>
      <c r="H1393" s="18">
        <f t="shared" si="372"/>
        <v>1819.6</v>
      </c>
      <c r="I1393" s="80"/>
      <c r="J1393" s="18">
        <f t="shared" si="363"/>
        <v>1819.6</v>
      </c>
      <c r="K1393" s="80"/>
      <c r="L1393" s="18">
        <f t="shared" si="364"/>
        <v>1819.6</v>
      </c>
      <c r="M1393" s="80"/>
      <c r="N1393" s="18">
        <f t="shared" si="368"/>
        <v>1819.6</v>
      </c>
      <c r="O1393" s="80"/>
      <c r="P1393" s="18">
        <f t="shared" si="369"/>
        <v>1819.6</v>
      </c>
      <c r="Q1393" s="80"/>
      <c r="R1393" s="18">
        <f t="shared" si="370"/>
        <v>1819.6</v>
      </c>
      <c r="S1393" s="80"/>
      <c r="T1393" s="18">
        <f t="shared" si="356"/>
        <v>1819.6</v>
      </c>
      <c r="U1393" s="154">
        <v>41.2</v>
      </c>
      <c r="V1393" s="18">
        <f t="shared" si="357"/>
        <v>1860.8</v>
      </c>
      <c r="W1393" s="65">
        <f>49+19.4</f>
        <v>68.400000000000006</v>
      </c>
      <c r="X1393" s="18">
        <f t="shared" si="358"/>
        <v>1929.2</v>
      </c>
      <c r="Z1393" s="43">
        <f t="shared" ref="Z1393:Z1397" si="380">X1393+Y1393</f>
        <v>1929.2</v>
      </c>
      <c r="AA1393" s="43"/>
    </row>
    <row r="1394" spans="1:27" ht="24" customHeight="1" x14ac:dyDescent="0.25">
      <c r="A1394" s="7" t="s">
        <v>500</v>
      </c>
      <c r="B1394" s="31" t="s">
        <v>532</v>
      </c>
      <c r="C1394" s="31" t="s">
        <v>9</v>
      </c>
      <c r="D1394" s="32">
        <v>555.5</v>
      </c>
      <c r="E1394" s="32"/>
      <c r="F1394" s="18">
        <f t="shared" si="371"/>
        <v>555.5</v>
      </c>
      <c r="G1394" s="32"/>
      <c r="H1394" s="18">
        <f t="shared" si="372"/>
        <v>555.5</v>
      </c>
      <c r="I1394" s="80"/>
      <c r="J1394" s="18">
        <f t="shared" si="363"/>
        <v>555.5</v>
      </c>
      <c r="K1394" s="80"/>
      <c r="L1394" s="18">
        <f t="shared" si="364"/>
        <v>555.5</v>
      </c>
      <c r="M1394" s="80"/>
      <c r="N1394" s="18">
        <f t="shared" si="368"/>
        <v>555.5</v>
      </c>
      <c r="O1394" s="80"/>
      <c r="P1394" s="18">
        <f t="shared" si="369"/>
        <v>555.5</v>
      </c>
      <c r="Q1394" s="80"/>
      <c r="R1394" s="18">
        <f t="shared" si="370"/>
        <v>555.5</v>
      </c>
      <c r="S1394" s="80"/>
      <c r="T1394" s="18">
        <f t="shared" si="356"/>
        <v>555.5</v>
      </c>
      <c r="U1394" s="154">
        <v>17.899999999999999</v>
      </c>
      <c r="V1394" s="18">
        <f t="shared" si="357"/>
        <v>573.4</v>
      </c>
      <c r="W1394" s="65">
        <f>-19.4+6.7</f>
        <v>-12.7</v>
      </c>
      <c r="X1394" s="18">
        <f t="shared" si="358"/>
        <v>560.69999999999993</v>
      </c>
      <c r="Z1394" s="43">
        <f t="shared" si="380"/>
        <v>560.69999999999993</v>
      </c>
      <c r="AA1394" s="43"/>
    </row>
    <row r="1395" spans="1:27" ht="14.25" hidden="1" customHeight="1" x14ac:dyDescent="0.25">
      <c r="A1395" s="9" t="s">
        <v>501</v>
      </c>
      <c r="B1395" s="31" t="s">
        <v>532</v>
      </c>
      <c r="C1395" s="27" t="s">
        <v>33</v>
      </c>
      <c r="D1395" s="32">
        <v>29.4</v>
      </c>
      <c r="E1395" s="32"/>
      <c r="F1395" s="18">
        <f t="shared" si="371"/>
        <v>29.4</v>
      </c>
      <c r="G1395" s="32"/>
      <c r="H1395" s="18">
        <f t="shared" si="372"/>
        <v>29.4</v>
      </c>
      <c r="I1395" s="80"/>
      <c r="J1395" s="18">
        <f t="shared" si="363"/>
        <v>29.4</v>
      </c>
      <c r="K1395" s="80"/>
      <c r="L1395" s="18">
        <f t="shared" si="364"/>
        <v>29.4</v>
      </c>
      <c r="M1395" s="80"/>
      <c r="N1395" s="18">
        <f t="shared" si="368"/>
        <v>29.4</v>
      </c>
      <c r="O1395" s="80"/>
      <c r="P1395" s="18">
        <f t="shared" si="369"/>
        <v>29.4</v>
      </c>
      <c r="Q1395" s="80"/>
      <c r="R1395" s="18">
        <f t="shared" si="370"/>
        <v>29.4</v>
      </c>
      <c r="S1395" s="80"/>
      <c r="T1395" s="18">
        <f t="shared" si="356"/>
        <v>29.4</v>
      </c>
      <c r="U1395" s="154">
        <v>-29.4</v>
      </c>
      <c r="V1395" s="18">
        <f t="shared" si="357"/>
        <v>0</v>
      </c>
      <c r="W1395" s="80"/>
      <c r="X1395" s="18">
        <f t="shared" si="358"/>
        <v>0</v>
      </c>
      <c r="Z1395" s="43">
        <f t="shared" si="380"/>
        <v>0</v>
      </c>
      <c r="AA1395" s="43"/>
    </row>
    <row r="1396" spans="1:27" ht="14.25" hidden="1" customHeight="1" x14ac:dyDescent="0.25">
      <c r="A1396" s="7" t="s">
        <v>54</v>
      </c>
      <c r="B1396" s="31" t="s">
        <v>532</v>
      </c>
      <c r="C1396" s="31" t="s">
        <v>34</v>
      </c>
      <c r="D1396" s="32">
        <v>79.599999999999994</v>
      </c>
      <c r="E1396" s="32"/>
      <c r="F1396" s="18">
        <f t="shared" si="371"/>
        <v>79.599999999999994</v>
      </c>
      <c r="G1396" s="32"/>
      <c r="H1396" s="18">
        <f t="shared" si="372"/>
        <v>79.599999999999994</v>
      </c>
      <c r="I1396" s="80"/>
      <c r="J1396" s="18">
        <f t="shared" si="363"/>
        <v>79.599999999999994</v>
      </c>
      <c r="K1396" s="80"/>
      <c r="L1396" s="18">
        <f t="shared" si="364"/>
        <v>79.599999999999994</v>
      </c>
      <c r="M1396" s="80"/>
      <c r="N1396" s="18">
        <f t="shared" si="368"/>
        <v>79.599999999999994</v>
      </c>
      <c r="O1396" s="80"/>
      <c r="P1396" s="18">
        <f t="shared" si="369"/>
        <v>79.599999999999994</v>
      </c>
      <c r="Q1396" s="80"/>
      <c r="R1396" s="18">
        <f t="shared" si="370"/>
        <v>79.599999999999994</v>
      </c>
      <c r="S1396" s="80"/>
      <c r="T1396" s="18">
        <f t="shared" si="356"/>
        <v>79.599999999999994</v>
      </c>
      <c r="U1396" s="154">
        <v>-29.7</v>
      </c>
      <c r="V1396" s="18">
        <f t="shared" si="357"/>
        <v>49.899999999999991</v>
      </c>
      <c r="W1396" s="65">
        <v>-49.9</v>
      </c>
      <c r="X1396" s="18">
        <f t="shared" si="358"/>
        <v>0</v>
      </c>
      <c r="Z1396" s="43">
        <f t="shared" si="380"/>
        <v>0</v>
      </c>
      <c r="AA1396" s="43"/>
    </row>
    <row r="1397" spans="1:27" ht="14.25" customHeight="1" x14ac:dyDescent="0.25">
      <c r="A1397" s="7" t="s">
        <v>503</v>
      </c>
      <c r="B1397" s="31" t="s">
        <v>532</v>
      </c>
      <c r="C1397" s="31" t="s">
        <v>35</v>
      </c>
      <c r="D1397" s="32"/>
      <c r="E1397" s="32"/>
      <c r="F1397" s="18"/>
      <c r="G1397" s="65">
        <v>20</v>
      </c>
      <c r="H1397" s="18">
        <f t="shared" si="372"/>
        <v>20</v>
      </c>
      <c r="I1397" s="80"/>
      <c r="J1397" s="18">
        <f t="shared" si="363"/>
        <v>20</v>
      </c>
      <c r="K1397" s="80"/>
      <c r="L1397" s="18">
        <f t="shared" si="364"/>
        <v>20</v>
      </c>
      <c r="M1397" s="80"/>
      <c r="N1397" s="18">
        <f t="shared" si="368"/>
        <v>20</v>
      </c>
      <c r="O1397" s="80"/>
      <c r="P1397" s="18">
        <f t="shared" si="369"/>
        <v>20</v>
      </c>
      <c r="Q1397" s="80"/>
      <c r="R1397" s="18">
        <f t="shared" si="370"/>
        <v>20</v>
      </c>
      <c r="S1397" s="80"/>
      <c r="T1397" s="18">
        <f t="shared" si="356"/>
        <v>20</v>
      </c>
      <c r="U1397" s="80"/>
      <c r="V1397" s="18">
        <f t="shared" si="357"/>
        <v>20</v>
      </c>
      <c r="W1397" s="65">
        <f>49.9-6.7</f>
        <v>43.199999999999996</v>
      </c>
      <c r="X1397" s="18">
        <f t="shared" si="358"/>
        <v>63.199999999999996</v>
      </c>
      <c r="Z1397" s="43">
        <f t="shared" si="380"/>
        <v>63.199999999999996</v>
      </c>
      <c r="AA1397" s="43"/>
    </row>
    <row r="1398" spans="1:27" x14ac:dyDescent="0.25">
      <c r="A1398" s="13" t="s">
        <v>106</v>
      </c>
      <c r="B1398" s="24" t="s">
        <v>107</v>
      </c>
      <c r="C1398" s="24" t="s">
        <v>2</v>
      </c>
      <c r="D1398" s="18">
        <f>D1399</f>
        <v>375</v>
      </c>
      <c r="E1398" s="18">
        <f>E1399</f>
        <v>0</v>
      </c>
      <c r="F1398" s="18">
        <f t="shared" si="371"/>
        <v>375</v>
      </c>
      <c r="G1398" s="18">
        <f>G1399</f>
        <v>0</v>
      </c>
      <c r="H1398" s="18">
        <f t="shared" si="372"/>
        <v>375</v>
      </c>
      <c r="I1398" s="47">
        <f>I1399</f>
        <v>0</v>
      </c>
      <c r="J1398" s="18">
        <f t="shared" si="363"/>
        <v>375</v>
      </c>
      <c r="K1398" s="47">
        <f>K1399</f>
        <v>0</v>
      </c>
      <c r="L1398" s="18">
        <f t="shared" si="364"/>
        <v>375</v>
      </c>
      <c r="M1398" s="47">
        <f>M1399</f>
        <v>0</v>
      </c>
      <c r="N1398" s="18">
        <f t="shared" si="368"/>
        <v>375</v>
      </c>
      <c r="O1398" s="47">
        <f>O1399</f>
        <v>0</v>
      </c>
      <c r="P1398" s="18">
        <f t="shared" si="369"/>
        <v>375</v>
      </c>
      <c r="Q1398" s="47">
        <f>Q1399</f>
        <v>3.6</v>
      </c>
      <c r="R1398" s="18">
        <f t="shared" si="370"/>
        <v>378.6</v>
      </c>
      <c r="S1398" s="47">
        <f>S1399</f>
        <v>0</v>
      </c>
      <c r="T1398" s="18">
        <f t="shared" si="356"/>
        <v>378.6</v>
      </c>
      <c r="U1398" s="47">
        <f>U1399</f>
        <v>0</v>
      </c>
      <c r="V1398" s="18">
        <f t="shared" si="357"/>
        <v>378.6</v>
      </c>
      <c r="W1398" s="47">
        <f>W1399</f>
        <v>0</v>
      </c>
      <c r="X1398" s="18">
        <f t="shared" si="358"/>
        <v>378.6</v>
      </c>
    </row>
    <row r="1399" spans="1:27" x14ac:dyDescent="0.25">
      <c r="A1399" s="13" t="s">
        <v>108</v>
      </c>
      <c r="B1399" s="24" t="s">
        <v>109</v>
      </c>
      <c r="C1399" s="24" t="s">
        <v>2</v>
      </c>
      <c r="D1399" s="18">
        <f>D1400</f>
        <v>375</v>
      </c>
      <c r="E1399" s="18">
        <f>E1400</f>
        <v>0</v>
      </c>
      <c r="F1399" s="18">
        <f t="shared" si="371"/>
        <v>375</v>
      </c>
      <c r="G1399" s="18">
        <f>G1400</f>
        <v>0</v>
      </c>
      <c r="H1399" s="18">
        <f t="shared" si="372"/>
        <v>375</v>
      </c>
      <c r="I1399" s="18">
        <f>I1400</f>
        <v>0</v>
      </c>
      <c r="J1399" s="18">
        <f t="shared" si="363"/>
        <v>375</v>
      </c>
      <c r="K1399" s="18">
        <f>K1400</f>
        <v>0</v>
      </c>
      <c r="L1399" s="18">
        <f t="shared" si="364"/>
        <v>375</v>
      </c>
      <c r="M1399" s="18">
        <f>M1400</f>
        <v>0</v>
      </c>
      <c r="N1399" s="18">
        <f t="shared" si="368"/>
        <v>375</v>
      </c>
      <c r="O1399" s="18">
        <f>O1400</f>
        <v>0</v>
      </c>
      <c r="P1399" s="18">
        <f t="shared" si="369"/>
        <v>375</v>
      </c>
      <c r="Q1399" s="18">
        <f>Q1400</f>
        <v>3.6</v>
      </c>
      <c r="R1399" s="18">
        <f t="shared" si="370"/>
        <v>378.6</v>
      </c>
      <c r="S1399" s="18">
        <f>S1400</f>
        <v>0</v>
      </c>
      <c r="T1399" s="18">
        <f t="shared" ref="T1399:T1463" si="381">R1399+S1399</f>
        <v>378.6</v>
      </c>
      <c r="U1399" s="18">
        <f>U1400</f>
        <v>0</v>
      </c>
      <c r="V1399" s="18">
        <f t="shared" ref="V1399:V1463" si="382">T1399+U1399</f>
        <v>378.6</v>
      </c>
      <c r="W1399" s="18">
        <f>W1400</f>
        <v>0</v>
      </c>
      <c r="X1399" s="18">
        <f t="shared" ref="X1399:X1463" si="383">V1399+W1399</f>
        <v>378.6</v>
      </c>
    </row>
    <row r="1400" spans="1:27" ht="24.75" x14ac:dyDescent="0.25">
      <c r="A1400" s="13" t="s">
        <v>110</v>
      </c>
      <c r="B1400" s="24" t="s">
        <v>111</v>
      </c>
      <c r="C1400" s="24" t="s">
        <v>2</v>
      </c>
      <c r="D1400" s="18">
        <f>D1401+D1402</f>
        <v>375</v>
      </c>
      <c r="E1400" s="18">
        <f>E1401+E1402</f>
        <v>0</v>
      </c>
      <c r="F1400" s="18">
        <f t="shared" si="371"/>
        <v>375</v>
      </c>
      <c r="G1400" s="18">
        <f>G1401+G1402</f>
        <v>0</v>
      </c>
      <c r="H1400" s="18">
        <f t="shared" si="372"/>
        <v>375</v>
      </c>
      <c r="I1400" s="18">
        <f>I1401+I1402</f>
        <v>0</v>
      </c>
      <c r="J1400" s="18">
        <f t="shared" si="363"/>
        <v>375</v>
      </c>
      <c r="K1400" s="18">
        <f>K1401+K1402</f>
        <v>0</v>
      </c>
      <c r="L1400" s="18">
        <f t="shared" si="364"/>
        <v>375</v>
      </c>
      <c r="M1400" s="18">
        <f>M1401+M1402</f>
        <v>0</v>
      </c>
      <c r="N1400" s="18">
        <f t="shared" si="368"/>
        <v>375</v>
      </c>
      <c r="O1400" s="18">
        <f>O1401+O1402</f>
        <v>0</v>
      </c>
      <c r="P1400" s="18">
        <f t="shared" si="369"/>
        <v>375</v>
      </c>
      <c r="Q1400" s="18">
        <f>Q1401+Q1402</f>
        <v>3.6</v>
      </c>
      <c r="R1400" s="18">
        <f t="shared" si="370"/>
        <v>378.6</v>
      </c>
      <c r="S1400" s="18">
        <f>S1401+S1402</f>
        <v>0</v>
      </c>
      <c r="T1400" s="18">
        <f t="shared" si="381"/>
        <v>378.6</v>
      </c>
      <c r="U1400" s="18">
        <f>U1401+U1402</f>
        <v>0</v>
      </c>
      <c r="V1400" s="18">
        <f t="shared" si="382"/>
        <v>378.6</v>
      </c>
      <c r="W1400" s="18">
        <f>W1401+W1402</f>
        <v>0</v>
      </c>
      <c r="X1400" s="18">
        <f t="shared" si="383"/>
        <v>378.6</v>
      </c>
    </row>
    <row r="1401" spans="1:27" x14ac:dyDescent="0.25">
      <c r="A1401" s="7" t="s">
        <v>54</v>
      </c>
      <c r="B1401" s="25" t="s">
        <v>111</v>
      </c>
      <c r="C1401" s="25" t="s">
        <v>34</v>
      </c>
      <c r="D1401" s="19">
        <v>48</v>
      </c>
      <c r="E1401" s="19"/>
      <c r="F1401" s="18">
        <f t="shared" si="371"/>
        <v>48</v>
      </c>
      <c r="G1401" s="19"/>
      <c r="H1401" s="18">
        <f t="shared" si="372"/>
        <v>48</v>
      </c>
      <c r="I1401" s="19"/>
      <c r="J1401" s="18">
        <f t="shared" si="363"/>
        <v>48</v>
      </c>
      <c r="K1401" s="106">
        <v>12</v>
      </c>
      <c r="L1401" s="18">
        <f t="shared" si="364"/>
        <v>60</v>
      </c>
      <c r="M1401" s="64"/>
      <c r="N1401" s="18">
        <f t="shared" si="368"/>
        <v>60</v>
      </c>
      <c r="O1401" s="64"/>
      <c r="P1401" s="18">
        <f t="shared" si="369"/>
        <v>60</v>
      </c>
      <c r="Q1401" s="44">
        <v>3.6</v>
      </c>
      <c r="R1401" s="18">
        <f t="shared" si="370"/>
        <v>63.6</v>
      </c>
      <c r="S1401" s="64"/>
      <c r="T1401" s="18">
        <f t="shared" si="381"/>
        <v>63.6</v>
      </c>
      <c r="U1401" s="64"/>
      <c r="V1401" s="18">
        <f t="shared" si="382"/>
        <v>63.6</v>
      </c>
      <c r="W1401" s="64"/>
      <c r="X1401" s="18">
        <f t="shared" si="383"/>
        <v>63.6</v>
      </c>
      <c r="Z1401" s="43">
        <f t="shared" ref="Z1401:Z1402" si="384">X1401+Y1401</f>
        <v>63.6</v>
      </c>
      <c r="AA1401" s="43"/>
    </row>
    <row r="1402" spans="1:27" x14ac:dyDescent="0.25">
      <c r="A1402" s="9" t="s">
        <v>511</v>
      </c>
      <c r="B1402" s="25" t="s">
        <v>111</v>
      </c>
      <c r="C1402" s="25" t="s">
        <v>66</v>
      </c>
      <c r="D1402" s="19">
        <v>327</v>
      </c>
      <c r="E1402" s="19"/>
      <c r="F1402" s="18">
        <f t="shared" si="371"/>
        <v>327</v>
      </c>
      <c r="G1402" s="19"/>
      <c r="H1402" s="18">
        <f t="shared" si="372"/>
        <v>327</v>
      </c>
      <c r="I1402" s="19"/>
      <c r="J1402" s="18">
        <f t="shared" si="363"/>
        <v>327</v>
      </c>
      <c r="K1402" s="106">
        <v>-12</v>
      </c>
      <c r="L1402" s="18">
        <f t="shared" si="364"/>
        <v>315</v>
      </c>
      <c r="M1402" s="64"/>
      <c r="N1402" s="18">
        <f t="shared" si="368"/>
        <v>315</v>
      </c>
      <c r="O1402" s="64"/>
      <c r="P1402" s="18">
        <f t="shared" si="369"/>
        <v>315</v>
      </c>
      <c r="Q1402" s="64"/>
      <c r="R1402" s="18">
        <f t="shared" si="370"/>
        <v>315</v>
      </c>
      <c r="S1402" s="64"/>
      <c r="T1402" s="18">
        <f t="shared" si="381"/>
        <v>315</v>
      </c>
      <c r="U1402" s="64"/>
      <c r="V1402" s="18">
        <f t="shared" si="382"/>
        <v>315</v>
      </c>
      <c r="W1402" s="64"/>
      <c r="X1402" s="18">
        <f t="shared" si="383"/>
        <v>315</v>
      </c>
      <c r="Z1402" s="43">
        <f t="shared" si="384"/>
        <v>315</v>
      </c>
      <c r="AA1402" s="43"/>
    </row>
    <row r="1403" spans="1:27" x14ac:dyDescent="0.25">
      <c r="A1403" s="13" t="s">
        <v>494</v>
      </c>
      <c r="B1403" s="24" t="s">
        <v>186</v>
      </c>
      <c r="C1403" s="24" t="s">
        <v>2</v>
      </c>
      <c r="D1403" s="18">
        <f>D1404+D1407</f>
        <v>128</v>
      </c>
      <c r="E1403" s="18">
        <f>E1404+E1407</f>
        <v>0</v>
      </c>
      <c r="F1403" s="18">
        <f t="shared" si="371"/>
        <v>128</v>
      </c>
      <c r="G1403" s="18">
        <f>G1404+G1407</f>
        <v>0</v>
      </c>
      <c r="H1403" s="18">
        <f t="shared" si="372"/>
        <v>128</v>
      </c>
      <c r="I1403" s="18">
        <f>I1404+I1407</f>
        <v>0</v>
      </c>
      <c r="J1403" s="18">
        <f t="shared" si="363"/>
        <v>128</v>
      </c>
      <c r="K1403" s="18">
        <f>K1404+K1407</f>
        <v>0</v>
      </c>
      <c r="L1403" s="18">
        <f t="shared" si="364"/>
        <v>128</v>
      </c>
      <c r="M1403" s="18">
        <f>M1404+M1407</f>
        <v>0</v>
      </c>
      <c r="N1403" s="18">
        <f t="shared" si="368"/>
        <v>128</v>
      </c>
      <c r="O1403" s="18">
        <f>O1404+O1407</f>
        <v>0</v>
      </c>
      <c r="P1403" s="18">
        <f t="shared" si="369"/>
        <v>128</v>
      </c>
      <c r="Q1403" s="18">
        <f>Q1404+Q1407</f>
        <v>0</v>
      </c>
      <c r="R1403" s="18">
        <f t="shared" si="370"/>
        <v>128</v>
      </c>
      <c r="S1403" s="18">
        <f>S1404+S1407</f>
        <v>0</v>
      </c>
      <c r="T1403" s="18">
        <f t="shared" si="381"/>
        <v>128</v>
      </c>
      <c r="U1403" s="18">
        <f>U1404+U1407</f>
        <v>0</v>
      </c>
      <c r="V1403" s="18">
        <f t="shared" si="382"/>
        <v>128</v>
      </c>
      <c r="W1403" s="18">
        <f>W1404+W1407</f>
        <v>0</v>
      </c>
      <c r="X1403" s="18">
        <f t="shared" si="383"/>
        <v>128</v>
      </c>
    </row>
    <row r="1404" spans="1:27" ht="36.75" x14ac:dyDescent="0.25">
      <c r="A1404" s="13" t="s">
        <v>187</v>
      </c>
      <c r="B1404" s="24" t="s">
        <v>188</v>
      </c>
      <c r="C1404" s="24" t="s">
        <v>2</v>
      </c>
      <c r="D1404" s="18">
        <f>D1405</f>
        <v>75</v>
      </c>
      <c r="E1404" s="18">
        <f>E1405</f>
        <v>0</v>
      </c>
      <c r="F1404" s="18">
        <f t="shared" si="371"/>
        <v>75</v>
      </c>
      <c r="G1404" s="18">
        <f>G1405</f>
        <v>0</v>
      </c>
      <c r="H1404" s="18">
        <f t="shared" si="372"/>
        <v>75</v>
      </c>
      <c r="I1404" s="18">
        <f>I1405</f>
        <v>0</v>
      </c>
      <c r="J1404" s="18">
        <f t="shared" si="363"/>
        <v>75</v>
      </c>
      <c r="K1404" s="18">
        <f>K1405</f>
        <v>0</v>
      </c>
      <c r="L1404" s="18">
        <f t="shared" si="364"/>
        <v>75</v>
      </c>
      <c r="M1404" s="18">
        <f>M1405</f>
        <v>0</v>
      </c>
      <c r="N1404" s="18">
        <f t="shared" si="368"/>
        <v>75</v>
      </c>
      <c r="O1404" s="18">
        <f>O1405</f>
        <v>0</v>
      </c>
      <c r="P1404" s="18">
        <f t="shared" si="369"/>
        <v>75</v>
      </c>
      <c r="Q1404" s="18">
        <f>Q1405</f>
        <v>0</v>
      </c>
      <c r="R1404" s="18">
        <f t="shared" si="370"/>
        <v>75</v>
      </c>
      <c r="S1404" s="18">
        <f>S1405</f>
        <v>0</v>
      </c>
      <c r="T1404" s="18">
        <f t="shared" si="381"/>
        <v>75</v>
      </c>
      <c r="U1404" s="18">
        <f>U1405</f>
        <v>0</v>
      </c>
      <c r="V1404" s="18">
        <f t="shared" si="382"/>
        <v>75</v>
      </c>
      <c r="W1404" s="18">
        <f>W1405</f>
        <v>0</v>
      </c>
      <c r="X1404" s="18">
        <f t="shared" si="383"/>
        <v>75</v>
      </c>
    </row>
    <row r="1405" spans="1:27" x14ac:dyDescent="0.25">
      <c r="A1405" s="13" t="s">
        <v>189</v>
      </c>
      <c r="B1405" s="24" t="s">
        <v>190</v>
      </c>
      <c r="C1405" s="24" t="s">
        <v>2</v>
      </c>
      <c r="D1405" s="18">
        <f>D1406</f>
        <v>75</v>
      </c>
      <c r="E1405" s="18">
        <f>E1406</f>
        <v>0</v>
      </c>
      <c r="F1405" s="18">
        <f t="shared" si="371"/>
        <v>75</v>
      </c>
      <c r="G1405" s="18">
        <f>G1406</f>
        <v>0</v>
      </c>
      <c r="H1405" s="18">
        <f t="shared" si="372"/>
        <v>75</v>
      </c>
      <c r="I1405" s="18">
        <f>I1406</f>
        <v>0</v>
      </c>
      <c r="J1405" s="18">
        <f t="shared" si="363"/>
        <v>75</v>
      </c>
      <c r="K1405" s="18">
        <f>K1406</f>
        <v>0</v>
      </c>
      <c r="L1405" s="18">
        <f t="shared" si="364"/>
        <v>75</v>
      </c>
      <c r="M1405" s="18">
        <f>M1406</f>
        <v>0</v>
      </c>
      <c r="N1405" s="18">
        <f t="shared" si="368"/>
        <v>75</v>
      </c>
      <c r="O1405" s="18">
        <f>O1406</f>
        <v>0</v>
      </c>
      <c r="P1405" s="18">
        <f t="shared" si="369"/>
        <v>75</v>
      </c>
      <c r="Q1405" s="18">
        <f>Q1406</f>
        <v>0</v>
      </c>
      <c r="R1405" s="18">
        <f t="shared" si="370"/>
        <v>75</v>
      </c>
      <c r="S1405" s="18">
        <f>S1406</f>
        <v>0</v>
      </c>
      <c r="T1405" s="18">
        <f t="shared" si="381"/>
        <v>75</v>
      </c>
      <c r="U1405" s="18">
        <f>U1406</f>
        <v>0</v>
      </c>
      <c r="V1405" s="18">
        <f t="shared" si="382"/>
        <v>75</v>
      </c>
      <c r="W1405" s="18">
        <f>W1406</f>
        <v>0</v>
      </c>
      <c r="X1405" s="18">
        <f t="shared" si="383"/>
        <v>75</v>
      </c>
    </row>
    <row r="1406" spans="1:27" x14ac:dyDescent="0.25">
      <c r="A1406" s="7" t="s">
        <v>54</v>
      </c>
      <c r="B1406" s="25" t="s">
        <v>190</v>
      </c>
      <c r="C1406" s="25" t="s">
        <v>34</v>
      </c>
      <c r="D1406" s="19">
        <v>75</v>
      </c>
      <c r="E1406" s="19"/>
      <c r="F1406" s="18">
        <f t="shared" si="371"/>
        <v>75</v>
      </c>
      <c r="G1406" s="19"/>
      <c r="H1406" s="18">
        <f t="shared" si="372"/>
        <v>75</v>
      </c>
      <c r="I1406" s="19"/>
      <c r="J1406" s="18">
        <f t="shared" si="363"/>
        <v>75</v>
      </c>
      <c r="K1406" s="19"/>
      <c r="L1406" s="18">
        <f t="shared" si="364"/>
        <v>75</v>
      </c>
      <c r="M1406" s="19"/>
      <c r="N1406" s="18">
        <f t="shared" si="368"/>
        <v>75</v>
      </c>
      <c r="O1406" s="19"/>
      <c r="P1406" s="18">
        <f t="shared" si="369"/>
        <v>75</v>
      </c>
      <c r="Q1406" s="19"/>
      <c r="R1406" s="18">
        <f t="shared" si="370"/>
        <v>75</v>
      </c>
      <c r="S1406" s="64"/>
      <c r="T1406" s="18">
        <f t="shared" si="381"/>
        <v>75</v>
      </c>
      <c r="U1406" s="64"/>
      <c r="V1406" s="18">
        <f t="shared" si="382"/>
        <v>75</v>
      </c>
      <c r="W1406" s="64"/>
      <c r="X1406" s="18">
        <f t="shared" si="383"/>
        <v>75</v>
      </c>
      <c r="Z1406" s="43">
        <f>X1406+Y1406</f>
        <v>75</v>
      </c>
      <c r="AA1406" s="43"/>
    </row>
    <row r="1407" spans="1:27" ht="24.75" x14ac:dyDescent="0.25">
      <c r="A1407" s="13" t="s">
        <v>191</v>
      </c>
      <c r="B1407" s="24" t="s">
        <v>192</v>
      </c>
      <c r="C1407" s="24" t="s">
        <v>2</v>
      </c>
      <c r="D1407" s="18">
        <f>D1408</f>
        <v>53</v>
      </c>
      <c r="E1407" s="18">
        <f>E1408</f>
        <v>0</v>
      </c>
      <c r="F1407" s="18">
        <f t="shared" si="371"/>
        <v>53</v>
      </c>
      <c r="G1407" s="18">
        <f>G1408</f>
        <v>0</v>
      </c>
      <c r="H1407" s="18">
        <f t="shared" si="372"/>
        <v>53</v>
      </c>
      <c r="I1407" s="18">
        <f>I1408</f>
        <v>0</v>
      </c>
      <c r="J1407" s="18">
        <f t="shared" si="363"/>
        <v>53</v>
      </c>
      <c r="K1407" s="18">
        <f>K1408</f>
        <v>0</v>
      </c>
      <c r="L1407" s="18">
        <f t="shared" si="364"/>
        <v>53</v>
      </c>
      <c r="M1407" s="18">
        <f>M1408</f>
        <v>0</v>
      </c>
      <c r="N1407" s="18">
        <f t="shared" si="368"/>
        <v>53</v>
      </c>
      <c r="O1407" s="18">
        <f>O1408</f>
        <v>0</v>
      </c>
      <c r="P1407" s="18">
        <f t="shared" si="369"/>
        <v>53</v>
      </c>
      <c r="Q1407" s="18">
        <f>Q1408</f>
        <v>0</v>
      </c>
      <c r="R1407" s="18">
        <f t="shared" si="370"/>
        <v>53</v>
      </c>
      <c r="S1407" s="18">
        <f>S1408</f>
        <v>0</v>
      </c>
      <c r="T1407" s="18">
        <f t="shared" si="381"/>
        <v>53</v>
      </c>
      <c r="U1407" s="18">
        <f>U1408</f>
        <v>0</v>
      </c>
      <c r="V1407" s="18">
        <f t="shared" si="382"/>
        <v>53</v>
      </c>
      <c r="W1407" s="18">
        <f>W1408</f>
        <v>0</v>
      </c>
      <c r="X1407" s="18">
        <f t="shared" si="383"/>
        <v>53</v>
      </c>
    </row>
    <row r="1408" spans="1:27" x14ac:dyDescent="0.25">
      <c r="A1408" s="13" t="s">
        <v>189</v>
      </c>
      <c r="B1408" s="24" t="s">
        <v>193</v>
      </c>
      <c r="C1408" s="24" t="s">
        <v>2</v>
      </c>
      <c r="D1408" s="18">
        <f>D1409</f>
        <v>53</v>
      </c>
      <c r="E1408" s="18">
        <f>E1409</f>
        <v>0</v>
      </c>
      <c r="F1408" s="18">
        <f t="shared" si="371"/>
        <v>53</v>
      </c>
      <c r="G1408" s="18">
        <f>G1409</f>
        <v>0</v>
      </c>
      <c r="H1408" s="18">
        <f t="shared" si="372"/>
        <v>53</v>
      </c>
      <c r="I1408" s="18">
        <f>I1409</f>
        <v>0</v>
      </c>
      <c r="J1408" s="18">
        <f t="shared" si="363"/>
        <v>53</v>
      </c>
      <c r="K1408" s="18">
        <f>K1409</f>
        <v>0</v>
      </c>
      <c r="L1408" s="18">
        <f t="shared" si="364"/>
        <v>53</v>
      </c>
      <c r="M1408" s="18">
        <f>M1409</f>
        <v>0</v>
      </c>
      <c r="N1408" s="18">
        <f t="shared" si="368"/>
        <v>53</v>
      </c>
      <c r="O1408" s="18">
        <f>O1409</f>
        <v>0</v>
      </c>
      <c r="P1408" s="18">
        <f t="shared" si="369"/>
        <v>53</v>
      </c>
      <c r="Q1408" s="18">
        <f>Q1409</f>
        <v>0</v>
      </c>
      <c r="R1408" s="18">
        <f t="shared" si="370"/>
        <v>53</v>
      </c>
      <c r="S1408" s="18">
        <f>S1409</f>
        <v>0</v>
      </c>
      <c r="T1408" s="18">
        <f t="shared" si="381"/>
        <v>53</v>
      </c>
      <c r="U1408" s="18">
        <f>U1409</f>
        <v>0</v>
      </c>
      <c r="V1408" s="18">
        <f t="shared" si="382"/>
        <v>53</v>
      </c>
      <c r="W1408" s="18">
        <f>W1409</f>
        <v>0</v>
      </c>
      <c r="X1408" s="18">
        <f t="shared" si="383"/>
        <v>53</v>
      </c>
    </row>
    <row r="1409" spans="1:27" x14ac:dyDescent="0.25">
      <c r="A1409" s="7" t="s">
        <v>54</v>
      </c>
      <c r="B1409" s="25" t="s">
        <v>193</v>
      </c>
      <c r="C1409" s="25" t="s">
        <v>34</v>
      </c>
      <c r="D1409" s="19">
        <v>53</v>
      </c>
      <c r="E1409" s="19"/>
      <c r="F1409" s="18">
        <f t="shared" si="371"/>
        <v>53</v>
      </c>
      <c r="G1409" s="19"/>
      <c r="H1409" s="18">
        <f t="shared" si="372"/>
        <v>53</v>
      </c>
      <c r="I1409" s="19"/>
      <c r="J1409" s="18">
        <f t="shared" si="363"/>
        <v>53</v>
      </c>
      <c r="K1409" s="19"/>
      <c r="L1409" s="18">
        <f t="shared" si="364"/>
        <v>53</v>
      </c>
      <c r="M1409" s="19"/>
      <c r="N1409" s="18">
        <f t="shared" si="368"/>
        <v>53</v>
      </c>
      <c r="O1409" s="19"/>
      <c r="P1409" s="18">
        <f t="shared" si="369"/>
        <v>53</v>
      </c>
      <c r="Q1409" s="19"/>
      <c r="R1409" s="18">
        <f t="shared" si="370"/>
        <v>53</v>
      </c>
      <c r="S1409" s="64"/>
      <c r="T1409" s="18">
        <f t="shared" si="381"/>
        <v>53</v>
      </c>
      <c r="U1409" s="64"/>
      <c r="V1409" s="18">
        <f t="shared" si="382"/>
        <v>53</v>
      </c>
      <c r="W1409" s="64"/>
      <c r="X1409" s="18">
        <f t="shared" si="383"/>
        <v>53</v>
      </c>
      <c r="Z1409" s="43">
        <f>X1409+Y1409</f>
        <v>53</v>
      </c>
      <c r="AA1409" s="43"/>
    </row>
    <row r="1410" spans="1:27" ht="36.75" x14ac:dyDescent="0.25">
      <c r="A1410" s="16" t="s">
        <v>495</v>
      </c>
      <c r="B1410" s="22" t="s">
        <v>352</v>
      </c>
      <c r="C1410" s="22" t="s">
        <v>2</v>
      </c>
      <c r="D1410" s="17">
        <f>D1411+D1415+D1420</f>
        <v>250</v>
      </c>
      <c r="E1410" s="17">
        <f>E1411+E1415+E1420</f>
        <v>0</v>
      </c>
      <c r="F1410" s="17">
        <f t="shared" si="371"/>
        <v>250</v>
      </c>
      <c r="G1410" s="17">
        <f>G1411+G1415+G1420</f>
        <v>0</v>
      </c>
      <c r="H1410" s="17">
        <f t="shared" si="372"/>
        <v>250</v>
      </c>
      <c r="I1410" s="17">
        <f>I1411+I1415+I1420</f>
        <v>0</v>
      </c>
      <c r="J1410" s="17">
        <f t="shared" si="363"/>
        <v>250</v>
      </c>
      <c r="K1410" s="17">
        <f>K1411+K1415+K1420</f>
        <v>0</v>
      </c>
      <c r="L1410" s="17">
        <f t="shared" si="364"/>
        <v>250</v>
      </c>
      <c r="M1410" s="17">
        <f>M1411+M1415+M1420</f>
        <v>0</v>
      </c>
      <c r="N1410" s="17">
        <f t="shared" si="368"/>
        <v>250</v>
      </c>
      <c r="O1410" s="17">
        <f>O1411+O1415+O1420</f>
        <v>0</v>
      </c>
      <c r="P1410" s="17">
        <f t="shared" si="369"/>
        <v>250</v>
      </c>
      <c r="Q1410" s="17">
        <f>Q1411+Q1415+Q1420</f>
        <v>0</v>
      </c>
      <c r="R1410" s="17">
        <f t="shared" si="370"/>
        <v>250</v>
      </c>
      <c r="S1410" s="17">
        <f>S1411+S1415+S1420</f>
        <v>0</v>
      </c>
      <c r="T1410" s="17">
        <f t="shared" si="381"/>
        <v>250</v>
      </c>
      <c r="U1410" s="17">
        <f>U1411+U1415+U1420</f>
        <v>0</v>
      </c>
      <c r="V1410" s="17">
        <f t="shared" si="382"/>
        <v>250</v>
      </c>
      <c r="W1410" s="17">
        <f>W1411+W1415+W1420</f>
        <v>0</v>
      </c>
      <c r="X1410" s="17">
        <f t="shared" si="383"/>
        <v>250</v>
      </c>
    </row>
    <row r="1411" spans="1:27" x14ac:dyDescent="0.25">
      <c r="A1411" s="13" t="s">
        <v>353</v>
      </c>
      <c r="B1411" s="24" t="s">
        <v>354</v>
      </c>
      <c r="C1411" s="24" t="s">
        <v>2</v>
      </c>
      <c r="D1411" s="18">
        <f>D1412</f>
        <v>130</v>
      </c>
      <c r="E1411" s="18">
        <f>E1412</f>
        <v>0</v>
      </c>
      <c r="F1411" s="18">
        <f t="shared" si="371"/>
        <v>130</v>
      </c>
      <c r="G1411" s="18">
        <f>G1412</f>
        <v>0</v>
      </c>
      <c r="H1411" s="18">
        <f t="shared" si="372"/>
        <v>130</v>
      </c>
      <c r="I1411" s="18">
        <f>I1412</f>
        <v>0</v>
      </c>
      <c r="J1411" s="18">
        <f t="shared" si="363"/>
        <v>130</v>
      </c>
      <c r="K1411" s="18">
        <f>K1412</f>
        <v>0</v>
      </c>
      <c r="L1411" s="18">
        <f t="shared" si="364"/>
        <v>130</v>
      </c>
      <c r="M1411" s="18">
        <f>M1412</f>
        <v>0</v>
      </c>
      <c r="N1411" s="18">
        <f t="shared" si="368"/>
        <v>130</v>
      </c>
      <c r="O1411" s="18">
        <f>O1412</f>
        <v>0</v>
      </c>
      <c r="P1411" s="18">
        <f t="shared" si="369"/>
        <v>130</v>
      </c>
      <c r="Q1411" s="18">
        <f>Q1412</f>
        <v>0</v>
      </c>
      <c r="R1411" s="18">
        <f t="shared" si="370"/>
        <v>130</v>
      </c>
      <c r="S1411" s="18">
        <f>S1412</f>
        <v>0</v>
      </c>
      <c r="T1411" s="18">
        <f t="shared" si="381"/>
        <v>130</v>
      </c>
      <c r="U1411" s="18">
        <f>U1412</f>
        <v>0</v>
      </c>
      <c r="V1411" s="18">
        <f t="shared" si="382"/>
        <v>130</v>
      </c>
      <c r="W1411" s="18">
        <f>W1412</f>
        <v>0</v>
      </c>
      <c r="X1411" s="18">
        <f t="shared" si="383"/>
        <v>130</v>
      </c>
    </row>
    <row r="1412" spans="1:27" ht="24.75" x14ac:dyDescent="0.25">
      <c r="A1412" s="13" t="s">
        <v>355</v>
      </c>
      <c r="B1412" s="24" t="s">
        <v>356</v>
      </c>
      <c r="C1412" s="24" t="s">
        <v>2</v>
      </c>
      <c r="D1412" s="18">
        <f>D1413+D1414</f>
        <v>130</v>
      </c>
      <c r="E1412" s="18">
        <f>E1413+E1414</f>
        <v>0</v>
      </c>
      <c r="F1412" s="18">
        <f t="shared" si="371"/>
        <v>130</v>
      </c>
      <c r="G1412" s="18">
        <f>G1413+G1414</f>
        <v>0</v>
      </c>
      <c r="H1412" s="18">
        <f t="shared" si="372"/>
        <v>130</v>
      </c>
      <c r="I1412" s="18">
        <f>I1413+I1414</f>
        <v>0</v>
      </c>
      <c r="J1412" s="18">
        <f t="shared" si="363"/>
        <v>130</v>
      </c>
      <c r="K1412" s="18">
        <f>K1413+K1414</f>
        <v>0</v>
      </c>
      <c r="L1412" s="18">
        <f t="shared" si="364"/>
        <v>130</v>
      </c>
      <c r="M1412" s="18">
        <f>M1413+M1414</f>
        <v>0</v>
      </c>
      <c r="N1412" s="18">
        <f t="shared" si="368"/>
        <v>130</v>
      </c>
      <c r="O1412" s="18">
        <f>O1413+O1414</f>
        <v>0</v>
      </c>
      <c r="P1412" s="18">
        <f t="shared" si="369"/>
        <v>130</v>
      </c>
      <c r="Q1412" s="18">
        <f>Q1413+Q1414</f>
        <v>0</v>
      </c>
      <c r="R1412" s="18">
        <f t="shared" si="370"/>
        <v>130</v>
      </c>
      <c r="S1412" s="18">
        <f>S1413+S1414</f>
        <v>0</v>
      </c>
      <c r="T1412" s="18">
        <f t="shared" si="381"/>
        <v>130</v>
      </c>
      <c r="U1412" s="18">
        <f>U1413+U1414</f>
        <v>0</v>
      </c>
      <c r="V1412" s="18">
        <f t="shared" si="382"/>
        <v>130</v>
      </c>
      <c r="W1412" s="18">
        <f>W1413+W1414</f>
        <v>0</v>
      </c>
      <c r="X1412" s="18">
        <f t="shared" si="383"/>
        <v>130</v>
      </c>
    </row>
    <row r="1413" spans="1:27" x14ac:dyDescent="0.25">
      <c r="A1413" s="7" t="s">
        <v>54</v>
      </c>
      <c r="B1413" s="25" t="s">
        <v>356</v>
      </c>
      <c r="C1413" s="25" t="s">
        <v>34</v>
      </c>
      <c r="D1413" s="19">
        <v>125</v>
      </c>
      <c r="E1413" s="19"/>
      <c r="F1413" s="18">
        <f t="shared" si="371"/>
        <v>125</v>
      </c>
      <c r="G1413" s="19"/>
      <c r="H1413" s="18">
        <f t="shared" si="372"/>
        <v>125</v>
      </c>
      <c r="I1413" s="19"/>
      <c r="J1413" s="18">
        <f t="shared" ref="J1413:J1471" si="385">H1413+I1413</f>
        <v>125</v>
      </c>
      <c r="K1413" s="19"/>
      <c r="L1413" s="18">
        <f t="shared" ref="L1413:L1471" si="386">J1413+K1413</f>
        <v>125</v>
      </c>
      <c r="M1413" s="19"/>
      <c r="N1413" s="18">
        <f t="shared" si="368"/>
        <v>125</v>
      </c>
      <c r="O1413" s="19"/>
      <c r="P1413" s="18">
        <f t="shared" si="369"/>
        <v>125</v>
      </c>
      <c r="Q1413" s="19"/>
      <c r="R1413" s="18">
        <f t="shared" si="370"/>
        <v>125</v>
      </c>
      <c r="S1413" s="64"/>
      <c r="T1413" s="18">
        <f t="shared" si="381"/>
        <v>125</v>
      </c>
      <c r="U1413" s="64"/>
      <c r="V1413" s="18">
        <f t="shared" si="382"/>
        <v>125</v>
      </c>
      <c r="W1413" s="64"/>
      <c r="X1413" s="18">
        <f t="shared" si="383"/>
        <v>125</v>
      </c>
      <c r="Z1413" s="43">
        <f t="shared" ref="Z1413:Z1414" si="387">X1413+Y1413</f>
        <v>125</v>
      </c>
      <c r="AA1413" s="43"/>
    </row>
    <row r="1414" spans="1:27" x14ac:dyDescent="0.25">
      <c r="A1414" s="9" t="s">
        <v>511</v>
      </c>
      <c r="B1414" s="25" t="s">
        <v>356</v>
      </c>
      <c r="C1414" s="25" t="s">
        <v>66</v>
      </c>
      <c r="D1414" s="19">
        <v>5</v>
      </c>
      <c r="E1414" s="19"/>
      <c r="F1414" s="18">
        <f t="shared" si="371"/>
        <v>5</v>
      </c>
      <c r="G1414" s="19"/>
      <c r="H1414" s="18">
        <f t="shared" si="372"/>
        <v>5</v>
      </c>
      <c r="I1414" s="19"/>
      <c r="J1414" s="18">
        <f t="shared" si="385"/>
        <v>5</v>
      </c>
      <c r="K1414" s="19"/>
      <c r="L1414" s="18">
        <f t="shared" si="386"/>
        <v>5</v>
      </c>
      <c r="M1414" s="19"/>
      <c r="N1414" s="18">
        <f t="shared" si="368"/>
        <v>5</v>
      </c>
      <c r="O1414" s="19"/>
      <c r="P1414" s="18">
        <f t="shared" si="369"/>
        <v>5</v>
      </c>
      <c r="Q1414" s="19"/>
      <c r="R1414" s="18">
        <f t="shared" si="370"/>
        <v>5</v>
      </c>
      <c r="S1414" s="64"/>
      <c r="T1414" s="18">
        <f t="shared" si="381"/>
        <v>5</v>
      </c>
      <c r="U1414" s="64"/>
      <c r="V1414" s="18">
        <f t="shared" si="382"/>
        <v>5</v>
      </c>
      <c r="W1414" s="64"/>
      <c r="X1414" s="18">
        <f t="shared" si="383"/>
        <v>5</v>
      </c>
      <c r="Z1414" s="43">
        <f t="shared" si="387"/>
        <v>5</v>
      </c>
      <c r="AA1414" s="43"/>
    </row>
    <row r="1415" spans="1:27" ht="24.75" x14ac:dyDescent="0.25">
      <c r="A1415" s="13" t="s">
        <v>357</v>
      </c>
      <c r="B1415" s="24" t="s">
        <v>358</v>
      </c>
      <c r="C1415" s="24" t="s">
        <v>2</v>
      </c>
      <c r="D1415" s="18">
        <f>D1416+D1418</f>
        <v>105</v>
      </c>
      <c r="E1415" s="18">
        <f>E1416+E1418</f>
        <v>0</v>
      </c>
      <c r="F1415" s="18">
        <f t="shared" si="371"/>
        <v>105</v>
      </c>
      <c r="G1415" s="18">
        <f>G1416+G1418</f>
        <v>0</v>
      </c>
      <c r="H1415" s="18">
        <f t="shared" si="372"/>
        <v>105</v>
      </c>
      <c r="I1415" s="18">
        <f>I1416+I1418</f>
        <v>0</v>
      </c>
      <c r="J1415" s="18">
        <f t="shared" si="385"/>
        <v>105</v>
      </c>
      <c r="K1415" s="18">
        <f>K1416+K1418</f>
        <v>0</v>
      </c>
      <c r="L1415" s="18">
        <f t="shared" si="386"/>
        <v>105</v>
      </c>
      <c r="M1415" s="18">
        <f>M1416+M1418</f>
        <v>0</v>
      </c>
      <c r="N1415" s="18">
        <f t="shared" si="368"/>
        <v>105</v>
      </c>
      <c r="O1415" s="18">
        <f>O1416+O1418</f>
        <v>0</v>
      </c>
      <c r="P1415" s="18">
        <f t="shared" si="369"/>
        <v>105</v>
      </c>
      <c r="Q1415" s="18">
        <f>Q1416+Q1418</f>
        <v>0</v>
      </c>
      <c r="R1415" s="18">
        <f t="shared" si="370"/>
        <v>105</v>
      </c>
      <c r="S1415" s="18">
        <f>S1416+S1418</f>
        <v>0</v>
      </c>
      <c r="T1415" s="18">
        <f t="shared" si="381"/>
        <v>105</v>
      </c>
      <c r="U1415" s="18">
        <f>U1416+U1418</f>
        <v>0</v>
      </c>
      <c r="V1415" s="18">
        <f t="shared" si="382"/>
        <v>105</v>
      </c>
      <c r="W1415" s="18">
        <f>W1416+W1418</f>
        <v>0</v>
      </c>
      <c r="X1415" s="18">
        <f t="shared" si="383"/>
        <v>105</v>
      </c>
    </row>
    <row r="1416" spans="1:27" ht="24.75" x14ac:dyDescent="0.25">
      <c r="A1416" s="13" t="s">
        <v>355</v>
      </c>
      <c r="B1416" s="24" t="s">
        <v>359</v>
      </c>
      <c r="C1416" s="24" t="s">
        <v>2</v>
      </c>
      <c r="D1416" s="18">
        <f>D1417</f>
        <v>30</v>
      </c>
      <c r="E1416" s="18">
        <f>E1417</f>
        <v>0</v>
      </c>
      <c r="F1416" s="18">
        <f t="shared" si="371"/>
        <v>30</v>
      </c>
      <c r="G1416" s="18">
        <f>G1417</f>
        <v>0</v>
      </c>
      <c r="H1416" s="18">
        <f t="shared" si="372"/>
        <v>30</v>
      </c>
      <c r="I1416" s="18">
        <f>I1417</f>
        <v>0</v>
      </c>
      <c r="J1416" s="18">
        <f t="shared" si="385"/>
        <v>30</v>
      </c>
      <c r="K1416" s="18">
        <f>K1417</f>
        <v>0</v>
      </c>
      <c r="L1416" s="18">
        <f t="shared" si="386"/>
        <v>30</v>
      </c>
      <c r="M1416" s="18">
        <f>M1417</f>
        <v>0</v>
      </c>
      <c r="N1416" s="18">
        <f t="shared" ref="N1416:N1463" si="388">L1416+M1416</f>
        <v>30</v>
      </c>
      <c r="O1416" s="18">
        <f>O1417</f>
        <v>0</v>
      </c>
      <c r="P1416" s="18">
        <f t="shared" ref="P1416:P1463" si="389">N1416+O1416</f>
        <v>30</v>
      </c>
      <c r="Q1416" s="18">
        <f>Q1417</f>
        <v>0</v>
      </c>
      <c r="R1416" s="18">
        <f t="shared" ref="R1416:R1463" si="390">P1416+Q1416</f>
        <v>30</v>
      </c>
      <c r="S1416" s="18">
        <f>S1417</f>
        <v>0</v>
      </c>
      <c r="T1416" s="18">
        <f t="shared" si="381"/>
        <v>30</v>
      </c>
      <c r="U1416" s="18">
        <f>U1417</f>
        <v>0</v>
      </c>
      <c r="V1416" s="18">
        <f t="shared" si="382"/>
        <v>30</v>
      </c>
      <c r="W1416" s="18">
        <f>W1417</f>
        <v>0</v>
      </c>
      <c r="X1416" s="18">
        <f t="shared" si="383"/>
        <v>30</v>
      </c>
    </row>
    <row r="1417" spans="1:27" x14ac:dyDescent="0.25">
      <c r="A1417" s="7" t="s">
        <v>54</v>
      </c>
      <c r="B1417" s="25" t="s">
        <v>359</v>
      </c>
      <c r="C1417" s="25" t="s">
        <v>34</v>
      </c>
      <c r="D1417" s="19">
        <v>30</v>
      </c>
      <c r="E1417" s="19"/>
      <c r="F1417" s="18">
        <f t="shared" si="371"/>
        <v>30</v>
      </c>
      <c r="G1417" s="19"/>
      <c r="H1417" s="18">
        <f t="shared" si="372"/>
        <v>30</v>
      </c>
      <c r="I1417" s="19"/>
      <c r="J1417" s="18">
        <f t="shared" si="385"/>
        <v>30</v>
      </c>
      <c r="K1417" s="19"/>
      <c r="L1417" s="18">
        <f t="shared" si="386"/>
        <v>30</v>
      </c>
      <c r="M1417" s="19"/>
      <c r="N1417" s="18">
        <f t="shared" si="388"/>
        <v>30</v>
      </c>
      <c r="O1417" s="19"/>
      <c r="P1417" s="18">
        <f t="shared" si="389"/>
        <v>30</v>
      </c>
      <c r="Q1417" s="19"/>
      <c r="R1417" s="18">
        <f t="shared" si="390"/>
        <v>30</v>
      </c>
      <c r="S1417" s="64"/>
      <c r="T1417" s="18">
        <f t="shared" si="381"/>
        <v>30</v>
      </c>
      <c r="U1417" s="64"/>
      <c r="V1417" s="18">
        <f t="shared" si="382"/>
        <v>30</v>
      </c>
      <c r="W1417" s="64"/>
      <c r="X1417" s="18">
        <f t="shared" si="383"/>
        <v>30</v>
      </c>
      <c r="Z1417" s="43">
        <f>X1417+Y1417</f>
        <v>30</v>
      </c>
      <c r="AA1417" s="43"/>
    </row>
    <row r="1418" spans="1:27" ht="24.75" x14ac:dyDescent="0.25">
      <c r="A1418" s="13" t="s">
        <v>401</v>
      </c>
      <c r="B1418" s="24" t="s">
        <v>402</v>
      </c>
      <c r="C1418" s="24" t="s">
        <v>2</v>
      </c>
      <c r="D1418" s="18">
        <f>D1419</f>
        <v>75</v>
      </c>
      <c r="E1418" s="18">
        <f>E1419</f>
        <v>0</v>
      </c>
      <c r="F1418" s="18">
        <f t="shared" si="371"/>
        <v>75</v>
      </c>
      <c r="G1418" s="18">
        <f>G1419</f>
        <v>0</v>
      </c>
      <c r="H1418" s="18">
        <f t="shared" si="372"/>
        <v>75</v>
      </c>
      <c r="I1418" s="18">
        <f>I1419</f>
        <v>0</v>
      </c>
      <c r="J1418" s="18">
        <f t="shared" si="385"/>
        <v>75</v>
      </c>
      <c r="K1418" s="18">
        <f>K1419</f>
        <v>0</v>
      </c>
      <c r="L1418" s="18">
        <f t="shared" si="386"/>
        <v>75</v>
      </c>
      <c r="M1418" s="18">
        <f>M1419</f>
        <v>0</v>
      </c>
      <c r="N1418" s="18">
        <f t="shared" si="388"/>
        <v>75</v>
      </c>
      <c r="O1418" s="18">
        <f>O1419</f>
        <v>0</v>
      </c>
      <c r="P1418" s="18">
        <f t="shared" si="389"/>
        <v>75</v>
      </c>
      <c r="Q1418" s="18">
        <f>Q1419</f>
        <v>0</v>
      </c>
      <c r="R1418" s="18">
        <f t="shared" si="390"/>
        <v>75</v>
      </c>
      <c r="S1418" s="18">
        <f>S1419</f>
        <v>0</v>
      </c>
      <c r="T1418" s="18">
        <f t="shared" si="381"/>
        <v>75</v>
      </c>
      <c r="U1418" s="18">
        <f>U1419</f>
        <v>0</v>
      </c>
      <c r="V1418" s="18">
        <f t="shared" si="382"/>
        <v>75</v>
      </c>
      <c r="W1418" s="18">
        <f>W1419</f>
        <v>0</v>
      </c>
      <c r="X1418" s="18">
        <f t="shared" si="383"/>
        <v>75</v>
      </c>
    </row>
    <row r="1419" spans="1:27" x14ac:dyDescent="0.25">
      <c r="A1419" s="9" t="s">
        <v>511</v>
      </c>
      <c r="B1419" s="25" t="s">
        <v>402</v>
      </c>
      <c r="C1419" s="25" t="s">
        <v>66</v>
      </c>
      <c r="D1419" s="19">
        <v>75</v>
      </c>
      <c r="E1419" s="19"/>
      <c r="F1419" s="18">
        <f t="shared" ref="F1419:F1471" si="391">D1419+E1419</f>
        <v>75</v>
      </c>
      <c r="G1419" s="19"/>
      <c r="H1419" s="18">
        <f t="shared" ref="H1419:H1471" si="392">F1419+G1419</f>
        <v>75</v>
      </c>
      <c r="I1419" s="19"/>
      <c r="J1419" s="18">
        <f t="shared" si="385"/>
        <v>75</v>
      </c>
      <c r="K1419" s="19"/>
      <c r="L1419" s="18">
        <f t="shared" si="386"/>
        <v>75</v>
      </c>
      <c r="M1419" s="19"/>
      <c r="N1419" s="18">
        <f t="shared" si="388"/>
        <v>75</v>
      </c>
      <c r="O1419" s="19"/>
      <c r="P1419" s="18">
        <f t="shared" si="389"/>
        <v>75</v>
      </c>
      <c r="Q1419" s="19"/>
      <c r="R1419" s="18">
        <f t="shared" si="390"/>
        <v>75</v>
      </c>
      <c r="S1419" s="64"/>
      <c r="T1419" s="18">
        <f t="shared" si="381"/>
        <v>75</v>
      </c>
      <c r="U1419" s="64"/>
      <c r="V1419" s="18">
        <f t="shared" si="382"/>
        <v>75</v>
      </c>
      <c r="W1419" s="64"/>
      <c r="X1419" s="18">
        <f t="shared" si="383"/>
        <v>75</v>
      </c>
      <c r="Z1419" s="43">
        <f>X1419+Y1419</f>
        <v>75</v>
      </c>
      <c r="AA1419" s="43"/>
    </row>
    <row r="1420" spans="1:27" x14ac:dyDescent="0.25">
      <c r="A1420" s="13" t="s">
        <v>411</v>
      </c>
      <c r="B1420" s="24" t="s">
        <v>412</v>
      </c>
      <c r="C1420" s="24" t="s">
        <v>2</v>
      </c>
      <c r="D1420" s="18">
        <f>D1421</f>
        <v>15</v>
      </c>
      <c r="E1420" s="18">
        <f>E1421</f>
        <v>0</v>
      </c>
      <c r="F1420" s="18">
        <f t="shared" si="391"/>
        <v>15</v>
      </c>
      <c r="G1420" s="18">
        <f>G1421</f>
        <v>0</v>
      </c>
      <c r="H1420" s="18">
        <f t="shared" si="392"/>
        <v>15</v>
      </c>
      <c r="I1420" s="18">
        <f>I1421</f>
        <v>0</v>
      </c>
      <c r="J1420" s="18">
        <f t="shared" si="385"/>
        <v>15</v>
      </c>
      <c r="K1420" s="18">
        <f>K1421</f>
        <v>0</v>
      </c>
      <c r="L1420" s="18">
        <f t="shared" si="386"/>
        <v>15</v>
      </c>
      <c r="M1420" s="18">
        <f>M1421</f>
        <v>0</v>
      </c>
      <c r="N1420" s="18">
        <f t="shared" si="388"/>
        <v>15</v>
      </c>
      <c r="O1420" s="18">
        <f>O1421</f>
        <v>0</v>
      </c>
      <c r="P1420" s="18">
        <f t="shared" si="389"/>
        <v>15</v>
      </c>
      <c r="Q1420" s="18">
        <f>Q1421</f>
        <v>0</v>
      </c>
      <c r="R1420" s="18">
        <f t="shared" si="390"/>
        <v>15</v>
      </c>
      <c r="S1420" s="18">
        <f>S1421</f>
        <v>0</v>
      </c>
      <c r="T1420" s="18">
        <f t="shared" si="381"/>
        <v>15</v>
      </c>
      <c r="U1420" s="18">
        <f>U1421</f>
        <v>0</v>
      </c>
      <c r="V1420" s="18">
        <f t="shared" si="382"/>
        <v>15</v>
      </c>
      <c r="W1420" s="18">
        <f>W1421</f>
        <v>0</v>
      </c>
      <c r="X1420" s="18">
        <f t="shared" si="383"/>
        <v>15</v>
      </c>
    </row>
    <row r="1421" spans="1:27" ht="24.75" x14ac:dyDescent="0.25">
      <c r="A1421" s="13" t="s">
        <v>355</v>
      </c>
      <c r="B1421" s="24" t="s">
        <v>413</v>
      </c>
      <c r="C1421" s="24" t="s">
        <v>2</v>
      </c>
      <c r="D1421" s="18">
        <f>D1422</f>
        <v>15</v>
      </c>
      <c r="E1421" s="18">
        <f>E1422</f>
        <v>0</v>
      </c>
      <c r="F1421" s="18">
        <f t="shared" si="391"/>
        <v>15</v>
      </c>
      <c r="G1421" s="18">
        <f>G1422</f>
        <v>0</v>
      </c>
      <c r="H1421" s="18">
        <f t="shared" si="392"/>
        <v>15</v>
      </c>
      <c r="I1421" s="18">
        <f>I1422</f>
        <v>0</v>
      </c>
      <c r="J1421" s="18">
        <f t="shared" si="385"/>
        <v>15</v>
      </c>
      <c r="K1421" s="18">
        <f>K1422</f>
        <v>0</v>
      </c>
      <c r="L1421" s="18">
        <f t="shared" si="386"/>
        <v>15</v>
      </c>
      <c r="M1421" s="18">
        <f>M1422</f>
        <v>0</v>
      </c>
      <c r="N1421" s="18">
        <f t="shared" si="388"/>
        <v>15</v>
      </c>
      <c r="O1421" s="18">
        <f>O1422</f>
        <v>0</v>
      </c>
      <c r="P1421" s="18">
        <f t="shared" si="389"/>
        <v>15</v>
      </c>
      <c r="Q1421" s="18">
        <f>Q1422</f>
        <v>0</v>
      </c>
      <c r="R1421" s="18">
        <f t="shared" si="390"/>
        <v>15</v>
      </c>
      <c r="S1421" s="18">
        <f>S1422</f>
        <v>0</v>
      </c>
      <c r="T1421" s="18">
        <f t="shared" si="381"/>
        <v>15</v>
      </c>
      <c r="U1421" s="18">
        <f>U1422+U1423</f>
        <v>0</v>
      </c>
      <c r="V1421" s="18">
        <f t="shared" si="382"/>
        <v>15</v>
      </c>
      <c r="W1421" s="18">
        <f>W1422+W1423</f>
        <v>0</v>
      </c>
      <c r="X1421" s="18">
        <f t="shared" si="383"/>
        <v>15</v>
      </c>
    </row>
    <row r="1422" spans="1:27" x14ac:dyDescent="0.25">
      <c r="A1422" s="7" t="s">
        <v>54</v>
      </c>
      <c r="B1422" s="25" t="s">
        <v>413</v>
      </c>
      <c r="C1422" s="25" t="s">
        <v>34</v>
      </c>
      <c r="D1422" s="19">
        <v>15</v>
      </c>
      <c r="E1422" s="19"/>
      <c r="F1422" s="18">
        <f t="shared" si="391"/>
        <v>15</v>
      </c>
      <c r="G1422" s="19"/>
      <c r="H1422" s="18">
        <f t="shared" si="392"/>
        <v>15</v>
      </c>
      <c r="I1422" s="19"/>
      <c r="J1422" s="18">
        <f t="shared" si="385"/>
        <v>15</v>
      </c>
      <c r="K1422" s="19"/>
      <c r="L1422" s="18">
        <f t="shared" si="386"/>
        <v>15</v>
      </c>
      <c r="M1422" s="19"/>
      <c r="N1422" s="18">
        <f t="shared" si="388"/>
        <v>15</v>
      </c>
      <c r="O1422" s="19"/>
      <c r="P1422" s="18">
        <f t="shared" si="389"/>
        <v>15</v>
      </c>
      <c r="Q1422" s="19"/>
      <c r="R1422" s="18">
        <f t="shared" si="390"/>
        <v>15</v>
      </c>
      <c r="S1422" s="64"/>
      <c r="T1422" s="18">
        <f t="shared" si="381"/>
        <v>15</v>
      </c>
      <c r="U1422" s="64"/>
      <c r="V1422" s="18">
        <f t="shared" si="382"/>
        <v>15</v>
      </c>
      <c r="W1422" s="64"/>
      <c r="X1422" s="18">
        <f t="shared" si="383"/>
        <v>15</v>
      </c>
      <c r="Z1422" s="43">
        <f t="shared" ref="Z1422:Z1423" si="393">X1422+Y1422</f>
        <v>15</v>
      </c>
      <c r="AA1422" s="43"/>
    </row>
    <row r="1423" spans="1:27" hidden="1" x14ac:dyDescent="0.25">
      <c r="A1423" s="9" t="s">
        <v>511</v>
      </c>
      <c r="B1423" s="25" t="s">
        <v>413</v>
      </c>
      <c r="C1423" s="25" t="s">
        <v>66</v>
      </c>
      <c r="D1423" s="19"/>
      <c r="E1423" s="19"/>
      <c r="F1423" s="18"/>
      <c r="G1423" s="19"/>
      <c r="H1423" s="18"/>
      <c r="I1423" s="19"/>
      <c r="J1423" s="18"/>
      <c r="K1423" s="19"/>
      <c r="L1423" s="18"/>
      <c r="M1423" s="19"/>
      <c r="N1423" s="18"/>
      <c r="O1423" s="19"/>
      <c r="P1423" s="18"/>
      <c r="Q1423" s="19"/>
      <c r="R1423" s="18"/>
      <c r="S1423" s="64"/>
      <c r="T1423" s="18"/>
      <c r="U1423" s="64"/>
      <c r="V1423" s="18">
        <f t="shared" si="382"/>
        <v>0</v>
      </c>
      <c r="W1423" s="64"/>
      <c r="X1423" s="18">
        <f t="shared" si="383"/>
        <v>0</v>
      </c>
      <c r="Z1423" s="43">
        <f t="shared" si="393"/>
        <v>0</v>
      </c>
      <c r="AA1423" s="43"/>
    </row>
    <row r="1424" spans="1:27" ht="36.75" x14ac:dyDescent="0.25">
      <c r="A1424" s="16" t="s">
        <v>527</v>
      </c>
      <c r="B1424" s="22" t="s">
        <v>120</v>
      </c>
      <c r="C1424" s="22" t="s">
        <v>2</v>
      </c>
      <c r="D1424" s="17">
        <f>D1425+D1428</f>
        <v>5</v>
      </c>
      <c r="E1424" s="17">
        <f>E1425+E1428</f>
        <v>0</v>
      </c>
      <c r="F1424" s="17">
        <f t="shared" si="391"/>
        <v>5</v>
      </c>
      <c r="G1424" s="17">
        <f>G1425+G1428</f>
        <v>0</v>
      </c>
      <c r="H1424" s="17">
        <f t="shared" si="392"/>
        <v>5</v>
      </c>
      <c r="I1424" s="17">
        <f>I1425+I1428</f>
        <v>0</v>
      </c>
      <c r="J1424" s="17">
        <f t="shared" si="385"/>
        <v>5</v>
      </c>
      <c r="K1424" s="17">
        <f>K1425+K1428</f>
        <v>0</v>
      </c>
      <c r="L1424" s="17">
        <f t="shared" si="386"/>
        <v>5</v>
      </c>
      <c r="M1424" s="17">
        <f>M1425+M1428</f>
        <v>0</v>
      </c>
      <c r="N1424" s="17">
        <f t="shared" si="388"/>
        <v>5</v>
      </c>
      <c r="O1424" s="17">
        <f>O1425+O1428</f>
        <v>0</v>
      </c>
      <c r="P1424" s="17">
        <f t="shared" si="389"/>
        <v>5</v>
      </c>
      <c r="Q1424" s="17">
        <f>Q1425+Q1428</f>
        <v>0</v>
      </c>
      <c r="R1424" s="17">
        <f t="shared" si="390"/>
        <v>5</v>
      </c>
      <c r="S1424" s="17">
        <f>S1425+S1428</f>
        <v>0</v>
      </c>
      <c r="T1424" s="17">
        <f t="shared" si="381"/>
        <v>5</v>
      </c>
      <c r="U1424" s="17">
        <f>U1425+U1428</f>
        <v>0</v>
      </c>
      <c r="V1424" s="17">
        <f t="shared" si="382"/>
        <v>5</v>
      </c>
      <c r="W1424" s="17">
        <f>W1425+W1428</f>
        <v>0</v>
      </c>
      <c r="X1424" s="17">
        <f t="shared" si="383"/>
        <v>5</v>
      </c>
    </row>
    <row r="1425" spans="1:27" ht="24.75" x14ac:dyDescent="0.25">
      <c r="A1425" s="13" t="s">
        <v>121</v>
      </c>
      <c r="B1425" s="24" t="s">
        <v>122</v>
      </c>
      <c r="C1425" s="24" t="s">
        <v>2</v>
      </c>
      <c r="D1425" s="18">
        <f>D1426</f>
        <v>2</v>
      </c>
      <c r="E1425" s="18">
        <f>E1426</f>
        <v>0</v>
      </c>
      <c r="F1425" s="18">
        <f t="shared" si="391"/>
        <v>2</v>
      </c>
      <c r="G1425" s="18">
        <f>G1426</f>
        <v>0</v>
      </c>
      <c r="H1425" s="18">
        <f t="shared" si="392"/>
        <v>2</v>
      </c>
      <c r="I1425" s="18">
        <f>I1426</f>
        <v>0</v>
      </c>
      <c r="J1425" s="18">
        <f t="shared" si="385"/>
        <v>2</v>
      </c>
      <c r="K1425" s="18">
        <f>K1426</f>
        <v>0</v>
      </c>
      <c r="L1425" s="18">
        <f t="shared" si="386"/>
        <v>2</v>
      </c>
      <c r="M1425" s="18">
        <f>M1426</f>
        <v>0</v>
      </c>
      <c r="N1425" s="18">
        <f t="shared" si="388"/>
        <v>2</v>
      </c>
      <c r="O1425" s="18">
        <f>O1426</f>
        <v>0</v>
      </c>
      <c r="P1425" s="18">
        <f t="shared" si="389"/>
        <v>2</v>
      </c>
      <c r="Q1425" s="18">
        <f>Q1426</f>
        <v>0</v>
      </c>
      <c r="R1425" s="18">
        <f t="shared" si="390"/>
        <v>2</v>
      </c>
      <c r="S1425" s="18">
        <f>S1426</f>
        <v>0</v>
      </c>
      <c r="T1425" s="18">
        <f t="shared" si="381"/>
        <v>2</v>
      </c>
      <c r="U1425" s="18">
        <f>U1426</f>
        <v>0</v>
      </c>
      <c r="V1425" s="18">
        <f t="shared" si="382"/>
        <v>2</v>
      </c>
      <c r="W1425" s="18">
        <f>W1426</f>
        <v>0</v>
      </c>
      <c r="X1425" s="18">
        <f t="shared" si="383"/>
        <v>2</v>
      </c>
    </row>
    <row r="1426" spans="1:27" ht="24.75" x14ac:dyDescent="0.25">
      <c r="A1426" s="13" t="s">
        <v>118</v>
      </c>
      <c r="B1426" s="24" t="s">
        <v>123</v>
      </c>
      <c r="C1426" s="24" t="s">
        <v>2</v>
      </c>
      <c r="D1426" s="18">
        <f>D1427</f>
        <v>2</v>
      </c>
      <c r="E1426" s="18">
        <f>E1427</f>
        <v>0</v>
      </c>
      <c r="F1426" s="18">
        <f t="shared" si="391"/>
        <v>2</v>
      </c>
      <c r="G1426" s="18">
        <f>G1427</f>
        <v>0</v>
      </c>
      <c r="H1426" s="18">
        <f t="shared" si="392"/>
        <v>2</v>
      </c>
      <c r="I1426" s="18">
        <f>I1427</f>
        <v>0</v>
      </c>
      <c r="J1426" s="18">
        <f t="shared" si="385"/>
        <v>2</v>
      </c>
      <c r="K1426" s="18">
        <f>K1427</f>
        <v>0</v>
      </c>
      <c r="L1426" s="18">
        <f t="shared" si="386"/>
        <v>2</v>
      </c>
      <c r="M1426" s="18">
        <f>M1427</f>
        <v>0</v>
      </c>
      <c r="N1426" s="18">
        <f t="shared" si="388"/>
        <v>2</v>
      </c>
      <c r="O1426" s="18">
        <f>O1427</f>
        <v>0</v>
      </c>
      <c r="P1426" s="18">
        <f t="shared" si="389"/>
        <v>2</v>
      </c>
      <c r="Q1426" s="18">
        <f>Q1427</f>
        <v>0</v>
      </c>
      <c r="R1426" s="18">
        <f t="shared" si="390"/>
        <v>2</v>
      </c>
      <c r="S1426" s="18">
        <f>S1427</f>
        <v>0</v>
      </c>
      <c r="T1426" s="18">
        <f t="shared" si="381"/>
        <v>2</v>
      </c>
      <c r="U1426" s="18">
        <f>U1427</f>
        <v>0</v>
      </c>
      <c r="V1426" s="18">
        <f t="shared" si="382"/>
        <v>2</v>
      </c>
      <c r="W1426" s="18">
        <f>W1427</f>
        <v>0</v>
      </c>
      <c r="X1426" s="18">
        <f t="shared" si="383"/>
        <v>2</v>
      </c>
    </row>
    <row r="1427" spans="1:27" x14ac:dyDescent="0.25">
      <c r="A1427" s="7" t="s">
        <v>54</v>
      </c>
      <c r="B1427" s="25" t="s">
        <v>123</v>
      </c>
      <c r="C1427" s="25" t="s">
        <v>34</v>
      </c>
      <c r="D1427" s="19">
        <v>2</v>
      </c>
      <c r="E1427" s="19"/>
      <c r="F1427" s="18">
        <f t="shared" si="391"/>
        <v>2</v>
      </c>
      <c r="G1427" s="19"/>
      <c r="H1427" s="18">
        <f t="shared" si="392"/>
        <v>2</v>
      </c>
      <c r="I1427" s="19"/>
      <c r="J1427" s="18">
        <f t="shared" si="385"/>
        <v>2</v>
      </c>
      <c r="K1427" s="19"/>
      <c r="L1427" s="18">
        <f t="shared" si="386"/>
        <v>2</v>
      </c>
      <c r="M1427" s="19"/>
      <c r="N1427" s="18">
        <f t="shared" si="388"/>
        <v>2</v>
      </c>
      <c r="O1427" s="19"/>
      <c r="P1427" s="18">
        <f t="shared" si="389"/>
        <v>2</v>
      </c>
      <c r="Q1427" s="19"/>
      <c r="R1427" s="18">
        <f t="shared" si="390"/>
        <v>2</v>
      </c>
      <c r="S1427" s="64"/>
      <c r="T1427" s="18">
        <f t="shared" si="381"/>
        <v>2</v>
      </c>
      <c r="U1427" s="64"/>
      <c r="V1427" s="18">
        <f t="shared" si="382"/>
        <v>2</v>
      </c>
      <c r="W1427" s="64"/>
      <c r="X1427" s="18">
        <f t="shared" si="383"/>
        <v>2</v>
      </c>
      <c r="Z1427" s="43">
        <f>X1427+Y1427</f>
        <v>2</v>
      </c>
      <c r="AA1427" s="43"/>
    </row>
    <row r="1428" spans="1:27" x14ac:dyDescent="0.25">
      <c r="A1428" s="13" t="s">
        <v>403</v>
      </c>
      <c r="B1428" s="24" t="s">
        <v>404</v>
      </c>
      <c r="C1428" s="24" t="s">
        <v>2</v>
      </c>
      <c r="D1428" s="18">
        <f>D1429</f>
        <v>3</v>
      </c>
      <c r="E1428" s="18">
        <f>E1429</f>
        <v>0</v>
      </c>
      <c r="F1428" s="18">
        <f t="shared" si="391"/>
        <v>3</v>
      </c>
      <c r="G1428" s="18">
        <f>G1429</f>
        <v>0</v>
      </c>
      <c r="H1428" s="18">
        <f t="shared" si="392"/>
        <v>3</v>
      </c>
      <c r="I1428" s="18">
        <f>I1429</f>
        <v>0</v>
      </c>
      <c r="J1428" s="18">
        <f t="shared" si="385"/>
        <v>3</v>
      </c>
      <c r="K1428" s="18">
        <f>K1429</f>
        <v>0</v>
      </c>
      <c r="L1428" s="18">
        <f t="shared" si="386"/>
        <v>3</v>
      </c>
      <c r="M1428" s="18">
        <f>M1429</f>
        <v>0</v>
      </c>
      <c r="N1428" s="18">
        <f t="shared" si="388"/>
        <v>3</v>
      </c>
      <c r="O1428" s="18">
        <f>O1429</f>
        <v>0</v>
      </c>
      <c r="P1428" s="18">
        <f t="shared" si="389"/>
        <v>3</v>
      </c>
      <c r="Q1428" s="18">
        <f>Q1429</f>
        <v>0</v>
      </c>
      <c r="R1428" s="18">
        <f t="shared" si="390"/>
        <v>3</v>
      </c>
      <c r="S1428" s="18">
        <f>S1429</f>
        <v>0</v>
      </c>
      <c r="T1428" s="18">
        <f t="shared" si="381"/>
        <v>3</v>
      </c>
      <c r="U1428" s="18">
        <f>U1429</f>
        <v>0</v>
      </c>
      <c r="V1428" s="18">
        <f t="shared" si="382"/>
        <v>3</v>
      </c>
      <c r="W1428" s="18">
        <f>W1429</f>
        <v>0</v>
      </c>
      <c r="X1428" s="18">
        <f t="shared" si="383"/>
        <v>3</v>
      </c>
    </row>
    <row r="1429" spans="1:27" ht="24.75" x14ac:dyDescent="0.25">
      <c r="A1429" s="13" t="s">
        <v>118</v>
      </c>
      <c r="B1429" s="24" t="s">
        <v>405</v>
      </c>
      <c r="C1429" s="24" t="s">
        <v>2</v>
      </c>
      <c r="D1429" s="18">
        <f>D1430</f>
        <v>3</v>
      </c>
      <c r="E1429" s="18">
        <f>E1430</f>
        <v>0</v>
      </c>
      <c r="F1429" s="18">
        <f t="shared" si="391"/>
        <v>3</v>
      </c>
      <c r="G1429" s="18">
        <f>G1430</f>
        <v>0</v>
      </c>
      <c r="H1429" s="18">
        <f t="shared" si="392"/>
        <v>3</v>
      </c>
      <c r="I1429" s="18">
        <f>I1430</f>
        <v>0</v>
      </c>
      <c r="J1429" s="18">
        <f t="shared" si="385"/>
        <v>3</v>
      </c>
      <c r="K1429" s="18">
        <f>K1430</f>
        <v>0</v>
      </c>
      <c r="L1429" s="18">
        <f t="shared" si="386"/>
        <v>3</v>
      </c>
      <c r="M1429" s="18">
        <f>M1430</f>
        <v>0</v>
      </c>
      <c r="N1429" s="18">
        <f t="shared" si="388"/>
        <v>3</v>
      </c>
      <c r="O1429" s="18">
        <f>O1430</f>
        <v>0</v>
      </c>
      <c r="P1429" s="18">
        <f t="shared" si="389"/>
        <v>3</v>
      </c>
      <c r="Q1429" s="18">
        <f>Q1430</f>
        <v>0</v>
      </c>
      <c r="R1429" s="18">
        <f t="shared" si="390"/>
        <v>3</v>
      </c>
      <c r="S1429" s="18">
        <f>S1430</f>
        <v>0</v>
      </c>
      <c r="T1429" s="18">
        <f t="shared" si="381"/>
        <v>3</v>
      </c>
      <c r="U1429" s="18">
        <f>U1430</f>
        <v>0</v>
      </c>
      <c r="V1429" s="18">
        <f t="shared" si="382"/>
        <v>3</v>
      </c>
      <c r="W1429" s="18">
        <f>W1430</f>
        <v>0</v>
      </c>
      <c r="X1429" s="18">
        <f t="shared" si="383"/>
        <v>3</v>
      </c>
    </row>
    <row r="1430" spans="1:27" x14ac:dyDescent="0.25">
      <c r="A1430" s="9" t="s">
        <v>511</v>
      </c>
      <c r="B1430" s="25" t="s">
        <v>405</v>
      </c>
      <c r="C1430" s="25" t="s">
        <v>66</v>
      </c>
      <c r="D1430" s="19">
        <v>3</v>
      </c>
      <c r="E1430" s="19"/>
      <c r="F1430" s="18">
        <f t="shared" si="391"/>
        <v>3</v>
      </c>
      <c r="G1430" s="19"/>
      <c r="H1430" s="18">
        <f t="shared" si="392"/>
        <v>3</v>
      </c>
      <c r="I1430" s="19"/>
      <c r="J1430" s="18">
        <f t="shared" si="385"/>
        <v>3</v>
      </c>
      <c r="K1430" s="19"/>
      <c r="L1430" s="18">
        <f t="shared" si="386"/>
        <v>3</v>
      </c>
      <c r="M1430" s="19"/>
      <c r="N1430" s="18">
        <f t="shared" si="388"/>
        <v>3</v>
      </c>
      <c r="O1430" s="19"/>
      <c r="P1430" s="18">
        <f t="shared" si="389"/>
        <v>3</v>
      </c>
      <c r="Q1430" s="19"/>
      <c r="R1430" s="18">
        <f t="shared" si="390"/>
        <v>3</v>
      </c>
      <c r="S1430" s="64"/>
      <c r="T1430" s="18">
        <f t="shared" si="381"/>
        <v>3</v>
      </c>
      <c r="U1430" s="64"/>
      <c r="V1430" s="18">
        <f t="shared" si="382"/>
        <v>3</v>
      </c>
      <c r="W1430" s="64"/>
      <c r="X1430" s="18">
        <f t="shared" si="383"/>
        <v>3</v>
      </c>
      <c r="Z1430" s="43">
        <f>X1430+Y1430</f>
        <v>3</v>
      </c>
      <c r="AA1430" s="43"/>
    </row>
    <row r="1431" spans="1:27" x14ac:dyDescent="0.25">
      <c r="A1431" s="16" t="s">
        <v>4</v>
      </c>
      <c r="B1431" s="22" t="s">
        <v>5</v>
      </c>
      <c r="C1431" s="22" t="s">
        <v>2</v>
      </c>
      <c r="D1431" s="17">
        <f>D1435+D1441+D1443+D1449+D1452+D1468</f>
        <v>12165.5</v>
      </c>
      <c r="E1431" s="17">
        <f>E1435+E1441+E1443+E1449+E1452+E1468+E1457</f>
        <v>75</v>
      </c>
      <c r="F1431" s="17">
        <f t="shared" si="391"/>
        <v>12240.5</v>
      </c>
      <c r="G1431" s="17">
        <f>G1435+G1441+G1443+G1449+G1452+G1468+G1457</f>
        <v>0</v>
      </c>
      <c r="H1431" s="17">
        <f t="shared" si="392"/>
        <v>12240.5</v>
      </c>
      <c r="I1431" s="17">
        <f>I1435+I1441+I1443+I1449+I1452+I1468+I1457</f>
        <v>934.7</v>
      </c>
      <c r="J1431" s="17">
        <f t="shared" si="385"/>
        <v>13175.2</v>
      </c>
      <c r="K1431" s="17">
        <f>K1435+K1441+K1443+K1449+K1452+K1468+K1457+K1464+K1466</f>
        <v>72095</v>
      </c>
      <c r="L1431" s="17">
        <f t="shared" si="386"/>
        <v>85270.2</v>
      </c>
      <c r="M1431" s="17">
        <f>M1435+M1441+M1443+M1449+M1452+M1468+M1457+M1464+M1466+M1462</f>
        <v>6832.9000000000005</v>
      </c>
      <c r="N1431" s="17">
        <f t="shared" si="388"/>
        <v>92103.099999999991</v>
      </c>
      <c r="O1431" s="17">
        <f>O1435+O1441+O1443+O1449+O1452+O1468+O1457+O1464+O1466+O1462</f>
        <v>0</v>
      </c>
      <c r="P1431" s="17">
        <f t="shared" si="389"/>
        <v>92103.099999999991</v>
      </c>
      <c r="Q1431" s="17">
        <f>Q1435+Q1441+Q1443+Q1449+Q1452+Q1468+Q1457+Q1464+Q1466+Q1462+Q1460+Q1432</f>
        <v>-4207.3</v>
      </c>
      <c r="R1431" s="17">
        <f t="shared" si="390"/>
        <v>87895.799999999988</v>
      </c>
      <c r="S1431" s="17">
        <f>S1435+S1441+S1443+S1449+S1452+S1468+S1457+S1464+S1466+S1462+S1460+S1432</f>
        <v>317.2</v>
      </c>
      <c r="T1431" s="17">
        <f t="shared" si="381"/>
        <v>88212.999999999985</v>
      </c>
      <c r="U1431" s="17">
        <f>U1435+U1441+U1443+U1449+U1452+U1468+U1457+U1464+U1466+U1462+U1460+U1432+U1446</f>
        <v>729.7</v>
      </c>
      <c r="V1431" s="17">
        <f t="shared" si="382"/>
        <v>88942.699999999983</v>
      </c>
      <c r="W1431" s="17">
        <f>W1435+W1441+W1443+W1449+W1452+W1468+W1457+W1464+W1466+W1462+W1460+W1432+W1446</f>
        <v>-62801.200000000004</v>
      </c>
      <c r="X1431" s="17">
        <f t="shared" si="383"/>
        <v>26141.499999999978</v>
      </c>
    </row>
    <row r="1432" spans="1:27" s="118" customFormat="1" x14ac:dyDescent="0.25">
      <c r="A1432" s="33" t="s">
        <v>662</v>
      </c>
      <c r="B1432" s="26" t="s">
        <v>1129</v>
      </c>
      <c r="C1432" s="26"/>
      <c r="D1432" s="47"/>
      <c r="E1432" s="47"/>
      <c r="F1432" s="47"/>
      <c r="G1432" s="47"/>
      <c r="H1432" s="47"/>
      <c r="I1432" s="47"/>
      <c r="J1432" s="47"/>
      <c r="K1432" s="47"/>
      <c r="L1432" s="47"/>
      <c r="M1432" s="47"/>
      <c r="N1432" s="47"/>
      <c r="O1432" s="47"/>
      <c r="P1432" s="47"/>
      <c r="Q1432" s="54">
        <f>Q1433+Q1434</f>
        <v>544.6</v>
      </c>
      <c r="R1432" s="18">
        <f t="shared" si="390"/>
        <v>544.6</v>
      </c>
      <c r="S1432" s="54">
        <f>S1433+S1434</f>
        <v>0</v>
      </c>
      <c r="T1432" s="18">
        <f t="shared" si="381"/>
        <v>544.6</v>
      </c>
      <c r="U1432" s="54">
        <f>U1433+U1434</f>
        <v>33.699999999999996</v>
      </c>
      <c r="V1432" s="18">
        <f t="shared" si="382"/>
        <v>578.30000000000007</v>
      </c>
      <c r="W1432" s="54">
        <f>W1433+W1434</f>
        <v>0</v>
      </c>
      <c r="X1432" s="18">
        <f t="shared" si="383"/>
        <v>578.30000000000007</v>
      </c>
      <c r="Y1432" s="163"/>
    </row>
    <row r="1433" spans="1:27" s="118" customFormat="1" x14ac:dyDescent="0.25">
      <c r="A1433" s="8" t="s">
        <v>498</v>
      </c>
      <c r="B1433" s="27" t="s">
        <v>1129</v>
      </c>
      <c r="C1433" s="27" t="s">
        <v>8</v>
      </c>
      <c r="D1433" s="47"/>
      <c r="E1433" s="47"/>
      <c r="F1433" s="47"/>
      <c r="G1433" s="47"/>
      <c r="H1433" s="47"/>
      <c r="I1433" s="47"/>
      <c r="J1433" s="47"/>
      <c r="K1433" s="47"/>
      <c r="L1433" s="47"/>
      <c r="M1433" s="47"/>
      <c r="N1433" s="47"/>
      <c r="O1433" s="47"/>
      <c r="P1433" s="47"/>
      <c r="Q1433" s="55">
        <f>305.1+113.2</f>
        <v>418.3</v>
      </c>
      <c r="R1433" s="18">
        <f t="shared" si="390"/>
        <v>418.3</v>
      </c>
      <c r="S1433" s="77"/>
      <c r="T1433" s="18">
        <f t="shared" si="381"/>
        <v>418.3</v>
      </c>
      <c r="U1433" s="158">
        <v>25.9</v>
      </c>
      <c r="V1433" s="18">
        <f t="shared" si="382"/>
        <v>444.2</v>
      </c>
      <c r="W1433" s="77"/>
      <c r="X1433" s="18">
        <f t="shared" si="383"/>
        <v>444.2</v>
      </c>
      <c r="Y1433" s="163"/>
      <c r="Z1433" s="43">
        <f t="shared" ref="Z1433:Z1434" si="394">X1433+Y1433</f>
        <v>444.2</v>
      </c>
      <c r="AA1433" s="163"/>
    </row>
    <row r="1434" spans="1:27" s="118" customFormat="1" ht="36.75" x14ac:dyDescent="0.25">
      <c r="A1434" s="8" t="s">
        <v>500</v>
      </c>
      <c r="B1434" s="27" t="s">
        <v>1129</v>
      </c>
      <c r="C1434" s="27" t="s">
        <v>9</v>
      </c>
      <c r="D1434" s="47"/>
      <c r="E1434" s="47"/>
      <c r="F1434" s="47"/>
      <c r="G1434" s="47"/>
      <c r="H1434" s="47"/>
      <c r="I1434" s="47"/>
      <c r="J1434" s="47"/>
      <c r="K1434" s="47"/>
      <c r="L1434" s="47"/>
      <c r="M1434" s="47"/>
      <c r="N1434" s="47"/>
      <c r="O1434" s="47"/>
      <c r="P1434" s="47"/>
      <c r="Q1434" s="55">
        <f>92.1+34.2</f>
        <v>126.3</v>
      </c>
      <c r="R1434" s="18">
        <f t="shared" si="390"/>
        <v>126.3</v>
      </c>
      <c r="S1434" s="77"/>
      <c r="T1434" s="18">
        <f t="shared" si="381"/>
        <v>126.3</v>
      </c>
      <c r="U1434" s="158">
        <v>7.8</v>
      </c>
      <c r="V1434" s="18">
        <f t="shared" si="382"/>
        <v>134.1</v>
      </c>
      <c r="W1434" s="77"/>
      <c r="X1434" s="18">
        <f t="shared" si="383"/>
        <v>134.1</v>
      </c>
      <c r="Y1434" s="163"/>
      <c r="Z1434" s="43">
        <f t="shared" si="394"/>
        <v>134.1</v>
      </c>
      <c r="AA1434" s="163"/>
    </row>
    <row r="1435" spans="1:27" ht="24.75" x14ac:dyDescent="0.25">
      <c r="A1435" s="13" t="s">
        <v>112</v>
      </c>
      <c r="B1435" s="24" t="s">
        <v>113</v>
      </c>
      <c r="C1435" s="24" t="s">
        <v>2</v>
      </c>
      <c r="D1435" s="18">
        <f>D1437+D1438+D1440</f>
        <v>4422.1000000000004</v>
      </c>
      <c r="E1435" s="18">
        <f>E1437+E1438+E1440</f>
        <v>0</v>
      </c>
      <c r="F1435" s="18">
        <f t="shared" si="391"/>
        <v>4422.1000000000004</v>
      </c>
      <c r="G1435" s="18">
        <f>G1437+G1438+G1440</f>
        <v>0</v>
      </c>
      <c r="H1435" s="18">
        <f t="shared" si="392"/>
        <v>4422.1000000000004</v>
      </c>
      <c r="I1435" s="18">
        <f>I1437+I1438+I1440</f>
        <v>0</v>
      </c>
      <c r="J1435" s="18">
        <f t="shared" si="385"/>
        <v>4422.1000000000004</v>
      </c>
      <c r="K1435" s="18">
        <f>K1437+K1438+K1440</f>
        <v>0</v>
      </c>
      <c r="L1435" s="18">
        <f t="shared" si="386"/>
        <v>4422.1000000000004</v>
      </c>
      <c r="M1435" s="18">
        <f>M1437+M1438+M1440+M1436</f>
        <v>0</v>
      </c>
      <c r="N1435" s="18">
        <f t="shared" si="388"/>
        <v>4422.1000000000004</v>
      </c>
      <c r="O1435" s="18">
        <f>O1437+O1438+O1440+O1436</f>
        <v>0</v>
      </c>
      <c r="P1435" s="18">
        <f t="shared" si="389"/>
        <v>4422.1000000000004</v>
      </c>
      <c r="Q1435" s="18">
        <f>Q1437+Q1438+Q1440+Q1436</f>
        <v>0</v>
      </c>
      <c r="R1435" s="18">
        <f t="shared" si="390"/>
        <v>4422.1000000000004</v>
      </c>
      <c r="S1435" s="18">
        <f>S1437+S1438+S1440+S1436+S1439</f>
        <v>0</v>
      </c>
      <c r="T1435" s="18">
        <f t="shared" si="381"/>
        <v>4422.1000000000004</v>
      </c>
      <c r="U1435" s="18">
        <f>U1437+U1438+U1440+U1436+U1439</f>
        <v>0</v>
      </c>
      <c r="V1435" s="18">
        <f t="shared" si="382"/>
        <v>4422.1000000000004</v>
      </c>
      <c r="W1435" s="18">
        <f>W1437+W1438+W1440+W1436+W1439</f>
        <v>-380.2</v>
      </c>
      <c r="X1435" s="18">
        <f t="shared" si="383"/>
        <v>4041.9000000000005</v>
      </c>
    </row>
    <row r="1436" spans="1:27" x14ac:dyDescent="0.25">
      <c r="A1436" s="7" t="s">
        <v>72</v>
      </c>
      <c r="B1436" s="25" t="s">
        <v>113</v>
      </c>
      <c r="C1436" s="25" t="s">
        <v>32</v>
      </c>
      <c r="D1436" s="18"/>
      <c r="E1436" s="18"/>
      <c r="F1436" s="18"/>
      <c r="G1436" s="18"/>
      <c r="H1436" s="18"/>
      <c r="I1436" s="18"/>
      <c r="J1436" s="18"/>
      <c r="K1436" s="18"/>
      <c r="L1436" s="18"/>
      <c r="M1436" s="116">
        <v>10</v>
      </c>
      <c r="N1436" s="18">
        <f t="shared" si="388"/>
        <v>10</v>
      </c>
      <c r="O1436" s="64"/>
      <c r="P1436" s="18">
        <f t="shared" si="389"/>
        <v>10</v>
      </c>
      <c r="Q1436" s="64"/>
      <c r="R1436" s="18">
        <f t="shared" si="390"/>
        <v>10</v>
      </c>
      <c r="S1436" s="64"/>
      <c r="T1436" s="18">
        <f t="shared" si="381"/>
        <v>10</v>
      </c>
      <c r="U1436" s="64"/>
      <c r="V1436" s="18">
        <f t="shared" si="382"/>
        <v>10</v>
      </c>
      <c r="W1436" s="64"/>
      <c r="X1436" s="18">
        <f t="shared" si="383"/>
        <v>10</v>
      </c>
      <c r="Z1436" s="43">
        <f t="shared" ref="Z1436:Z1440" si="395">X1436+Y1436</f>
        <v>10</v>
      </c>
      <c r="AA1436" s="43"/>
    </row>
    <row r="1437" spans="1:27" x14ac:dyDescent="0.25">
      <c r="A1437" s="7" t="s">
        <v>498</v>
      </c>
      <c r="B1437" s="25" t="s">
        <v>113</v>
      </c>
      <c r="C1437" s="25" t="s">
        <v>8</v>
      </c>
      <c r="D1437" s="19">
        <v>3197</v>
      </c>
      <c r="E1437" s="19"/>
      <c r="F1437" s="18">
        <f t="shared" si="391"/>
        <v>3197</v>
      </c>
      <c r="G1437" s="19"/>
      <c r="H1437" s="18">
        <f t="shared" si="392"/>
        <v>3197</v>
      </c>
      <c r="I1437" s="19"/>
      <c r="J1437" s="18">
        <f t="shared" si="385"/>
        <v>3197</v>
      </c>
      <c r="K1437" s="19"/>
      <c r="L1437" s="18">
        <f t="shared" si="386"/>
        <v>3197</v>
      </c>
      <c r="M1437" s="19"/>
      <c r="N1437" s="18">
        <f t="shared" si="388"/>
        <v>3197</v>
      </c>
      <c r="O1437" s="19"/>
      <c r="P1437" s="18">
        <f t="shared" si="389"/>
        <v>3197</v>
      </c>
      <c r="Q1437" s="19"/>
      <c r="R1437" s="18">
        <f t="shared" si="390"/>
        <v>3197</v>
      </c>
      <c r="S1437" s="64"/>
      <c r="T1437" s="18">
        <f t="shared" si="381"/>
        <v>3197</v>
      </c>
      <c r="U1437" s="64"/>
      <c r="V1437" s="18">
        <f t="shared" si="382"/>
        <v>3197</v>
      </c>
      <c r="W1437" s="45">
        <v>-292</v>
      </c>
      <c r="X1437" s="18">
        <f t="shared" si="383"/>
        <v>2905</v>
      </c>
      <c r="Z1437" s="43">
        <f t="shared" si="395"/>
        <v>2905</v>
      </c>
      <c r="AA1437" s="43"/>
    </row>
    <row r="1438" spans="1:27" ht="31.5" customHeight="1" x14ac:dyDescent="0.25">
      <c r="A1438" s="9" t="s">
        <v>500</v>
      </c>
      <c r="B1438" s="25" t="s">
        <v>113</v>
      </c>
      <c r="C1438" s="25" t="s">
        <v>9</v>
      </c>
      <c r="D1438" s="19">
        <v>960</v>
      </c>
      <c r="E1438" s="19"/>
      <c r="F1438" s="18">
        <f t="shared" si="391"/>
        <v>960</v>
      </c>
      <c r="G1438" s="19"/>
      <c r="H1438" s="18">
        <f t="shared" si="392"/>
        <v>960</v>
      </c>
      <c r="I1438" s="19"/>
      <c r="J1438" s="18">
        <f t="shared" si="385"/>
        <v>960</v>
      </c>
      <c r="K1438" s="19"/>
      <c r="L1438" s="18">
        <f t="shared" si="386"/>
        <v>960</v>
      </c>
      <c r="M1438" s="19"/>
      <c r="N1438" s="18">
        <f t="shared" si="388"/>
        <v>960</v>
      </c>
      <c r="O1438" s="19"/>
      <c r="P1438" s="18">
        <f t="shared" si="389"/>
        <v>960</v>
      </c>
      <c r="Q1438" s="19"/>
      <c r="R1438" s="18">
        <f t="shared" si="390"/>
        <v>960</v>
      </c>
      <c r="S1438" s="64"/>
      <c r="T1438" s="18">
        <f t="shared" si="381"/>
        <v>960</v>
      </c>
      <c r="U1438" s="64"/>
      <c r="V1438" s="18">
        <f t="shared" si="382"/>
        <v>960</v>
      </c>
      <c r="W1438" s="45">
        <v>-88.2</v>
      </c>
      <c r="X1438" s="18">
        <f t="shared" si="383"/>
        <v>871.8</v>
      </c>
      <c r="Z1438" s="43">
        <f t="shared" si="395"/>
        <v>871.8</v>
      </c>
      <c r="AA1438" s="43"/>
    </row>
    <row r="1439" spans="1:27" ht="21" customHeight="1" x14ac:dyDescent="0.25">
      <c r="A1439" s="9" t="s">
        <v>501</v>
      </c>
      <c r="B1439" s="25" t="s">
        <v>113</v>
      </c>
      <c r="C1439" s="25" t="s">
        <v>33</v>
      </c>
      <c r="D1439" s="19"/>
      <c r="E1439" s="19"/>
      <c r="F1439" s="18"/>
      <c r="G1439" s="19"/>
      <c r="H1439" s="18"/>
      <c r="I1439" s="19"/>
      <c r="J1439" s="18"/>
      <c r="K1439" s="19"/>
      <c r="L1439" s="18"/>
      <c r="M1439" s="19"/>
      <c r="N1439" s="18"/>
      <c r="O1439" s="19"/>
      <c r="P1439" s="18"/>
      <c r="Q1439" s="19"/>
      <c r="R1439" s="18"/>
      <c r="S1439" s="122">
        <v>50</v>
      </c>
      <c r="T1439" s="18">
        <f t="shared" si="381"/>
        <v>50</v>
      </c>
      <c r="U1439" s="64"/>
      <c r="V1439" s="18">
        <f t="shared" si="382"/>
        <v>50</v>
      </c>
      <c r="W1439" s="45">
        <v>104.5</v>
      </c>
      <c r="X1439" s="18">
        <f t="shared" si="383"/>
        <v>154.5</v>
      </c>
      <c r="Z1439" s="43">
        <f t="shared" si="395"/>
        <v>154.5</v>
      </c>
      <c r="AA1439" s="43"/>
    </row>
    <row r="1440" spans="1:27" x14ac:dyDescent="0.25">
      <c r="A1440" s="7" t="s">
        <v>54</v>
      </c>
      <c r="B1440" s="25" t="s">
        <v>113</v>
      </c>
      <c r="C1440" s="25" t="s">
        <v>34</v>
      </c>
      <c r="D1440" s="19">
        <v>265.10000000000002</v>
      </c>
      <c r="E1440" s="19"/>
      <c r="F1440" s="18">
        <f t="shared" si="391"/>
        <v>265.10000000000002</v>
      </c>
      <c r="G1440" s="19"/>
      <c r="H1440" s="18">
        <f t="shared" si="392"/>
        <v>265.10000000000002</v>
      </c>
      <c r="I1440" s="19"/>
      <c r="J1440" s="18">
        <f t="shared" si="385"/>
        <v>265.10000000000002</v>
      </c>
      <c r="K1440" s="19"/>
      <c r="L1440" s="18">
        <f t="shared" si="386"/>
        <v>265.10000000000002</v>
      </c>
      <c r="M1440" s="116">
        <v>-10</v>
      </c>
      <c r="N1440" s="18">
        <f t="shared" si="388"/>
        <v>255.10000000000002</v>
      </c>
      <c r="O1440" s="64"/>
      <c r="P1440" s="18">
        <f t="shared" si="389"/>
        <v>255.10000000000002</v>
      </c>
      <c r="Q1440" s="64"/>
      <c r="R1440" s="18">
        <f t="shared" si="390"/>
        <v>255.10000000000002</v>
      </c>
      <c r="S1440" s="122">
        <v>-50</v>
      </c>
      <c r="T1440" s="18">
        <f t="shared" si="381"/>
        <v>205.10000000000002</v>
      </c>
      <c r="U1440" s="64"/>
      <c r="V1440" s="18">
        <f t="shared" si="382"/>
        <v>205.10000000000002</v>
      </c>
      <c r="W1440" s="45">
        <v>-104.5</v>
      </c>
      <c r="X1440" s="18">
        <f t="shared" si="383"/>
        <v>100.60000000000002</v>
      </c>
      <c r="Z1440" s="43">
        <f t="shared" si="395"/>
        <v>100.60000000000002</v>
      </c>
      <c r="AA1440" s="43"/>
    </row>
    <row r="1441" spans="1:27" ht="36.75" x14ac:dyDescent="0.25">
      <c r="A1441" s="13" t="s">
        <v>46</v>
      </c>
      <c r="B1441" s="24" t="s">
        <v>47</v>
      </c>
      <c r="C1441" s="24" t="s">
        <v>2</v>
      </c>
      <c r="D1441" s="18">
        <f>D1442</f>
        <v>240</v>
      </c>
      <c r="E1441" s="18">
        <f>E1442</f>
        <v>0</v>
      </c>
      <c r="F1441" s="18">
        <f t="shared" si="391"/>
        <v>240</v>
      </c>
      <c r="G1441" s="18">
        <f>G1442</f>
        <v>0</v>
      </c>
      <c r="H1441" s="18">
        <f t="shared" si="392"/>
        <v>240</v>
      </c>
      <c r="I1441" s="18">
        <f>I1442</f>
        <v>0</v>
      </c>
      <c r="J1441" s="18">
        <f t="shared" si="385"/>
        <v>240</v>
      </c>
      <c r="K1441" s="18">
        <f>K1442</f>
        <v>0</v>
      </c>
      <c r="L1441" s="18">
        <f t="shared" si="386"/>
        <v>240</v>
      </c>
      <c r="M1441" s="18">
        <f>M1442</f>
        <v>0</v>
      </c>
      <c r="N1441" s="18">
        <f t="shared" si="388"/>
        <v>240</v>
      </c>
      <c r="O1441" s="18">
        <f>O1442</f>
        <v>0</v>
      </c>
      <c r="P1441" s="18">
        <f t="shared" si="389"/>
        <v>240</v>
      </c>
      <c r="Q1441" s="18">
        <f>Q1442</f>
        <v>0</v>
      </c>
      <c r="R1441" s="18">
        <f t="shared" si="390"/>
        <v>240</v>
      </c>
      <c r="S1441" s="18">
        <f>S1442</f>
        <v>0</v>
      </c>
      <c r="T1441" s="18">
        <f t="shared" si="381"/>
        <v>240</v>
      </c>
      <c r="U1441" s="18">
        <f>U1442</f>
        <v>0</v>
      </c>
      <c r="V1441" s="18">
        <f t="shared" si="382"/>
        <v>240</v>
      </c>
      <c r="W1441" s="18">
        <f>W1442</f>
        <v>0</v>
      </c>
      <c r="X1441" s="18">
        <f t="shared" si="383"/>
        <v>240</v>
      </c>
    </row>
    <row r="1442" spans="1:27" x14ac:dyDescent="0.25">
      <c r="A1442" s="7" t="s">
        <v>54</v>
      </c>
      <c r="B1442" s="25" t="s">
        <v>47</v>
      </c>
      <c r="C1442" s="25" t="s">
        <v>34</v>
      </c>
      <c r="D1442" s="19">
        <v>240</v>
      </c>
      <c r="E1442" s="19"/>
      <c r="F1442" s="18">
        <f t="shared" si="391"/>
        <v>240</v>
      </c>
      <c r="G1442" s="19"/>
      <c r="H1442" s="18">
        <f t="shared" si="392"/>
        <v>240</v>
      </c>
      <c r="I1442" s="19"/>
      <c r="J1442" s="18">
        <f t="shared" si="385"/>
        <v>240</v>
      </c>
      <c r="K1442" s="19"/>
      <c r="L1442" s="18">
        <f t="shared" si="386"/>
        <v>240</v>
      </c>
      <c r="M1442" s="19"/>
      <c r="N1442" s="18">
        <f t="shared" si="388"/>
        <v>240</v>
      </c>
      <c r="O1442" s="19"/>
      <c r="P1442" s="18">
        <f t="shared" si="389"/>
        <v>240</v>
      </c>
      <c r="Q1442" s="19"/>
      <c r="R1442" s="18">
        <f t="shared" si="390"/>
        <v>240</v>
      </c>
      <c r="S1442" s="64"/>
      <c r="T1442" s="18">
        <f t="shared" si="381"/>
        <v>240</v>
      </c>
      <c r="U1442" s="64"/>
      <c r="V1442" s="18">
        <f t="shared" si="382"/>
        <v>240</v>
      </c>
      <c r="W1442" s="64"/>
      <c r="X1442" s="18">
        <f t="shared" si="383"/>
        <v>240</v>
      </c>
      <c r="Z1442" s="43">
        <f>X1442+Y1442</f>
        <v>240</v>
      </c>
      <c r="AA1442" s="43"/>
    </row>
    <row r="1443" spans="1:27" x14ac:dyDescent="0.25">
      <c r="A1443" s="13" t="s">
        <v>6</v>
      </c>
      <c r="B1443" s="24" t="s">
        <v>7</v>
      </c>
      <c r="C1443" s="24" t="s">
        <v>2</v>
      </c>
      <c r="D1443" s="18">
        <f>D1444+D1445</f>
        <v>2606.9</v>
      </c>
      <c r="E1443" s="18">
        <f>E1444+E1445</f>
        <v>0</v>
      </c>
      <c r="F1443" s="18">
        <f t="shared" si="391"/>
        <v>2606.9</v>
      </c>
      <c r="G1443" s="18">
        <f>G1444+G1445</f>
        <v>0</v>
      </c>
      <c r="H1443" s="18">
        <f t="shared" si="392"/>
        <v>2606.9</v>
      </c>
      <c r="I1443" s="18">
        <f>I1444+I1445</f>
        <v>0</v>
      </c>
      <c r="J1443" s="18">
        <f t="shared" si="385"/>
        <v>2606.9</v>
      </c>
      <c r="K1443" s="18">
        <f>K1444+K1445</f>
        <v>0</v>
      </c>
      <c r="L1443" s="18">
        <f t="shared" si="386"/>
        <v>2606.9</v>
      </c>
      <c r="M1443" s="18">
        <f>M1444+M1445</f>
        <v>0</v>
      </c>
      <c r="N1443" s="18">
        <f t="shared" si="388"/>
        <v>2606.9</v>
      </c>
      <c r="O1443" s="18">
        <f>O1444+O1445</f>
        <v>0</v>
      </c>
      <c r="P1443" s="18">
        <f t="shared" si="389"/>
        <v>2606.9</v>
      </c>
      <c r="Q1443" s="18">
        <f>Q1444+Q1445</f>
        <v>0</v>
      </c>
      <c r="R1443" s="18">
        <f t="shared" si="390"/>
        <v>2606.9</v>
      </c>
      <c r="S1443" s="18">
        <f>S1444+S1445</f>
        <v>0</v>
      </c>
      <c r="T1443" s="18">
        <f t="shared" si="381"/>
        <v>2606.9</v>
      </c>
      <c r="U1443" s="18">
        <f>U1444+U1445</f>
        <v>249.5</v>
      </c>
      <c r="V1443" s="18">
        <f t="shared" si="382"/>
        <v>2856.4</v>
      </c>
      <c r="W1443" s="18">
        <f>W1444+W1445</f>
        <v>-52.79999999999999</v>
      </c>
      <c r="X1443" s="18">
        <f t="shared" si="383"/>
        <v>2803.6</v>
      </c>
    </row>
    <row r="1444" spans="1:27" x14ac:dyDescent="0.25">
      <c r="A1444" s="7" t="s">
        <v>498</v>
      </c>
      <c r="B1444" s="25" t="s">
        <v>7</v>
      </c>
      <c r="C1444" s="25" t="s">
        <v>8</v>
      </c>
      <c r="D1444" s="19">
        <v>2001.9</v>
      </c>
      <c r="E1444" s="19"/>
      <c r="F1444" s="18">
        <f t="shared" si="391"/>
        <v>2001.9</v>
      </c>
      <c r="G1444" s="19"/>
      <c r="H1444" s="18">
        <f t="shared" si="392"/>
        <v>2001.9</v>
      </c>
      <c r="I1444" s="19"/>
      <c r="J1444" s="18">
        <f t="shared" si="385"/>
        <v>2001.9</v>
      </c>
      <c r="K1444" s="19"/>
      <c r="L1444" s="18">
        <f t="shared" si="386"/>
        <v>2001.9</v>
      </c>
      <c r="M1444" s="19"/>
      <c r="N1444" s="18">
        <f t="shared" si="388"/>
        <v>2001.9</v>
      </c>
      <c r="O1444" s="19"/>
      <c r="P1444" s="18">
        <f t="shared" si="389"/>
        <v>2001.9</v>
      </c>
      <c r="Q1444" s="19"/>
      <c r="R1444" s="18">
        <f t="shared" si="390"/>
        <v>2001.9</v>
      </c>
      <c r="S1444" s="64"/>
      <c r="T1444" s="18">
        <f t="shared" si="381"/>
        <v>2001.9</v>
      </c>
      <c r="U1444" s="96">
        <f>249.6+29.9</f>
        <v>279.5</v>
      </c>
      <c r="V1444" s="18">
        <f t="shared" si="382"/>
        <v>2281.4</v>
      </c>
      <c r="W1444" s="44">
        <v>17.100000000000001</v>
      </c>
      <c r="X1444" s="18">
        <f t="shared" si="383"/>
        <v>2298.5</v>
      </c>
      <c r="Z1444" s="43">
        <f t="shared" ref="Z1444:Z1445" si="396">X1444+Y1444</f>
        <v>2298.5</v>
      </c>
      <c r="AA1444" s="43"/>
    </row>
    <row r="1445" spans="1:27" ht="30" customHeight="1" x14ac:dyDescent="0.25">
      <c r="A1445" s="9" t="s">
        <v>500</v>
      </c>
      <c r="B1445" s="25" t="s">
        <v>7</v>
      </c>
      <c r="C1445" s="25" t="s">
        <v>9</v>
      </c>
      <c r="D1445" s="19">
        <v>605</v>
      </c>
      <c r="E1445" s="19"/>
      <c r="F1445" s="18">
        <f t="shared" si="391"/>
        <v>605</v>
      </c>
      <c r="G1445" s="19"/>
      <c r="H1445" s="18">
        <f t="shared" si="392"/>
        <v>605</v>
      </c>
      <c r="I1445" s="19"/>
      <c r="J1445" s="18">
        <f t="shared" si="385"/>
        <v>605</v>
      </c>
      <c r="K1445" s="19"/>
      <c r="L1445" s="18">
        <f t="shared" si="386"/>
        <v>605</v>
      </c>
      <c r="M1445" s="19"/>
      <c r="N1445" s="18">
        <f t="shared" si="388"/>
        <v>605</v>
      </c>
      <c r="O1445" s="19"/>
      <c r="P1445" s="18">
        <f t="shared" si="389"/>
        <v>605</v>
      </c>
      <c r="Q1445" s="19"/>
      <c r="R1445" s="18">
        <f t="shared" si="390"/>
        <v>605</v>
      </c>
      <c r="S1445" s="64"/>
      <c r="T1445" s="18">
        <f t="shared" si="381"/>
        <v>605</v>
      </c>
      <c r="U1445" s="96">
        <v>-30</v>
      </c>
      <c r="V1445" s="18">
        <f t="shared" si="382"/>
        <v>575</v>
      </c>
      <c r="W1445" s="44">
        <f>-69.8-0.1</f>
        <v>-69.899999999999991</v>
      </c>
      <c r="X1445" s="18">
        <f t="shared" si="383"/>
        <v>505.1</v>
      </c>
      <c r="Y1445" s="43">
        <v>-0.1</v>
      </c>
      <c r="Z1445" s="43">
        <f t="shared" si="396"/>
        <v>505</v>
      </c>
      <c r="AA1445" s="43"/>
    </row>
    <row r="1446" spans="1:27" ht="22.5" customHeight="1" x14ac:dyDescent="0.25">
      <c r="A1446" s="101" t="s">
        <v>734</v>
      </c>
      <c r="B1446" s="26" t="s">
        <v>1283</v>
      </c>
      <c r="C1446" s="26"/>
      <c r="D1446" s="19"/>
      <c r="E1446" s="19"/>
      <c r="F1446" s="18"/>
      <c r="G1446" s="19"/>
      <c r="H1446" s="18"/>
      <c r="I1446" s="19"/>
      <c r="J1446" s="18"/>
      <c r="K1446" s="19"/>
      <c r="L1446" s="18"/>
      <c r="M1446" s="19"/>
      <c r="N1446" s="18"/>
      <c r="O1446" s="19"/>
      <c r="P1446" s="18"/>
      <c r="Q1446" s="19"/>
      <c r="R1446" s="18"/>
      <c r="S1446" s="64"/>
      <c r="T1446" s="18"/>
      <c r="U1446" s="20">
        <f>U1447+U1448</f>
        <v>84.9</v>
      </c>
      <c r="V1446" s="18">
        <f t="shared" si="382"/>
        <v>84.9</v>
      </c>
      <c r="W1446" s="20">
        <f>W1447+W1448</f>
        <v>0.1</v>
      </c>
      <c r="X1446" s="18">
        <f t="shared" si="383"/>
        <v>85</v>
      </c>
    </row>
    <row r="1447" spans="1:27" ht="22.5" customHeight="1" x14ac:dyDescent="0.25">
      <c r="A1447" s="8" t="s">
        <v>498</v>
      </c>
      <c r="B1447" s="27" t="s">
        <v>1283</v>
      </c>
      <c r="C1447" s="27" t="s">
        <v>8</v>
      </c>
      <c r="D1447" s="19"/>
      <c r="E1447" s="19"/>
      <c r="F1447" s="18"/>
      <c r="G1447" s="19"/>
      <c r="H1447" s="18"/>
      <c r="I1447" s="19"/>
      <c r="J1447" s="18"/>
      <c r="K1447" s="19"/>
      <c r="L1447" s="18"/>
      <c r="M1447" s="19"/>
      <c r="N1447" s="18"/>
      <c r="O1447" s="19"/>
      <c r="P1447" s="18"/>
      <c r="Q1447" s="19"/>
      <c r="R1447" s="18"/>
      <c r="S1447" s="64"/>
      <c r="T1447" s="18"/>
      <c r="U1447" s="151">
        <f>18.2+17.1+22+7.9</f>
        <v>65.2</v>
      </c>
      <c r="V1447" s="18">
        <f t="shared" si="382"/>
        <v>65.2</v>
      </c>
      <c r="W1447" s="44">
        <v>0.1</v>
      </c>
      <c r="X1447" s="18">
        <f t="shared" si="383"/>
        <v>65.3</v>
      </c>
      <c r="Y1447" s="43">
        <v>0.1</v>
      </c>
      <c r="Z1447" s="43">
        <f t="shared" ref="Z1447:Z1448" si="397">X1447+Y1447</f>
        <v>65.399999999999991</v>
      </c>
      <c r="AA1447" s="43"/>
    </row>
    <row r="1448" spans="1:27" ht="30" customHeight="1" x14ac:dyDescent="0.25">
      <c r="A1448" s="8" t="s">
        <v>500</v>
      </c>
      <c r="B1448" s="27" t="s">
        <v>1283</v>
      </c>
      <c r="C1448" s="27" t="s">
        <v>9</v>
      </c>
      <c r="D1448" s="19"/>
      <c r="E1448" s="19"/>
      <c r="F1448" s="18"/>
      <c r="G1448" s="19"/>
      <c r="H1448" s="18"/>
      <c r="I1448" s="19"/>
      <c r="J1448" s="18"/>
      <c r="K1448" s="19"/>
      <c r="L1448" s="18"/>
      <c r="M1448" s="19"/>
      <c r="N1448" s="18"/>
      <c r="O1448" s="19"/>
      <c r="P1448" s="18"/>
      <c r="Q1448" s="19"/>
      <c r="R1448" s="18"/>
      <c r="S1448" s="64"/>
      <c r="T1448" s="18"/>
      <c r="U1448" s="151">
        <f>5.5+5.2+6.7+2.3</f>
        <v>19.7</v>
      </c>
      <c r="V1448" s="18">
        <f t="shared" si="382"/>
        <v>19.7</v>
      </c>
      <c r="W1448" s="64"/>
      <c r="X1448" s="18">
        <f t="shared" si="383"/>
        <v>19.7</v>
      </c>
      <c r="Z1448" s="43">
        <f t="shared" si="397"/>
        <v>19.7</v>
      </c>
      <c r="AA1448" s="43"/>
    </row>
    <row r="1449" spans="1:27" ht="36.75" x14ac:dyDescent="0.25">
      <c r="A1449" s="13" t="s">
        <v>10</v>
      </c>
      <c r="B1449" s="24" t="s">
        <v>11</v>
      </c>
      <c r="C1449" s="24" t="s">
        <v>2</v>
      </c>
      <c r="D1449" s="18">
        <f>D1450+D1451</f>
        <v>1878.1</v>
      </c>
      <c r="E1449" s="18">
        <f>E1450+E1451</f>
        <v>0</v>
      </c>
      <c r="F1449" s="18">
        <f t="shared" si="391"/>
        <v>1878.1</v>
      </c>
      <c r="G1449" s="18">
        <f>G1450+G1451</f>
        <v>0</v>
      </c>
      <c r="H1449" s="18">
        <f t="shared" si="392"/>
        <v>1878.1</v>
      </c>
      <c r="I1449" s="18">
        <f>I1450+I1451</f>
        <v>0</v>
      </c>
      <c r="J1449" s="18">
        <f t="shared" si="385"/>
        <v>1878.1</v>
      </c>
      <c r="K1449" s="18">
        <f>K1450+K1451</f>
        <v>0</v>
      </c>
      <c r="L1449" s="18">
        <f t="shared" si="386"/>
        <v>1878.1</v>
      </c>
      <c r="M1449" s="18">
        <f>M1450+M1451</f>
        <v>0</v>
      </c>
      <c r="N1449" s="18">
        <f t="shared" si="388"/>
        <v>1878.1</v>
      </c>
      <c r="O1449" s="18">
        <f>O1450+O1451</f>
        <v>0</v>
      </c>
      <c r="P1449" s="18">
        <f t="shared" si="389"/>
        <v>1878.1</v>
      </c>
      <c r="Q1449" s="18">
        <f>Q1450+Q1451</f>
        <v>0</v>
      </c>
      <c r="R1449" s="18">
        <f t="shared" si="390"/>
        <v>1878.1</v>
      </c>
      <c r="S1449" s="18">
        <f>S1450+S1451</f>
        <v>0</v>
      </c>
      <c r="T1449" s="18">
        <f t="shared" si="381"/>
        <v>1878.1</v>
      </c>
      <c r="U1449" s="18">
        <f>U1450+U1451</f>
        <v>74.2</v>
      </c>
      <c r="V1449" s="18">
        <f t="shared" si="382"/>
        <v>1952.3</v>
      </c>
      <c r="W1449" s="18">
        <f>W1450+W1451</f>
        <v>-33</v>
      </c>
      <c r="X1449" s="18">
        <f t="shared" si="383"/>
        <v>1919.3</v>
      </c>
    </row>
    <row r="1450" spans="1:27" x14ac:dyDescent="0.25">
      <c r="A1450" s="7" t="s">
        <v>498</v>
      </c>
      <c r="B1450" s="25" t="s">
        <v>11</v>
      </c>
      <c r="C1450" s="25" t="s">
        <v>8</v>
      </c>
      <c r="D1450" s="19">
        <v>1448.1</v>
      </c>
      <c r="E1450" s="19"/>
      <c r="F1450" s="18">
        <f t="shared" si="391"/>
        <v>1448.1</v>
      </c>
      <c r="G1450" s="19"/>
      <c r="H1450" s="18">
        <f t="shared" si="392"/>
        <v>1448.1</v>
      </c>
      <c r="I1450" s="19"/>
      <c r="J1450" s="18">
        <f t="shared" si="385"/>
        <v>1448.1</v>
      </c>
      <c r="K1450" s="19"/>
      <c r="L1450" s="18">
        <f t="shared" si="386"/>
        <v>1448.1</v>
      </c>
      <c r="M1450" s="19"/>
      <c r="N1450" s="18">
        <f t="shared" si="388"/>
        <v>1448.1</v>
      </c>
      <c r="O1450" s="19"/>
      <c r="P1450" s="18">
        <f t="shared" si="389"/>
        <v>1448.1</v>
      </c>
      <c r="Q1450" s="19"/>
      <c r="R1450" s="18">
        <f t="shared" si="390"/>
        <v>1448.1</v>
      </c>
      <c r="S1450" s="64"/>
      <c r="T1450" s="18">
        <f t="shared" si="381"/>
        <v>1448.1</v>
      </c>
      <c r="U1450" s="96">
        <f>74.2-35</f>
        <v>39.200000000000003</v>
      </c>
      <c r="V1450" s="18">
        <f t="shared" si="382"/>
        <v>1487.3</v>
      </c>
      <c r="W1450" s="44">
        <f>-24.2+30</f>
        <v>5.8000000000000007</v>
      </c>
      <c r="X1450" s="18">
        <f t="shared" si="383"/>
        <v>1493.1</v>
      </c>
      <c r="Y1450" s="43">
        <v>30</v>
      </c>
      <c r="Z1450" s="43">
        <f t="shared" ref="Z1450:Z1451" si="398">X1450+Y1450</f>
        <v>1523.1</v>
      </c>
      <c r="AA1450" s="43"/>
    </row>
    <row r="1451" spans="1:27" ht="27.75" customHeight="1" x14ac:dyDescent="0.25">
      <c r="A1451" s="9" t="s">
        <v>500</v>
      </c>
      <c r="B1451" s="25" t="s">
        <v>11</v>
      </c>
      <c r="C1451" s="25" t="s">
        <v>9</v>
      </c>
      <c r="D1451" s="19">
        <v>430</v>
      </c>
      <c r="E1451" s="19"/>
      <c r="F1451" s="18">
        <f t="shared" si="391"/>
        <v>430</v>
      </c>
      <c r="G1451" s="19"/>
      <c r="H1451" s="18">
        <f t="shared" si="392"/>
        <v>430</v>
      </c>
      <c r="I1451" s="19"/>
      <c r="J1451" s="18">
        <f t="shared" si="385"/>
        <v>430</v>
      </c>
      <c r="K1451" s="19"/>
      <c r="L1451" s="18">
        <f t="shared" si="386"/>
        <v>430</v>
      </c>
      <c r="M1451" s="19"/>
      <c r="N1451" s="18">
        <f t="shared" si="388"/>
        <v>430</v>
      </c>
      <c r="O1451" s="19"/>
      <c r="P1451" s="18">
        <f t="shared" si="389"/>
        <v>430</v>
      </c>
      <c r="Q1451" s="19"/>
      <c r="R1451" s="18">
        <f t="shared" si="390"/>
        <v>430</v>
      </c>
      <c r="S1451" s="64"/>
      <c r="T1451" s="18">
        <f t="shared" si="381"/>
        <v>430</v>
      </c>
      <c r="U1451" s="96">
        <v>35</v>
      </c>
      <c r="V1451" s="18">
        <f t="shared" si="382"/>
        <v>465</v>
      </c>
      <c r="W1451" s="44">
        <f>-8.8-30</f>
        <v>-38.799999999999997</v>
      </c>
      <c r="X1451" s="18">
        <f t="shared" si="383"/>
        <v>426.2</v>
      </c>
      <c r="Y1451" s="43">
        <v>-30</v>
      </c>
      <c r="Z1451" s="43">
        <f t="shared" si="398"/>
        <v>396.2</v>
      </c>
      <c r="AA1451" s="43"/>
    </row>
    <row r="1452" spans="1:27" x14ac:dyDescent="0.25">
      <c r="A1452" s="13" t="s">
        <v>52</v>
      </c>
      <c r="B1452" s="24" t="s">
        <v>53</v>
      </c>
      <c r="C1452" s="24" t="s">
        <v>2</v>
      </c>
      <c r="D1452" s="18">
        <f>D1453+D1454+D1455+D1456</f>
        <v>2991.4</v>
      </c>
      <c r="E1452" s="18">
        <f>E1453+E1454+E1455+E1456</f>
        <v>0</v>
      </c>
      <c r="F1452" s="18">
        <f t="shared" si="391"/>
        <v>2991.4</v>
      </c>
      <c r="G1452" s="18">
        <f>G1453+G1454+G1455+G1456</f>
        <v>0</v>
      </c>
      <c r="H1452" s="18">
        <f t="shared" si="392"/>
        <v>2991.4</v>
      </c>
      <c r="I1452" s="18">
        <f>I1453+I1454+I1455+I1456</f>
        <v>0</v>
      </c>
      <c r="J1452" s="18">
        <f t="shared" si="385"/>
        <v>2991.4</v>
      </c>
      <c r="K1452" s="18">
        <f>K1453+K1454+K1455+K1456</f>
        <v>0</v>
      </c>
      <c r="L1452" s="18">
        <f t="shared" si="386"/>
        <v>2991.4</v>
      </c>
      <c r="M1452" s="18">
        <f>M1453+M1454+M1455+M1456</f>
        <v>0</v>
      </c>
      <c r="N1452" s="18">
        <f t="shared" si="388"/>
        <v>2991.4</v>
      </c>
      <c r="O1452" s="18">
        <f>O1453+O1454+O1455+O1456</f>
        <v>0</v>
      </c>
      <c r="P1452" s="18">
        <f t="shared" si="389"/>
        <v>2991.4</v>
      </c>
      <c r="Q1452" s="18">
        <f>Q1453+Q1454+Q1455+Q1456</f>
        <v>0</v>
      </c>
      <c r="R1452" s="18">
        <f t="shared" si="390"/>
        <v>2991.4</v>
      </c>
      <c r="S1452" s="18">
        <f>S1453+S1454+S1455+S1456</f>
        <v>66</v>
      </c>
      <c r="T1452" s="18">
        <f t="shared" si="381"/>
        <v>3057.4</v>
      </c>
      <c r="U1452" s="18">
        <f>U1453+U1454+U1455+U1456</f>
        <v>78.599999999999994</v>
      </c>
      <c r="V1452" s="18">
        <f t="shared" si="382"/>
        <v>3136</v>
      </c>
      <c r="W1452" s="18">
        <f>W1453+W1454+W1455+W1456</f>
        <v>42</v>
      </c>
      <c r="X1452" s="18">
        <f t="shared" si="383"/>
        <v>3178</v>
      </c>
    </row>
    <row r="1453" spans="1:27" x14ac:dyDescent="0.25">
      <c r="A1453" s="7" t="s">
        <v>498</v>
      </c>
      <c r="B1453" s="25" t="s">
        <v>53</v>
      </c>
      <c r="C1453" s="25" t="s">
        <v>8</v>
      </c>
      <c r="D1453" s="19">
        <v>2275.4</v>
      </c>
      <c r="E1453" s="19"/>
      <c r="F1453" s="18">
        <f t="shared" si="391"/>
        <v>2275.4</v>
      </c>
      <c r="G1453" s="19"/>
      <c r="H1453" s="18">
        <f t="shared" si="392"/>
        <v>2275.4</v>
      </c>
      <c r="I1453" s="19"/>
      <c r="J1453" s="18">
        <f t="shared" si="385"/>
        <v>2275.4</v>
      </c>
      <c r="K1453" s="19"/>
      <c r="L1453" s="18">
        <f t="shared" si="386"/>
        <v>2275.4</v>
      </c>
      <c r="M1453" s="19"/>
      <c r="N1453" s="18">
        <f t="shared" si="388"/>
        <v>2275.4</v>
      </c>
      <c r="O1453" s="19"/>
      <c r="P1453" s="18">
        <f t="shared" si="389"/>
        <v>2275.4</v>
      </c>
      <c r="Q1453" s="19"/>
      <c r="R1453" s="18">
        <f t="shared" si="390"/>
        <v>2275.4</v>
      </c>
      <c r="S1453" s="64"/>
      <c r="T1453" s="18">
        <f t="shared" si="381"/>
        <v>2275.4</v>
      </c>
      <c r="U1453" s="96">
        <f>78.6-35+35</f>
        <v>78.599999999999994</v>
      </c>
      <c r="V1453" s="18">
        <f t="shared" si="382"/>
        <v>2354</v>
      </c>
      <c r="W1453" s="44">
        <f>9.8+0.8</f>
        <v>10.600000000000001</v>
      </c>
      <c r="X1453" s="18">
        <f t="shared" si="383"/>
        <v>2364.6</v>
      </c>
      <c r="Z1453" s="43">
        <f t="shared" ref="Z1453:Z1456" si="399">X1453+Y1453</f>
        <v>2364.6</v>
      </c>
      <c r="AA1453" s="43"/>
    </row>
    <row r="1454" spans="1:27" ht="30" customHeight="1" x14ac:dyDescent="0.25">
      <c r="A1454" s="9" t="s">
        <v>500</v>
      </c>
      <c r="B1454" s="25" t="s">
        <v>53</v>
      </c>
      <c r="C1454" s="25" t="s">
        <v>9</v>
      </c>
      <c r="D1454" s="19">
        <v>677</v>
      </c>
      <c r="E1454" s="19"/>
      <c r="F1454" s="18">
        <f t="shared" si="391"/>
        <v>677</v>
      </c>
      <c r="G1454" s="19"/>
      <c r="H1454" s="18">
        <f t="shared" si="392"/>
        <v>677</v>
      </c>
      <c r="I1454" s="19"/>
      <c r="J1454" s="18">
        <f t="shared" si="385"/>
        <v>677</v>
      </c>
      <c r="K1454" s="19"/>
      <c r="L1454" s="18">
        <f t="shared" si="386"/>
        <v>677</v>
      </c>
      <c r="M1454" s="19"/>
      <c r="N1454" s="18">
        <f t="shared" si="388"/>
        <v>677</v>
      </c>
      <c r="O1454" s="19"/>
      <c r="P1454" s="18">
        <f t="shared" si="389"/>
        <v>677</v>
      </c>
      <c r="Q1454" s="19"/>
      <c r="R1454" s="18">
        <f t="shared" si="390"/>
        <v>677</v>
      </c>
      <c r="S1454" s="64"/>
      <c r="T1454" s="18">
        <f t="shared" si="381"/>
        <v>677</v>
      </c>
      <c r="U1454" s="96">
        <f>35-35</f>
        <v>0</v>
      </c>
      <c r="V1454" s="18">
        <f t="shared" si="382"/>
        <v>677</v>
      </c>
      <c r="W1454" s="44">
        <v>31.4</v>
      </c>
      <c r="X1454" s="18">
        <f t="shared" si="383"/>
        <v>708.4</v>
      </c>
      <c r="Z1454" s="43">
        <f t="shared" si="399"/>
        <v>708.4</v>
      </c>
      <c r="AA1454" s="43"/>
    </row>
    <row r="1455" spans="1:27" ht="16.5" customHeight="1" x14ac:dyDescent="0.25">
      <c r="A1455" s="9" t="s">
        <v>501</v>
      </c>
      <c r="B1455" s="25" t="s">
        <v>53</v>
      </c>
      <c r="C1455" s="25" t="s">
        <v>33</v>
      </c>
      <c r="D1455" s="19">
        <v>4</v>
      </c>
      <c r="E1455" s="19"/>
      <c r="F1455" s="18">
        <f t="shared" si="391"/>
        <v>4</v>
      </c>
      <c r="G1455" s="19"/>
      <c r="H1455" s="18">
        <f t="shared" si="392"/>
        <v>4</v>
      </c>
      <c r="I1455" s="19"/>
      <c r="J1455" s="18">
        <f t="shared" si="385"/>
        <v>4</v>
      </c>
      <c r="K1455" s="19"/>
      <c r="L1455" s="18">
        <f t="shared" si="386"/>
        <v>4</v>
      </c>
      <c r="M1455" s="62">
        <v>-4</v>
      </c>
      <c r="N1455" s="18">
        <f t="shared" si="388"/>
        <v>0</v>
      </c>
      <c r="O1455" s="64"/>
      <c r="P1455" s="18">
        <f t="shared" si="389"/>
        <v>0</v>
      </c>
      <c r="Q1455" s="64"/>
      <c r="R1455" s="18">
        <f t="shared" si="390"/>
        <v>0</v>
      </c>
      <c r="S1455" s="44">
        <v>66</v>
      </c>
      <c r="T1455" s="18">
        <f t="shared" si="381"/>
        <v>66</v>
      </c>
      <c r="U1455" s="96">
        <v>2.4</v>
      </c>
      <c r="V1455" s="18">
        <f t="shared" si="382"/>
        <v>68.400000000000006</v>
      </c>
      <c r="W1455" s="64"/>
      <c r="X1455" s="18">
        <f t="shared" si="383"/>
        <v>68.400000000000006</v>
      </c>
      <c r="Z1455" s="43">
        <f t="shared" si="399"/>
        <v>68.400000000000006</v>
      </c>
      <c r="AA1455" s="43"/>
    </row>
    <row r="1456" spans="1:27" x14ac:dyDescent="0.25">
      <c r="A1456" s="7" t="s">
        <v>54</v>
      </c>
      <c r="B1456" s="25" t="s">
        <v>53</v>
      </c>
      <c r="C1456" s="25" t="s">
        <v>34</v>
      </c>
      <c r="D1456" s="19">
        <v>35</v>
      </c>
      <c r="E1456" s="19"/>
      <c r="F1456" s="18">
        <f t="shared" si="391"/>
        <v>35</v>
      </c>
      <c r="G1456" s="19"/>
      <c r="H1456" s="18">
        <f t="shared" si="392"/>
        <v>35</v>
      </c>
      <c r="I1456" s="19"/>
      <c r="J1456" s="18">
        <f t="shared" si="385"/>
        <v>35</v>
      </c>
      <c r="K1456" s="19"/>
      <c r="L1456" s="18">
        <f t="shared" si="386"/>
        <v>35</v>
      </c>
      <c r="M1456" s="62">
        <v>4</v>
      </c>
      <c r="N1456" s="18">
        <f t="shared" si="388"/>
        <v>39</v>
      </c>
      <c r="O1456" s="64"/>
      <c r="P1456" s="18">
        <f t="shared" si="389"/>
        <v>39</v>
      </c>
      <c r="Q1456" s="64"/>
      <c r="R1456" s="18">
        <f t="shared" si="390"/>
        <v>39</v>
      </c>
      <c r="S1456" s="64"/>
      <c r="T1456" s="18">
        <f t="shared" si="381"/>
        <v>39</v>
      </c>
      <c r="U1456" s="96">
        <v>-2.4</v>
      </c>
      <c r="V1456" s="18">
        <f t="shared" si="382"/>
        <v>36.6</v>
      </c>
      <c r="W1456" s="64"/>
      <c r="X1456" s="18">
        <f t="shared" si="383"/>
        <v>36.6</v>
      </c>
      <c r="Z1456" s="43">
        <f t="shared" si="399"/>
        <v>36.6</v>
      </c>
      <c r="AA1456" s="43"/>
    </row>
    <row r="1457" spans="1:27" ht="24.75" x14ac:dyDescent="0.25">
      <c r="A1457" s="13" t="s">
        <v>577</v>
      </c>
      <c r="B1457" s="29" t="s">
        <v>579</v>
      </c>
      <c r="C1457" s="27"/>
      <c r="D1457" s="19"/>
      <c r="E1457" s="20">
        <f>E1459</f>
        <v>75</v>
      </c>
      <c r="F1457" s="18">
        <f t="shared" si="391"/>
        <v>75</v>
      </c>
      <c r="G1457" s="20">
        <f>G1459</f>
        <v>0</v>
      </c>
      <c r="H1457" s="18">
        <f t="shared" si="392"/>
        <v>75</v>
      </c>
      <c r="I1457" s="20">
        <f>I1459</f>
        <v>934.7</v>
      </c>
      <c r="J1457" s="18">
        <f t="shared" si="385"/>
        <v>1009.7</v>
      </c>
      <c r="K1457" s="20">
        <f>K1459+K1458</f>
        <v>7244.6</v>
      </c>
      <c r="L1457" s="18">
        <f t="shared" si="386"/>
        <v>8254.3000000000011</v>
      </c>
      <c r="M1457" s="20">
        <f>M1459+M1458</f>
        <v>155.30000000000001</v>
      </c>
      <c r="N1457" s="18">
        <f t="shared" si="388"/>
        <v>8409.6</v>
      </c>
      <c r="O1457" s="20">
        <f>O1459+O1458</f>
        <v>0</v>
      </c>
      <c r="P1457" s="18">
        <f t="shared" si="389"/>
        <v>8409.6</v>
      </c>
      <c r="Q1457" s="20">
        <f>Q1459+Q1458</f>
        <v>786.9</v>
      </c>
      <c r="R1457" s="18">
        <f t="shared" si="390"/>
        <v>9196.5</v>
      </c>
      <c r="S1457" s="20">
        <f>S1459+S1458</f>
        <v>251.2</v>
      </c>
      <c r="T1457" s="18">
        <f t="shared" si="381"/>
        <v>9447.7000000000007</v>
      </c>
      <c r="U1457" s="20">
        <f>U1459+U1458</f>
        <v>1188.9000000000001</v>
      </c>
      <c r="V1457" s="18">
        <f t="shared" si="382"/>
        <v>10636.6</v>
      </c>
      <c r="W1457" s="20">
        <f>W1459+W1458</f>
        <v>2122.6999999999998</v>
      </c>
      <c r="X1457" s="18">
        <f t="shared" si="383"/>
        <v>12759.3</v>
      </c>
    </row>
    <row r="1458" spans="1:27" x14ac:dyDescent="0.25">
      <c r="A1458" s="9" t="s">
        <v>511</v>
      </c>
      <c r="B1458" s="31" t="s">
        <v>579</v>
      </c>
      <c r="C1458" s="27" t="s">
        <v>66</v>
      </c>
      <c r="D1458" s="19"/>
      <c r="E1458" s="20"/>
      <c r="F1458" s="18"/>
      <c r="G1458" s="20"/>
      <c r="H1458" s="18"/>
      <c r="I1458" s="20"/>
      <c r="J1458" s="18"/>
      <c r="K1458" s="44">
        <f>30+60</f>
        <v>90</v>
      </c>
      <c r="L1458" s="18">
        <f t="shared" si="386"/>
        <v>90</v>
      </c>
      <c r="M1458" s="62">
        <v>-30</v>
      </c>
      <c r="N1458" s="18">
        <f t="shared" si="388"/>
        <v>60</v>
      </c>
      <c r="O1458" s="64"/>
      <c r="P1458" s="18">
        <f t="shared" si="389"/>
        <v>60</v>
      </c>
      <c r="Q1458" s="44">
        <v>10</v>
      </c>
      <c r="R1458" s="18">
        <f t="shared" si="390"/>
        <v>70</v>
      </c>
      <c r="S1458" s="64"/>
      <c r="T1458" s="18">
        <f t="shared" si="381"/>
        <v>70</v>
      </c>
      <c r="U1458" s="64"/>
      <c r="V1458" s="18">
        <f t="shared" si="382"/>
        <v>70</v>
      </c>
      <c r="W1458" s="64"/>
      <c r="X1458" s="18">
        <f t="shared" si="383"/>
        <v>70</v>
      </c>
      <c r="Z1458" s="43">
        <f t="shared" ref="Z1458" si="400">X1458+Y1458</f>
        <v>70</v>
      </c>
      <c r="AA1458" s="43"/>
    </row>
    <row r="1459" spans="1:27" ht="24.75" x14ac:dyDescent="0.25">
      <c r="A1459" s="58" t="s">
        <v>578</v>
      </c>
      <c r="B1459" s="31" t="s">
        <v>579</v>
      </c>
      <c r="C1459" s="60" t="s">
        <v>580</v>
      </c>
      <c r="D1459" s="19"/>
      <c r="E1459" s="62">
        <v>75</v>
      </c>
      <c r="F1459" s="18">
        <f t="shared" si="391"/>
        <v>75</v>
      </c>
      <c r="G1459" s="64"/>
      <c r="H1459" s="18">
        <f t="shared" si="392"/>
        <v>75</v>
      </c>
      <c r="I1459" s="62">
        <f>5.2+813.3+116.2</f>
        <v>934.7</v>
      </c>
      <c r="J1459" s="18">
        <f t="shared" si="385"/>
        <v>1009.7</v>
      </c>
      <c r="K1459" s="97">
        <f>5952.8+1201.8</f>
        <v>7154.6</v>
      </c>
      <c r="L1459" s="18">
        <f t="shared" si="386"/>
        <v>8164.3</v>
      </c>
      <c r="M1459" s="62">
        <v>185.3</v>
      </c>
      <c r="N1459" s="18">
        <f t="shared" si="388"/>
        <v>8349.6</v>
      </c>
      <c r="O1459" s="64"/>
      <c r="P1459" s="18">
        <f t="shared" si="389"/>
        <v>8349.6</v>
      </c>
      <c r="Q1459" s="44">
        <f>401.7+375.2</f>
        <v>776.9</v>
      </c>
      <c r="R1459" s="18">
        <f t="shared" si="390"/>
        <v>9126.5</v>
      </c>
      <c r="S1459" s="62">
        <v>251.2</v>
      </c>
      <c r="T1459" s="18">
        <f t="shared" si="381"/>
        <v>9377.7000000000007</v>
      </c>
      <c r="U1459" s="96">
        <v>1188.9000000000001</v>
      </c>
      <c r="V1459" s="18">
        <f t="shared" si="382"/>
        <v>10566.6</v>
      </c>
      <c r="W1459" s="44">
        <v>2122.6999999999998</v>
      </c>
      <c r="X1459" s="18">
        <f>V1459+W1459</f>
        <v>12689.3</v>
      </c>
      <c r="Y1459" s="43">
        <f>2074.7+48</f>
        <v>2122.6999999999998</v>
      </c>
      <c r="Z1459" s="43">
        <f>X1459+Y1459</f>
        <v>14812</v>
      </c>
      <c r="AA1459" s="43"/>
    </row>
    <row r="1460" spans="1:27" ht="24.75" x14ac:dyDescent="0.25">
      <c r="A1460" s="13" t="s">
        <v>1122</v>
      </c>
      <c r="B1460" s="29" t="s">
        <v>1123</v>
      </c>
      <c r="C1460" s="60"/>
      <c r="D1460" s="19"/>
      <c r="E1460" s="62"/>
      <c r="F1460" s="18"/>
      <c r="G1460" s="64"/>
      <c r="H1460" s="18"/>
      <c r="I1460" s="62"/>
      <c r="J1460" s="18"/>
      <c r="K1460" s="97"/>
      <c r="L1460" s="18"/>
      <c r="M1460" s="62"/>
      <c r="N1460" s="18"/>
      <c r="O1460" s="64"/>
      <c r="P1460" s="18"/>
      <c r="Q1460" s="47">
        <f>Q1461</f>
        <v>158.70000000000005</v>
      </c>
      <c r="R1460" s="18">
        <f t="shared" si="390"/>
        <v>158.70000000000005</v>
      </c>
      <c r="S1460" s="47">
        <f>S1461</f>
        <v>0</v>
      </c>
      <c r="T1460" s="18">
        <f t="shared" si="381"/>
        <v>158.70000000000005</v>
      </c>
      <c r="U1460" s="47">
        <f>U1461</f>
        <v>0</v>
      </c>
      <c r="V1460" s="18">
        <f t="shared" si="382"/>
        <v>158.70000000000005</v>
      </c>
      <c r="W1460" s="47">
        <f>W1461</f>
        <v>0</v>
      </c>
      <c r="X1460" s="18">
        <f t="shared" si="383"/>
        <v>158.70000000000005</v>
      </c>
    </row>
    <row r="1461" spans="1:27" x14ac:dyDescent="0.25">
      <c r="A1461" s="51" t="s">
        <v>54</v>
      </c>
      <c r="B1461" s="31" t="s">
        <v>1123</v>
      </c>
      <c r="C1461" s="60" t="s">
        <v>34</v>
      </c>
      <c r="D1461" s="19"/>
      <c r="E1461" s="62"/>
      <c r="F1461" s="18"/>
      <c r="G1461" s="64"/>
      <c r="H1461" s="18"/>
      <c r="I1461" s="62"/>
      <c r="J1461" s="18"/>
      <c r="K1461" s="97"/>
      <c r="L1461" s="18"/>
      <c r="M1461" s="62"/>
      <c r="N1461" s="18"/>
      <c r="O1461" s="64"/>
      <c r="P1461" s="18"/>
      <c r="Q1461" s="45">
        <f>1586.8-1428.1</f>
        <v>158.70000000000005</v>
      </c>
      <c r="R1461" s="18">
        <f t="shared" si="390"/>
        <v>158.70000000000005</v>
      </c>
      <c r="S1461" s="64"/>
      <c r="T1461" s="18">
        <f t="shared" si="381"/>
        <v>158.70000000000005</v>
      </c>
      <c r="U1461" s="64"/>
      <c r="V1461" s="18">
        <f t="shared" si="382"/>
        <v>158.70000000000005</v>
      </c>
      <c r="W1461" s="64"/>
      <c r="X1461" s="18">
        <f t="shared" si="383"/>
        <v>158.70000000000005</v>
      </c>
      <c r="Z1461" s="43">
        <f>X1461+Y1461</f>
        <v>158.70000000000005</v>
      </c>
      <c r="AA1461" s="43"/>
    </row>
    <row r="1462" spans="1:27" hidden="1" x14ac:dyDescent="0.25">
      <c r="A1462" s="33" t="s">
        <v>662</v>
      </c>
      <c r="B1462" s="26" t="s">
        <v>742</v>
      </c>
      <c r="C1462" s="26"/>
      <c r="D1462" s="19"/>
      <c r="E1462" s="62"/>
      <c r="F1462" s="18"/>
      <c r="G1462" s="64"/>
      <c r="H1462" s="18"/>
      <c r="I1462" s="62"/>
      <c r="J1462" s="18"/>
      <c r="K1462" s="97"/>
      <c r="L1462" s="18"/>
      <c r="M1462" s="47">
        <f>M1463</f>
        <v>6677.6</v>
      </c>
      <c r="N1462" s="18">
        <f t="shared" si="388"/>
        <v>6677.6</v>
      </c>
      <c r="O1462" s="47">
        <f>O1463</f>
        <v>0</v>
      </c>
      <c r="P1462" s="18">
        <f t="shared" si="389"/>
        <v>6677.6</v>
      </c>
      <c r="Q1462" s="47">
        <f>Q1463</f>
        <v>-5697.5</v>
      </c>
      <c r="R1462" s="18">
        <f t="shared" si="390"/>
        <v>980.10000000000036</v>
      </c>
      <c r="S1462" s="47">
        <f>S1463</f>
        <v>0</v>
      </c>
      <c r="T1462" s="18">
        <f t="shared" si="381"/>
        <v>980.10000000000036</v>
      </c>
      <c r="U1462" s="47">
        <f>U1463</f>
        <v>-980.1</v>
      </c>
      <c r="V1462" s="18">
        <f t="shared" si="382"/>
        <v>0</v>
      </c>
      <c r="W1462" s="47">
        <f>W1463</f>
        <v>0</v>
      </c>
      <c r="X1462" s="18">
        <f t="shared" si="383"/>
        <v>0</v>
      </c>
    </row>
    <row r="1463" spans="1:27" hidden="1" x14ac:dyDescent="0.25">
      <c r="A1463" s="7" t="s">
        <v>54</v>
      </c>
      <c r="B1463" s="27" t="s">
        <v>742</v>
      </c>
      <c r="C1463" s="27" t="s">
        <v>34</v>
      </c>
      <c r="D1463" s="19"/>
      <c r="E1463" s="62"/>
      <c r="F1463" s="18"/>
      <c r="G1463" s="64"/>
      <c r="H1463" s="18"/>
      <c r="I1463" s="62"/>
      <c r="J1463" s="18"/>
      <c r="K1463" s="97"/>
      <c r="L1463" s="18"/>
      <c r="M1463" s="45">
        <v>6677.6</v>
      </c>
      <c r="N1463" s="18">
        <f t="shared" si="388"/>
        <v>6677.6</v>
      </c>
      <c r="O1463" s="64"/>
      <c r="P1463" s="18">
        <f t="shared" si="389"/>
        <v>6677.6</v>
      </c>
      <c r="Q1463" s="45">
        <v>-5697.5</v>
      </c>
      <c r="R1463" s="18">
        <f t="shared" si="390"/>
        <v>980.10000000000036</v>
      </c>
      <c r="S1463" s="64"/>
      <c r="T1463" s="18">
        <f t="shared" si="381"/>
        <v>980.10000000000036</v>
      </c>
      <c r="U1463" s="157">
        <v>-980.1</v>
      </c>
      <c r="V1463" s="18">
        <f t="shared" si="382"/>
        <v>0</v>
      </c>
      <c r="W1463" s="64"/>
      <c r="X1463" s="18">
        <f t="shared" si="383"/>
        <v>0</v>
      </c>
      <c r="Z1463" s="43">
        <f>X1463+Y1463</f>
        <v>0</v>
      </c>
      <c r="AA1463" s="43"/>
    </row>
    <row r="1464" spans="1:27" ht="24.75" hidden="1" x14ac:dyDescent="0.25">
      <c r="A1464" s="28" t="s">
        <v>692</v>
      </c>
      <c r="B1464" s="24" t="s">
        <v>691</v>
      </c>
      <c r="C1464" s="25"/>
      <c r="D1464" s="19"/>
      <c r="E1464" s="19"/>
      <c r="F1464" s="18"/>
      <c r="G1464" s="19"/>
      <c r="H1464" s="18"/>
      <c r="I1464" s="19"/>
      <c r="J1464" s="18"/>
      <c r="K1464" s="20">
        <f>K1465</f>
        <v>64500</v>
      </c>
      <c r="L1464" s="18">
        <f>J1464+K1464</f>
        <v>64500</v>
      </c>
      <c r="M1464" s="20">
        <f>M1465</f>
        <v>0</v>
      </c>
      <c r="N1464" s="18">
        <f>L1464+M1464</f>
        <v>64500</v>
      </c>
      <c r="O1464" s="20">
        <f>O1465</f>
        <v>0</v>
      </c>
      <c r="P1464" s="18">
        <f>N1464+O1464</f>
        <v>64500</v>
      </c>
      <c r="Q1464" s="20">
        <f>Q1465</f>
        <v>0</v>
      </c>
      <c r="R1464" s="18">
        <f>P1464+Q1464</f>
        <v>64500</v>
      </c>
      <c r="S1464" s="20">
        <f>S1465</f>
        <v>0</v>
      </c>
      <c r="T1464" s="18">
        <f>R1464+S1464</f>
        <v>64500</v>
      </c>
      <c r="U1464" s="20">
        <f>U1465</f>
        <v>0</v>
      </c>
      <c r="V1464" s="18">
        <f>T1464+U1464</f>
        <v>64500</v>
      </c>
      <c r="W1464" s="20">
        <f>W1465</f>
        <v>-64500</v>
      </c>
      <c r="X1464" s="18">
        <f>V1464+W1464</f>
        <v>0</v>
      </c>
    </row>
    <row r="1465" spans="1:27" ht="24.75" hidden="1" x14ac:dyDescent="0.25">
      <c r="A1465" s="8" t="s">
        <v>509</v>
      </c>
      <c r="B1465" s="25" t="s">
        <v>691</v>
      </c>
      <c r="C1465" s="25" t="s">
        <v>201</v>
      </c>
      <c r="D1465" s="19"/>
      <c r="E1465" s="19"/>
      <c r="F1465" s="18"/>
      <c r="G1465" s="19"/>
      <c r="H1465" s="18"/>
      <c r="I1465" s="19"/>
      <c r="J1465" s="18"/>
      <c r="K1465" s="45">
        <v>64500</v>
      </c>
      <c r="L1465" s="18">
        <f>J1465+K1465</f>
        <v>64500</v>
      </c>
      <c r="M1465" s="64"/>
      <c r="N1465" s="18">
        <f>L1465+M1465</f>
        <v>64500</v>
      </c>
      <c r="O1465" s="64"/>
      <c r="P1465" s="18">
        <f>N1465+O1465</f>
        <v>64500</v>
      </c>
      <c r="Q1465" s="64"/>
      <c r="R1465" s="18">
        <f>P1465+Q1465</f>
        <v>64500</v>
      </c>
      <c r="S1465" s="64"/>
      <c r="T1465" s="18">
        <f>R1465+S1465</f>
        <v>64500</v>
      </c>
      <c r="U1465" s="64"/>
      <c r="V1465" s="18">
        <f>T1465+U1465</f>
        <v>64500</v>
      </c>
      <c r="W1465" s="45">
        <v>-64500</v>
      </c>
      <c r="X1465" s="18">
        <f>V1465+W1465</f>
        <v>0</v>
      </c>
      <c r="Z1465" s="43">
        <f>X1465+Y1465</f>
        <v>0</v>
      </c>
      <c r="AA1465" s="43"/>
    </row>
    <row r="1466" spans="1:27" x14ac:dyDescent="0.25">
      <c r="A1466" s="28" t="s">
        <v>697</v>
      </c>
      <c r="B1466" s="26" t="s">
        <v>698</v>
      </c>
      <c r="C1466" s="27"/>
      <c r="D1466" s="19"/>
      <c r="E1466" s="19"/>
      <c r="F1466" s="18"/>
      <c r="G1466" s="19"/>
      <c r="H1466" s="18"/>
      <c r="I1466" s="19"/>
      <c r="J1466" s="18"/>
      <c r="K1466" s="20">
        <f>K1467</f>
        <v>350.4</v>
      </c>
      <c r="L1466" s="18">
        <f t="shared" ref="L1466:L1467" si="401">J1466+K1466</f>
        <v>350.4</v>
      </c>
      <c r="M1466" s="20">
        <f>M1467</f>
        <v>0</v>
      </c>
      <c r="N1466" s="18">
        <f t="shared" ref="N1466:N1471" si="402">L1466+M1466</f>
        <v>350.4</v>
      </c>
      <c r="O1466" s="20">
        <f>O1467</f>
        <v>0</v>
      </c>
      <c r="P1466" s="18">
        <f t="shared" ref="P1466:P1471" si="403">N1466+O1466</f>
        <v>350.4</v>
      </c>
      <c r="Q1466" s="20">
        <f>Q1467</f>
        <v>0</v>
      </c>
      <c r="R1466" s="18">
        <f t="shared" ref="R1466:R1471" si="404">P1466+Q1466</f>
        <v>350.4</v>
      </c>
      <c r="S1466" s="20">
        <f>S1467</f>
        <v>0</v>
      </c>
      <c r="T1466" s="18">
        <f t="shared" ref="T1466:T1471" si="405">R1466+S1466</f>
        <v>350.4</v>
      </c>
      <c r="U1466" s="20">
        <f>U1467</f>
        <v>0</v>
      </c>
      <c r="V1466" s="18">
        <f t="shared" ref="V1466:V1471" si="406">T1466+U1466</f>
        <v>350.4</v>
      </c>
      <c r="W1466" s="20">
        <f>W1467</f>
        <v>0</v>
      </c>
      <c r="X1466" s="18">
        <f t="shared" ref="X1466:X1471" si="407">V1466+W1466</f>
        <v>350.4</v>
      </c>
    </row>
    <row r="1467" spans="1:27" x14ac:dyDescent="0.25">
      <c r="A1467" s="7" t="s">
        <v>54</v>
      </c>
      <c r="B1467" s="27" t="s">
        <v>698</v>
      </c>
      <c r="C1467" s="27" t="s">
        <v>34</v>
      </c>
      <c r="D1467" s="19"/>
      <c r="E1467" s="19"/>
      <c r="F1467" s="18"/>
      <c r="G1467" s="19"/>
      <c r="H1467" s="18"/>
      <c r="I1467" s="19"/>
      <c r="J1467" s="18"/>
      <c r="K1467" s="45">
        <v>350.4</v>
      </c>
      <c r="L1467" s="18">
        <f t="shared" si="401"/>
        <v>350.4</v>
      </c>
      <c r="M1467" s="64"/>
      <c r="N1467" s="18">
        <f t="shared" si="402"/>
        <v>350.4</v>
      </c>
      <c r="O1467" s="64"/>
      <c r="P1467" s="18">
        <f t="shared" si="403"/>
        <v>350.4</v>
      </c>
      <c r="Q1467" s="64"/>
      <c r="R1467" s="18">
        <f t="shared" si="404"/>
        <v>350.4</v>
      </c>
      <c r="S1467" s="64"/>
      <c r="T1467" s="18">
        <f t="shared" si="405"/>
        <v>350.4</v>
      </c>
      <c r="U1467" s="64"/>
      <c r="V1467" s="18">
        <f t="shared" si="406"/>
        <v>350.4</v>
      </c>
      <c r="W1467" s="64"/>
      <c r="X1467" s="18">
        <f t="shared" si="407"/>
        <v>350.4</v>
      </c>
      <c r="Z1467" s="43">
        <f>X1467+Y1467</f>
        <v>350.4</v>
      </c>
      <c r="AA1467" s="43"/>
    </row>
    <row r="1468" spans="1:27" ht="26.25" customHeight="1" x14ac:dyDescent="0.25">
      <c r="A1468" s="13" t="s">
        <v>86</v>
      </c>
      <c r="B1468" s="24" t="s">
        <v>87</v>
      </c>
      <c r="C1468" s="24" t="s">
        <v>2</v>
      </c>
      <c r="D1468" s="18">
        <f>D1469</f>
        <v>27</v>
      </c>
      <c r="E1468" s="18">
        <f>E1469</f>
        <v>0</v>
      </c>
      <c r="F1468" s="18">
        <f t="shared" si="391"/>
        <v>27</v>
      </c>
      <c r="G1468" s="18">
        <f>G1469</f>
        <v>0</v>
      </c>
      <c r="H1468" s="18">
        <f t="shared" si="392"/>
        <v>27</v>
      </c>
      <c r="I1468" s="18">
        <f>I1469</f>
        <v>0</v>
      </c>
      <c r="J1468" s="18">
        <f t="shared" si="385"/>
        <v>27</v>
      </c>
      <c r="K1468" s="18">
        <f>K1469</f>
        <v>0</v>
      </c>
      <c r="L1468" s="18">
        <f t="shared" si="386"/>
        <v>27</v>
      </c>
      <c r="M1468" s="18">
        <f>M1469</f>
        <v>0</v>
      </c>
      <c r="N1468" s="18">
        <f t="shared" si="402"/>
        <v>27</v>
      </c>
      <c r="O1468" s="18">
        <f>O1469</f>
        <v>0</v>
      </c>
      <c r="P1468" s="18">
        <f t="shared" si="403"/>
        <v>27</v>
      </c>
      <c r="Q1468" s="18">
        <f>Q1469</f>
        <v>0</v>
      </c>
      <c r="R1468" s="18">
        <f t="shared" si="404"/>
        <v>27</v>
      </c>
      <c r="S1468" s="18">
        <f>S1469</f>
        <v>0</v>
      </c>
      <c r="T1468" s="18">
        <f t="shared" si="405"/>
        <v>27</v>
      </c>
      <c r="U1468" s="18">
        <f>U1469</f>
        <v>0</v>
      </c>
      <c r="V1468" s="18">
        <f t="shared" si="406"/>
        <v>27</v>
      </c>
      <c r="W1468" s="18">
        <f>W1469</f>
        <v>0</v>
      </c>
      <c r="X1468" s="18">
        <f t="shared" si="407"/>
        <v>27</v>
      </c>
    </row>
    <row r="1469" spans="1:27" ht="27.75" customHeight="1" x14ac:dyDescent="0.25">
      <c r="A1469" s="13" t="s">
        <v>88</v>
      </c>
      <c r="B1469" s="24" t="s">
        <v>89</v>
      </c>
      <c r="C1469" s="24" t="s">
        <v>2</v>
      </c>
      <c r="D1469" s="18">
        <f>D1470</f>
        <v>27</v>
      </c>
      <c r="E1469" s="18">
        <f>E1470</f>
        <v>0</v>
      </c>
      <c r="F1469" s="18">
        <f t="shared" si="391"/>
        <v>27</v>
      </c>
      <c r="G1469" s="18">
        <f>G1470</f>
        <v>0</v>
      </c>
      <c r="H1469" s="18">
        <f t="shared" si="392"/>
        <v>27</v>
      </c>
      <c r="I1469" s="18">
        <f>I1470</f>
        <v>0</v>
      </c>
      <c r="J1469" s="18">
        <f t="shared" si="385"/>
        <v>27</v>
      </c>
      <c r="K1469" s="18">
        <f>K1470</f>
        <v>0</v>
      </c>
      <c r="L1469" s="18">
        <f t="shared" si="386"/>
        <v>27</v>
      </c>
      <c r="M1469" s="18">
        <f>M1470</f>
        <v>0</v>
      </c>
      <c r="N1469" s="18">
        <f t="shared" si="402"/>
        <v>27</v>
      </c>
      <c r="O1469" s="18">
        <f>O1470</f>
        <v>0</v>
      </c>
      <c r="P1469" s="18">
        <f t="shared" si="403"/>
        <v>27</v>
      </c>
      <c r="Q1469" s="18">
        <f>Q1470</f>
        <v>0</v>
      </c>
      <c r="R1469" s="18">
        <f t="shared" si="404"/>
        <v>27</v>
      </c>
      <c r="S1469" s="18">
        <f>S1470</f>
        <v>0</v>
      </c>
      <c r="T1469" s="18">
        <f t="shared" si="405"/>
        <v>27</v>
      </c>
      <c r="U1469" s="18">
        <f>U1470</f>
        <v>0</v>
      </c>
      <c r="V1469" s="18">
        <f t="shared" si="406"/>
        <v>27</v>
      </c>
      <c r="W1469" s="18">
        <f>W1470</f>
        <v>0</v>
      </c>
      <c r="X1469" s="18">
        <f t="shared" si="407"/>
        <v>27</v>
      </c>
    </row>
    <row r="1470" spans="1:27" x14ac:dyDescent="0.25">
      <c r="A1470" s="7" t="s">
        <v>54</v>
      </c>
      <c r="B1470" s="25" t="s">
        <v>89</v>
      </c>
      <c r="C1470" s="25" t="s">
        <v>34</v>
      </c>
      <c r="D1470" s="19">
        <v>27</v>
      </c>
      <c r="E1470" s="19"/>
      <c r="F1470" s="18">
        <f t="shared" si="391"/>
        <v>27</v>
      </c>
      <c r="G1470" s="19"/>
      <c r="H1470" s="18">
        <f t="shared" si="392"/>
        <v>27</v>
      </c>
      <c r="I1470" s="19"/>
      <c r="J1470" s="18">
        <f t="shared" si="385"/>
        <v>27</v>
      </c>
      <c r="K1470" s="19"/>
      <c r="L1470" s="18">
        <f t="shared" si="386"/>
        <v>27</v>
      </c>
      <c r="M1470" s="19"/>
      <c r="N1470" s="18">
        <f t="shared" si="402"/>
        <v>27</v>
      </c>
      <c r="O1470" s="19"/>
      <c r="P1470" s="18">
        <f t="shared" si="403"/>
        <v>27</v>
      </c>
      <c r="Q1470" s="19"/>
      <c r="R1470" s="18">
        <f t="shared" si="404"/>
        <v>27</v>
      </c>
      <c r="S1470" s="64"/>
      <c r="T1470" s="18">
        <f t="shared" si="405"/>
        <v>27</v>
      </c>
      <c r="U1470" s="64"/>
      <c r="V1470" s="18">
        <f t="shared" si="406"/>
        <v>27</v>
      </c>
      <c r="W1470" s="64"/>
      <c r="X1470" s="18">
        <f t="shared" si="407"/>
        <v>27</v>
      </c>
      <c r="Z1470" s="43">
        <f>X1470+Y1470</f>
        <v>27</v>
      </c>
      <c r="AA1470" s="43"/>
    </row>
    <row r="1471" spans="1:27" ht="15.75" x14ac:dyDescent="0.25">
      <c r="A1471" s="167" t="s">
        <v>3</v>
      </c>
      <c r="B1471" s="168"/>
      <c r="C1471" s="169"/>
      <c r="D1471" s="42">
        <f>D16+D214+D292+D301+D332+D347+D392+D413+D435+D1041+D1083+D1236+D1239+D1294+D1410+D1424+D1431</f>
        <v>2490405.2999999993</v>
      </c>
      <c r="E1471" s="42">
        <f>E16+E214+E292+E301+E332+E347+E392+E413+E435+E1041+E1083+E1236+E1239+E1294+E1410+E1424+E1431</f>
        <v>938684.59999999986</v>
      </c>
      <c r="F1471" s="42">
        <f t="shared" si="391"/>
        <v>3429089.8999999994</v>
      </c>
      <c r="G1471" s="42">
        <f>G16+G214+G292+G301+G332+G347+G392+G413+G435+G1041+G1083+G1236+G1239+G1294+G1410+G1424+G1431</f>
        <v>251749.19999999998</v>
      </c>
      <c r="H1471" s="42">
        <f t="shared" si="392"/>
        <v>3680839.0999999996</v>
      </c>
      <c r="I1471" s="42">
        <f>I16+I214+I292+I301+I332+I347+I392+I413+I435+I1041+I1083+I1236+I1239+I1294+I1410+I1424+I1431</f>
        <v>212972.30000000002</v>
      </c>
      <c r="J1471" s="42">
        <f t="shared" si="385"/>
        <v>3893811.3999999994</v>
      </c>
      <c r="K1471" s="42">
        <f>K16+K214+K292+K301+K332+K347+K392+K413+K435+K1041+K1083+K1236+K1239+K1294+K1410+K1424+K1431</f>
        <v>272508.90000000002</v>
      </c>
      <c r="L1471" s="42">
        <f t="shared" si="386"/>
        <v>4166320.2999999993</v>
      </c>
      <c r="M1471" s="42">
        <f>M16+M214+M292+M301+M332+M347+M392+M413+M435+M1041+M1083+M1236+M1239+M1294+M1410+M1424+M1431</f>
        <v>158835.59999999998</v>
      </c>
      <c r="N1471" s="42">
        <f t="shared" si="402"/>
        <v>4325155.8999999994</v>
      </c>
      <c r="O1471" s="42">
        <f>O16+O214+O292+O301+O332+O347+O392+O413+O435+O1041+O1083+O1236+O1239+O1294+O1410+O1424+O1431</f>
        <v>170678.6</v>
      </c>
      <c r="P1471" s="42">
        <f t="shared" si="403"/>
        <v>4495834.4999999991</v>
      </c>
      <c r="Q1471" s="42">
        <f>Q16+Q214+Q292+Q301+Q332+Q347+Q392+Q413+Q435+Q1041+Q1083+Q1236+Q1239+Q1294+Q1410+Q1424+Q1431</f>
        <v>110571.59999999999</v>
      </c>
      <c r="R1471" s="42">
        <f t="shared" si="404"/>
        <v>4606406.0999999987</v>
      </c>
      <c r="S1471" s="42">
        <f>S16+S214+S292+S301+S332+S347+S392+S413+S435+S1041+S1083+S1236+S1239+S1294+S1410+S1424+S1431</f>
        <v>17645</v>
      </c>
      <c r="T1471" s="42">
        <f t="shared" si="405"/>
        <v>4624051.0999999987</v>
      </c>
      <c r="U1471" s="42">
        <f>U16+U214+U292+U301+U332+U347+U392+U413+U435+U1041+U1083+U1236+U1239+U1294+U1410+U1424+U1431</f>
        <v>2.9558577807620168E-12</v>
      </c>
      <c r="V1471" s="42">
        <f t="shared" si="406"/>
        <v>4624051.0999999987</v>
      </c>
      <c r="W1471" s="42">
        <f>W16+W214+W292+W301+W332+W347+W392+W413+W435+W1041+W1083+W1236+W1239+W1294+W1410+W1424+W1431</f>
        <v>134451.79999999999</v>
      </c>
      <c r="X1471" s="42">
        <f t="shared" si="407"/>
        <v>4758502.8999999985</v>
      </c>
    </row>
    <row r="1472" spans="1:27" hidden="1" x14ac:dyDescent="0.25">
      <c r="C1472" s="35" t="s">
        <v>1139</v>
      </c>
      <c r="D1472" s="43">
        <f t="shared" ref="D1472:V1472" si="408">D1431+D1424+D1410+D1294+D1239+D1235+D1083+D1041+D435+D413+D392+D347+D332+D301+D292+D214+D16</f>
        <v>2490405.2999999998</v>
      </c>
      <c r="E1472" s="43">
        <f t="shared" si="408"/>
        <v>938684.60000000009</v>
      </c>
      <c r="F1472" s="43">
        <f t="shared" si="408"/>
        <v>3429089.8999999994</v>
      </c>
      <c r="G1472" s="43">
        <f t="shared" si="408"/>
        <v>251749.19999999998</v>
      </c>
      <c r="H1472" s="43">
        <f t="shared" si="408"/>
        <v>3680839.0999999996</v>
      </c>
      <c r="I1472" s="43">
        <f t="shared" si="408"/>
        <v>212972.3</v>
      </c>
      <c r="J1472" s="43">
        <f t="shared" si="408"/>
        <v>3893811.3999999994</v>
      </c>
      <c r="K1472" s="43">
        <f t="shared" si="408"/>
        <v>272508.90000000002</v>
      </c>
      <c r="L1472" s="43">
        <f t="shared" si="408"/>
        <v>4166320.2999999993</v>
      </c>
      <c r="M1472" s="43">
        <f t="shared" si="408"/>
        <v>158835.59999999998</v>
      </c>
      <c r="N1472" s="43">
        <f t="shared" si="408"/>
        <v>4325155.9000000004</v>
      </c>
      <c r="O1472" s="43">
        <f t="shared" si="408"/>
        <v>170678.6</v>
      </c>
      <c r="P1472" s="43">
        <f t="shared" si="408"/>
        <v>4495834.5</v>
      </c>
      <c r="Q1472" s="43">
        <f t="shared" si="408"/>
        <v>110571.59999999998</v>
      </c>
      <c r="R1472" s="43">
        <f t="shared" si="408"/>
        <v>4606406.0999999996</v>
      </c>
      <c r="S1472" s="43">
        <f t="shared" si="408"/>
        <v>17645</v>
      </c>
      <c r="T1472" s="43">
        <f t="shared" si="408"/>
        <v>4624051.0999999996</v>
      </c>
      <c r="U1472" s="43">
        <f t="shared" si="408"/>
        <v>0</v>
      </c>
      <c r="V1472" s="43">
        <f t="shared" si="408"/>
        <v>4624051.0999999996</v>
      </c>
      <c r="W1472" s="43">
        <f t="shared" ref="W1472:X1472" si="409">W1431+W1424+W1410+W1294+W1239+W1235+W1083+W1041+W435+W413+W392+W347+W332+W301+W292+W214+W16</f>
        <v>134451.79999999999</v>
      </c>
      <c r="X1472" s="43">
        <f t="shared" si="409"/>
        <v>4758502.9000000004</v>
      </c>
      <c r="Y1472" s="43">
        <f>SUM(Y16:Y1470)</f>
        <v>0</v>
      </c>
      <c r="Z1472" s="43">
        <f>SUM(Z16:Z1470)</f>
        <v>4758502.8999999994</v>
      </c>
    </row>
    <row r="1473" spans="3:23" hidden="1" x14ac:dyDescent="0.25"/>
    <row r="1474" spans="3:23" hidden="1" x14ac:dyDescent="0.25"/>
    <row r="1475" spans="3:23" hidden="1" x14ac:dyDescent="0.25">
      <c r="C1475" s="114" t="s">
        <v>556</v>
      </c>
      <c r="E1475" s="43" t="e">
        <f>E1477+#REF!</f>
        <v>#REF!</v>
      </c>
      <c r="G1475" s="43" t="e">
        <f>G1477+#REF!</f>
        <v>#REF!</v>
      </c>
      <c r="I1475" s="43" t="e">
        <f>I1477+#REF!+I1478</f>
        <v>#REF!</v>
      </c>
      <c r="K1475" s="43" t="e">
        <f>K1477+#REF!+K1478+K1479+K1480</f>
        <v>#REF!</v>
      </c>
      <c r="M1475" s="43">
        <f>M1476+M1477</f>
        <v>36885.000000000015</v>
      </c>
      <c r="O1475" s="43">
        <f>O1476+O1477+O1478+O1482</f>
        <v>170678.6</v>
      </c>
      <c r="Q1475" s="43">
        <f>Q1476+Q1477</f>
        <v>110571.59999999998</v>
      </c>
      <c r="S1475" s="43">
        <f>S1476+S1477+S1478</f>
        <v>17645</v>
      </c>
      <c r="W1475" s="43">
        <f>W1476+W1477+W1478</f>
        <v>134451.79999999996</v>
      </c>
    </row>
    <row r="1476" spans="3:23" hidden="1" x14ac:dyDescent="0.25">
      <c r="C1476" s="114" t="s">
        <v>558</v>
      </c>
      <c r="E1476" s="43"/>
      <c r="G1476" s="43"/>
      <c r="I1476" s="43"/>
      <c r="K1476" s="43"/>
      <c r="M1476" s="43"/>
      <c r="O1476" s="43">
        <f>O1194+O1196+O69+O70+O1065+O1210+O1114+O136+O1115+O230+O195+O209+O210+O142+O143+O1226+O135</f>
        <v>145404.20000000001</v>
      </c>
      <c r="Q1476" s="43">
        <f>Q20+Q29+Q30+Q74+Q109+Q110+Q266+Q267+Q309+Q378+Q471+Q1044+Q1045+Q1087+Q1088+Q1316+Q1317+Q1319+Q1320+Q1433+Q1434+Q1461+Q1463+Q448+Q449</f>
        <v>101221.50000000004</v>
      </c>
      <c r="S1476" s="43">
        <f>S22+S23+S32+S33+S1122+S1123+S1183+S1282+S1230+S572+S574+S576+S578+S580+S582+S584+S570+295.3-14.3-51.3-52.4-161.7</f>
        <v>9981.0999999999985</v>
      </c>
      <c r="W1476" s="43">
        <f>W1437+W1439+W1440+W1438+W471+W1072+W1194+W1196+W1117+W1119+W1122+W1183+W1202+W1465+W1090+W1091+W188+W191+W22+W23+W32+W33+W38+W39+W69+W70+W488+W490+W520+W560+W562+W35+W1216+W1243+W1393+W1394+W1396+W1397+W380+W381+W382+W383+W362+W364+W365+W1280+W417+W36+W195+W196+W1380+W1381</f>
        <v>134451.79999999996</v>
      </c>
    </row>
    <row r="1477" spans="3:23" hidden="1" x14ac:dyDescent="0.25">
      <c r="C1477" s="114"/>
      <c r="E1477" s="43">
        <f>E147+E219+E246+E256+E387+E1097+E1135+E1142+E1224+E1370+E1386+E1459+E1343+E1339+E1338+E1328+E1052+E455+E427+E158+E157+E148+E120+E1337</f>
        <v>109420.99999999997</v>
      </c>
      <c r="G1477" s="43">
        <f>G198+G202+G204+G1160+G1326+G387+G147+G566+G562+G560+G558+G556+G554+G552+G550+G548+G546+G544+G542+G540+G538+G536+G534+G532+G530+G528+G526+G524+G522+G520+G518+G516+G514+G512+G510+G508+G506+G504+G502+G500+G498+G496+G494+G492+G490+G488+G486+G484+G482+G480+G474+G327+G314+G564</f>
        <v>7737.6999999999971</v>
      </c>
      <c r="I1477" s="43">
        <f>I323+I1459+I1390+I1389+I1370+I1358+I1354+I1348+I1343+I1342+I1341+I1340+I1339+I1338+I1337+I1336+I1333+I1331+I1330+I1328+I1326+I1322+I1293+I1291+I1189+I1187+I1162+I1158+I1156+I1155+I1135+I1082+I1080+I1079+I1078+I1069+I1051+I1050+I1049+I1048+I1047+I595+I593+I478+I477+I474+I440+I439+I438+I388+I387+I327+I326+I253+I246+I245+I234+I227+I223+I182+I172+I147+I146+I145</f>
        <v>13000.000000000015</v>
      </c>
      <c r="K1477" s="43">
        <f>K1483+K1484+K1485+K1486+K1487+K1488</f>
        <v>0</v>
      </c>
      <c r="M1477" s="43">
        <f>M91+M123+M124+M145+M148+M152+M311+M314+M443+M591+M1137+M1160+M1189+M1224+M1261+M1262+M1337+M1360+M1363+M1370+789.3+134-650+3000+249.4-1189-1892.8+3000+M25+M48+M66+M67+M94+M95+M114+M115+M120+M146+M147+M153+M157+M160+M161+M169+M170+M172+M245+M248+M250+M272+M273+M326+M327+M329+M423+M438+M440+M466+M467+M570+M589+M595+M1040+M1049+M1069+M1110+M1111+M1132+M1133+M1135+M1136+M1142+M1144+M1150+M1152+M1153+M1155+M1162+M1174+M1175+M1177+M1182+M1191+M1201+M1218+M1222+M1232+M1245+M1246+M1298+M1326+M1331+M1333+M1336+M1339+M1341+M1342+M1343+M1358+M1362+M1364+M1366+M1367+M1368+M1455+M1456+M1458+M1459</f>
        <v>36885.000000000015</v>
      </c>
      <c r="O1477" s="43">
        <f>O25+O84+O129+O152+O1135+O1137+O1158+O1224+O850+O856+O591+480+158217-40269.3+1058.8+500</f>
        <v>24684.3</v>
      </c>
      <c r="Q1477" s="43">
        <f>Q1472-Q1476</f>
        <v>9350.0999999999331</v>
      </c>
      <c r="S1477" s="43">
        <f>S84+S105+S147+S172+S173+S245+S246+S263+S312+S326+S395+S397+S406+S421+S454+S1135+S1152+S1155+S1156+S1158+S1224+S1238+S1265+S1288+S1328+S1336+S1337+S1338+S1386+S1455+S427+S234+S190+S591+S129+S412+S343+S1348+S1253-295.3+14.3+51.3+52.4+161.7+(S41+S42+S48+S91+S93+S95+S114+S115+S150+S160+S161+S169+S170+S438+S439+S440+S468+S1053+S1069+S1080+S1081+S1097+S1098+S1105+S1106+S1108+S1140+S1153+S1198+S1218+S1255+S1260+S1261+S1333+S1342+S1343+S1358+S1360+S1363+S1364+S1370+S1459)</f>
        <v>7663.9000000000024</v>
      </c>
      <c r="U1477" s="43">
        <f>U474+U1106+U1135+U1137+U1155+U1156+U1158+U1162+U1224+U1253+U1322+U1324+U1333+U1335+U1337+U1342+U1343+U1358+U1331+U1261+U864+U591+U151+U454+U670+U668+U451+U1444+U1450+U1453+U1454+U112+U1271+U1047+U1048+U1356+U1148+U223+U1448+U1447+U1384+U1383+U1348+U1346+U1345+U1310+U1309+U1255+U1238+U1189+U1172+U1171+U1103+U1102+U1056+U1055+U461+U460+U459+U458+U276+U275+U118+U117+U452+U1153+U1152+U1144+U1133+U1038+U1036+U1034+U1032+U1030+U1028+U1026+U1024+U1022+U1020+U1018+U1016+U1014+U1012+U1010+U1008+U1006+U1004+U1002+U1000+U998+U996+U994+U992+U990+U988+U986+U984+U982+U980+U978+U976+U974+U972+U970+U968+U966+U964+U962+U960+U958+U956+U954+U952+U950+U948+U946+U944+U942+U940+U938+U936+U934+U932+U930+U928+U926+U924+U922+U920+U918+U916+U914+U374+U152+U115+U114+U48+U25+U329+U326+U325+U321+U248+U83+U41+U42+U43+U49+U50+U63+U79+U94+U95+U145+U147+U150+U153+U169+U170+U175+U186+U206+U207+U212+U217+U232+U234+U236+U246+U258+U262+U269+U271+U273+U315+U317+U327+U337+U338+U343+U346+U351+U354+U406+U409+U439+U440+U466+U467+U868+U1070+U1105+U1108+U1142+U1198+U1218+U1222+U1246+U1247+U1272+U1325+U1326+U1329+U1336+U1338+U1340+U1354+U1360+U1363+U1364+U1370+U1445+U1451+U1455+U1456+U1459+U124</f>
        <v>-9.095502129241595E-14</v>
      </c>
    </row>
    <row r="1478" spans="3:23" hidden="1" x14ac:dyDescent="0.25">
      <c r="C1478" s="114" t="s">
        <v>557</v>
      </c>
      <c r="I1478" s="43">
        <f>I443</f>
        <v>1963.7</v>
      </c>
      <c r="K1478" s="43">
        <v>2898.3</v>
      </c>
      <c r="M1478" s="43">
        <f>M1253-789.3+650</f>
        <v>1241.8</v>
      </c>
      <c r="N1478" s="102"/>
      <c r="O1478" s="43">
        <f>O91</f>
        <v>350.1</v>
      </c>
      <c r="S1478" s="43"/>
      <c r="W1478" s="43">
        <f>W914+W916+W918+W920+W922+W924+W926+W928+W930+W932+W934+W936+W938+W940+W942+W944+W946+W948+W950+W952+W954+W956+W958+W960+W962+W964+W966+W968+W970+W972+W974+W976+W978+W980+W982+W984+W986+W988+W990+W992+W994+W996+W998+W1000+W1002+W1004+W1006+W1008+W1010+W1012+W1014+W1016+W1018+W1020+W1022+W1024+W1026+W1028+W1030+W1032+W1034+W1036+W1038+W25+W48+W114+W115+W152+W374+W454+W1133+W1144+W1152+W1153+W1156+W1158+W1162+W1224+W1253+W311+W1300+W1352+W1373+W1375+W1383+W1354+W1358+W1346+W1345+W1337+W1335+W1333+W281+W276+W275+W241+W1155+W1148+W1055+W76+W650+W1450+W1451+W1453+W1454+W1444+W1445+W1324+W1325+W1326+W1322+W1132+W1098+W1459+W1447+W1348+W1343+W1342+W1341+W1338+W1336+W1334+W1327+W1323+W1277+W1276+W1275+W1274+W1261+W1257+W1255+W1249+W1247+W1238+W1218+W1189+W1182+W1174+W1159+W1139+W1105+W1097+W1095+W1094+W1073+W1069+W1056+W1050+W1049+W478+W474+W465+W463+W423+W371+W283+W248+W245+W223+W207+W206+W175+W173+W172+W169+W157+W147+W145+W132+W105+W99+W83+W81+W67+W66+W50+W49+W26</f>
        <v>3.637978807091713E-12</v>
      </c>
    </row>
    <row r="1479" spans="3:23" hidden="1" x14ac:dyDescent="0.25">
      <c r="C1479" s="113" t="s">
        <v>1148</v>
      </c>
      <c r="I1479" s="43"/>
      <c r="K1479" s="43">
        <f>K327</f>
        <v>1.1000000000000001</v>
      </c>
      <c r="M1479" s="43">
        <f>M198+M199</f>
        <v>2263.7000000000003</v>
      </c>
      <c r="N1479" s="102"/>
    </row>
    <row r="1480" spans="3:23" hidden="1" x14ac:dyDescent="0.25">
      <c r="C1480" s="113" t="s">
        <v>789</v>
      </c>
      <c r="I1480" s="43"/>
      <c r="K1480" s="43">
        <f>K129+K1345-2300</f>
        <v>3500</v>
      </c>
      <c r="M1480" s="43">
        <f>M236+M317+1189+1892.8</f>
        <v>2104</v>
      </c>
      <c r="N1480" s="102"/>
    </row>
    <row r="1481" spans="3:23" hidden="1" x14ac:dyDescent="0.25">
      <c r="C1481" s="113" t="s">
        <v>789</v>
      </c>
      <c r="M1481" s="43">
        <f>M1257</f>
        <v>0</v>
      </c>
      <c r="N1481" s="102"/>
    </row>
    <row r="1482" spans="3:23" hidden="1" x14ac:dyDescent="0.25">
      <c r="C1482" s="113"/>
      <c r="M1482" s="43">
        <f>M1158-134-3000-249.4-3000</f>
        <v>549.99999999999955</v>
      </c>
      <c r="N1482" s="102"/>
      <c r="O1482" s="43">
        <f>O1144-480</f>
        <v>240</v>
      </c>
    </row>
    <row r="1483" spans="3:23" hidden="1" x14ac:dyDescent="0.25">
      <c r="C1483" s="98"/>
      <c r="K1483" s="43"/>
    </row>
    <row r="1484" spans="3:23" hidden="1" x14ac:dyDescent="0.25">
      <c r="C1484" s="98"/>
      <c r="K1484" s="43"/>
      <c r="R1484" s="149"/>
      <c r="S1484" s="149"/>
    </row>
    <row r="1485" spans="3:23" hidden="1" x14ac:dyDescent="0.25">
      <c r="C1485" s="98"/>
      <c r="K1485" s="43"/>
      <c r="L1485" s="102"/>
      <c r="R1485" s="149"/>
      <c r="S1485" s="150"/>
    </row>
    <row r="1486" spans="3:23" hidden="1" x14ac:dyDescent="0.25">
      <c r="C1486" s="98"/>
      <c r="K1486" s="43"/>
    </row>
    <row r="1487" spans="3:23" x14ac:dyDescent="0.25">
      <c r="C1487" s="98"/>
      <c r="K1487" s="43"/>
    </row>
    <row r="1488" spans="3:23" x14ac:dyDescent="0.25">
      <c r="C1488" s="98"/>
    </row>
  </sheetData>
  <autoFilter ref="A15:Z1472">
    <filterColumn colId="23">
      <filters>
        <filter val="0,1"/>
        <filter val="0,2"/>
        <filter val="0,4"/>
        <filter val="0,7"/>
        <filter val="1 000,0"/>
        <filter val="1 012,5"/>
        <filter val="1 014,2"/>
        <filter val="1 020,0"/>
        <filter val="1 024,0"/>
        <filter val="1 031,8"/>
        <filter val="1 035,0"/>
        <filter val="1 035,9"/>
        <filter val="1 040,0"/>
        <filter val="1 056,8"/>
        <filter val="1 124,0"/>
        <filter val="1 141,0"/>
        <filter val="1 147,8"/>
        <filter val="1 149,7"/>
        <filter val="1 154,0"/>
        <filter val="1 160,0"/>
        <filter val="1 167 708,6"/>
        <filter val="1 168 425,9"/>
        <filter val="1 193,4"/>
        <filter val="1 200,0"/>
        <filter val="1 234,1"/>
        <filter val="1 263,1"/>
        <filter val="1 264,0"/>
        <filter val="1 276,6"/>
        <filter val="1 287,6"/>
        <filter val="1 304,0"/>
        <filter val="1 304,1"/>
        <filter val="1 317,1"/>
        <filter val="1 322,5"/>
        <filter val="1 348 141,8"/>
        <filter val="1 364,3"/>
        <filter val="1 412,0"/>
        <filter val="1 427,6"/>
        <filter val="1 428,1"/>
        <filter val="1 434,1"/>
        <filter val="1 450,0"/>
        <filter val="1 480,2"/>
        <filter val="1 482,6"/>
        <filter val="1 493,1"/>
        <filter val="1 495,7"/>
        <filter val="1 500,0"/>
        <filter val="1 505,6"/>
        <filter val="1 515,2"/>
        <filter val="1 517,4"/>
        <filter val="1 537,1"/>
        <filter val="1 554,0"/>
        <filter val="1 560,1"/>
        <filter val="1 566,0"/>
        <filter val="1 568,3"/>
        <filter val="1 594,5"/>
        <filter val="1 600,0"/>
        <filter val="1 605,7"/>
        <filter val="1 608,0"/>
        <filter val="1 621,6"/>
        <filter val="1 653,9"/>
        <filter val="1 733,3"/>
        <filter val="1 740,0"/>
        <filter val="1 749,0"/>
        <filter val="1 782,0"/>
        <filter val="1 783,6"/>
        <filter val="1 799,6"/>
        <filter val="1 899,3"/>
        <filter val="1 915,8"/>
        <filter val="1 919,3"/>
        <filter val="1 926,0"/>
        <filter val="1 929,2"/>
        <filter val="1 941,7"/>
        <filter val="1 947,0"/>
        <filter val="1 949,0"/>
        <filter val="1 960,9"/>
        <filter val="1 964,9"/>
        <filter val="1 975,7"/>
        <filter val="1 983,8"/>
        <filter val="1,0"/>
        <filter val="1,1"/>
        <filter val="1,4"/>
        <filter val="1,8"/>
        <filter val="10 055,6"/>
        <filter val="10 286,1"/>
        <filter val="10 358,2"/>
        <filter val="10 431,7"/>
        <filter val="10 535,0"/>
        <filter val="10 632,7"/>
        <filter val="10 729,3"/>
        <filter val="10,0"/>
        <filter val="100,0"/>
        <filter val="100,1"/>
        <filter val="100,6"/>
        <filter val="101,1"/>
        <filter val="101,4"/>
        <filter val="102,3"/>
        <filter val="103 338,3"/>
        <filter val="104,0"/>
        <filter val="105,0"/>
        <filter val="105,2"/>
        <filter val="105,6"/>
        <filter val="106,1"/>
        <filter val="106,8"/>
        <filter val="109,2"/>
        <filter val="109,4"/>
        <filter val="11 014,6"/>
        <filter val="11 078,3"/>
        <filter val="11 617,3"/>
        <filter val="11 663,6"/>
        <filter val="11,1"/>
        <filter val="112,8"/>
        <filter val="114,0"/>
        <filter val="114,6"/>
        <filter val="116,8"/>
        <filter val="117,6"/>
        <filter val="118,0"/>
        <filter val="119,5"/>
        <filter val="12 064,2"/>
        <filter val="12 134,5"/>
        <filter val="12 216,6"/>
        <filter val="12 427,0"/>
        <filter val="12 494,3"/>
        <filter val="12 561,7"/>
        <filter val="12 575,0"/>
        <filter val="12 689,3"/>
        <filter val="12 759,3"/>
        <filter val="12 839,3"/>
        <filter val="120,0"/>
        <filter val="122,0"/>
        <filter val="122,4"/>
        <filter val="123,0"/>
        <filter val="123,2"/>
        <filter val="123,8"/>
        <filter val="124,5"/>
        <filter val="124,8"/>
        <filter val="125,0"/>
        <filter val="126,0"/>
        <filter val="128,0"/>
        <filter val="128,7"/>
        <filter val="13 000,0"/>
        <filter val="13 133,4"/>
        <filter val="13 213,2"/>
        <filter val="13 343,9"/>
        <filter val="13 368,6"/>
        <filter val="13 452,3"/>
        <filter val="13 642,4"/>
        <filter val="13,1"/>
        <filter val="13,5"/>
        <filter val="13,9"/>
        <filter val="130 158,6"/>
        <filter val="130,0"/>
        <filter val="131,9"/>
        <filter val="132,0"/>
        <filter val="133 390,8"/>
        <filter val="133,0"/>
        <filter val="133,2"/>
        <filter val="134,0"/>
        <filter val="134,1"/>
        <filter val="134,8"/>
        <filter val="136 428,3"/>
        <filter val="137,0"/>
        <filter val="138,0"/>
        <filter val="139,0"/>
        <filter val="139,9"/>
        <filter val="14 357,0"/>
        <filter val="14 573,8"/>
        <filter val="14 620,5"/>
        <filter val="14 648,8"/>
        <filter val="14 749,2"/>
        <filter val="140,0"/>
        <filter val="140,5"/>
        <filter val="141,7"/>
        <filter val="142,0"/>
        <filter val="142,4"/>
        <filter val="142,7"/>
        <filter val="143 498,0"/>
        <filter val="143,0"/>
        <filter val="145,1"/>
        <filter val="147,2"/>
        <filter val="148,0"/>
        <filter val="148,3"/>
        <filter val="15 392,3"/>
        <filter val="15 877,5"/>
        <filter val="15 892,4"/>
        <filter val="15,0"/>
        <filter val="15,2"/>
        <filter val="15,3"/>
        <filter val="150,0"/>
        <filter val="152,2"/>
        <filter val="154,5"/>
        <filter val="155 723,5"/>
        <filter val="156 246,2"/>
        <filter val="156 752,8"/>
        <filter val="156,2"/>
        <filter val="158,7"/>
        <filter val="16 764,3"/>
        <filter val="160,0"/>
        <filter val="162,3"/>
        <filter val="163,3"/>
        <filter val="166,0"/>
        <filter val="168,0"/>
        <filter val="169 206,0"/>
        <filter val="17,8"/>
        <filter val="170,9"/>
        <filter val="171,5"/>
        <filter val="172,7"/>
        <filter val="174,0"/>
        <filter val="176,0"/>
        <filter val="178,8"/>
        <filter val="179,2"/>
        <filter val="18 085,6"/>
        <filter val="18 184,5"/>
        <filter val="180,1"/>
        <filter val="182 340,9"/>
        <filter val="184,0"/>
        <filter val="186,5"/>
        <filter val="187,1"/>
        <filter val="187,6"/>
        <filter val="188 371,9"/>
        <filter val="19 080,2"/>
        <filter val="19 894,1"/>
        <filter val="19,2"/>
        <filter val="19,7"/>
        <filter val="191,8"/>
        <filter val="192,0"/>
        <filter val="193,1"/>
        <filter val="194,0"/>
        <filter val="196,6"/>
        <filter val="197,6"/>
        <filter val="2 028,6"/>
        <filter val="2 087,1"/>
        <filter val="2 117,6"/>
        <filter val="2 119,1"/>
        <filter val="2 133,3"/>
        <filter val="2 194,9"/>
        <filter val="2 228,8"/>
        <filter val="2 265,0"/>
        <filter val="2 293,9"/>
        <filter val="2 298,5"/>
        <filter val="2 304,1"/>
        <filter val="2 327,5"/>
        <filter val="2 353,0"/>
        <filter val="2 355,0"/>
        <filter val="2 357,6"/>
        <filter val="2 364,6"/>
        <filter val="2 370,5"/>
        <filter val="2 381,4"/>
        <filter val="2 386,9"/>
        <filter val="2 410,0"/>
        <filter val="2 456,0"/>
        <filter val="2 458,4"/>
        <filter val="2 462,0"/>
        <filter val="2 479,3"/>
        <filter val="2 483,0"/>
        <filter val="2 527 945,3"/>
        <filter val="2 528,1"/>
        <filter val="2 529,0"/>
        <filter val="2 538,6"/>
        <filter val="2 553,1"/>
        <filter val="2 630,6"/>
        <filter val="2 664,4"/>
        <filter val="2 674,7"/>
        <filter val="2 685,8"/>
        <filter val="2 726,0"/>
        <filter val="2 740,0"/>
        <filter val="2 762,2"/>
        <filter val="2 769,1"/>
        <filter val="2 797,1"/>
        <filter val="2 803,6"/>
        <filter val="2 818,0"/>
        <filter val="2 852,8"/>
        <filter val="2 880,1"/>
        <filter val="2 900,0"/>
        <filter val="2 905,0"/>
        <filter val="2 965,5"/>
        <filter val="2,0"/>
        <filter val="2,5"/>
        <filter val="2,7"/>
        <filter val="2,8"/>
        <filter val="20 046,2"/>
        <filter val="20 095,1"/>
        <filter val="20 739,1"/>
        <filter val="20 866,6"/>
        <filter val="20 962,7"/>
        <filter val="20,0"/>
        <filter val="20,5"/>
        <filter val="20,8"/>
        <filter val="200,0"/>
        <filter val="200,5"/>
        <filter val="201,0"/>
        <filter val="202,0"/>
        <filter val="204,2"/>
        <filter val="205,5"/>
        <filter val="21 427,7"/>
        <filter val="21 850,4"/>
        <filter val="21 910,7"/>
        <filter val="21,2"/>
        <filter val="21,4"/>
        <filter val="210,0"/>
        <filter val="211,2"/>
        <filter val="214,8"/>
        <filter val="216,0"/>
        <filter val="216,5"/>
        <filter val="218,3"/>
        <filter val="22 533,5"/>
        <filter val="22 858,7"/>
        <filter val="22 949,2"/>
        <filter val="22,0"/>
        <filter val="22,5"/>
        <filter val="22,8"/>
        <filter val="220,0"/>
        <filter val="228,0"/>
        <filter val="229,0"/>
        <filter val="229,1"/>
        <filter val="23 049,2"/>
        <filter val="23 190,6"/>
        <filter val="23 240,1"/>
        <filter val="23 690,6"/>
        <filter val="23,1"/>
        <filter val="23,8"/>
        <filter val="230,0"/>
        <filter val="232,3"/>
        <filter val="234 817,6"/>
        <filter val="236,0"/>
        <filter val="238 509,2"/>
        <filter val="238,7"/>
        <filter val="24 787,6"/>
        <filter val="24,4"/>
        <filter val="24,8"/>
        <filter val="240,0"/>
        <filter val="242,0"/>
        <filter val="243,6"/>
        <filter val="245,4"/>
        <filter val="25,0"/>
        <filter val="250,0"/>
        <filter val="250,2"/>
        <filter val="252,4"/>
        <filter val="254,2"/>
        <filter val="255,9"/>
        <filter val="258,0"/>
        <filter val="26 141,5"/>
        <filter val="26 640,9"/>
        <filter val="26,3"/>
        <filter val="260,0"/>
        <filter val="264,0"/>
        <filter val="269 300,1"/>
        <filter val="269 979,1"/>
        <filter val="27,0"/>
        <filter val="27,1"/>
        <filter val="273,0"/>
        <filter val="273,9"/>
        <filter val="274,0"/>
        <filter val="276,0"/>
        <filter val="276,2"/>
        <filter val="276,8"/>
        <filter val="277,2"/>
        <filter val="278 414,8"/>
        <filter val="28,0"/>
        <filter val="28,6"/>
        <filter val="280,0"/>
        <filter val="281,0"/>
        <filter val="284,0"/>
        <filter val="287,0"/>
        <filter val="288,0"/>
        <filter val="29 751,3"/>
        <filter val="29,6"/>
        <filter val="290,0"/>
        <filter val="292,0"/>
        <filter val="292,8"/>
        <filter val="295,0"/>
        <filter val="296 176,7"/>
        <filter val="296 206,3"/>
        <filter val="297,7"/>
        <filter val="299,2"/>
        <filter val="3 053,6"/>
        <filter val="3 066,6"/>
        <filter val="3 078,0"/>
        <filter val="3 145,8"/>
        <filter val="3 178,0"/>
        <filter val="3 193,9"/>
        <filter val="3 212,0"/>
        <filter val="3 312,4"/>
        <filter val="3 385,6"/>
        <filter val="3 391,6"/>
        <filter val="3 400,0"/>
        <filter val="3 424,9"/>
        <filter val="3 522,2"/>
        <filter val="3 544,3"/>
        <filter val="3 575,0"/>
        <filter val="3 660,0"/>
        <filter val="3 741,8"/>
        <filter val="3 763,7"/>
        <filter val="3 824,6"/>
        <filter val="3 891,4"/>
        <filter val="3 943,0"/>
        <filter val="3 992,4"/>
        <filter val="3,0"/>
        <filter val="3,3"/>
        <filter val="3,6"/>
        <filter val="30 000,0"/>
        <filter val="30 790,9"/>
        <filter val="30,0"/>
        <filter val="30,9"/>
        <filter val="300,0"/>
        <filter val="301,0"/>
        <filter val="302 763,1"/>
        <filter val="302,9"/>
        <filter val="304,0"/>
        <filter val="306,0"/>
        <filter val="307,0"/>
        <filter val="308,7"/>
        <filter val="309,6"/>
        <filter val="31 698,8"/>
        <filter val="31 878,9"/>
        <filter val="310,0"/>
        <filter val="310,9"/>
        <filter val="313,5"/>
        <filter val="315,0"/>
        <filter val="32,3"/>
        <filter val="320,0"/>
        <filter val="329,8"/>
        <filter val="33 009,4"/>
        <filter val="33,0"/>
        <filter val="33,3"/>
        <filter val="33,7"/>
        <filter val="330,0"/>
        <filter val="332,0"/>
        <filter val="333,1"/>
        <filter val="333,7"/>
        <filter val="338,0"/>
        <filter val="339 974,8"/>
        <filter val="339 989,7"/>
        <filter val="340,0"/>
        <filter val="340,4"/>
        <filter val="340,7"/>
        <filter val="341,0"/>
        <filter val="342,0"/>
        <filter val="343,7"/>
        <filter val="348,0"/>
        <filter val="349,1"/>
        <filter val="349,2"/>
        <filter val="349,6"/>
        <filter val="35,6"/>
        <filter val="350,0"/>
        <filter val="350,4"/>
        <filter val="351,0"/>
        <filter val="352 814,1"/>
        <filter val="353,2"/>
        <filter val="36,0"/>
        <filter val="36,1"/>
        <filter val="36,6"/>
        <filter val="360,0"/>
        <filter val="37 901,0"/>
        <filter val="37,4"/>
        <filter val="375,0"/>
        <filter val="378,6"/>
        <filter val="38,0"/>
        <filter val="382,0"/>
        <filter val="383,7"/>
        <filter val="384,0"/>
        <filter val="385,6"/>
        <filter val="387 228,5"/>
        <filter val="39 377,2"/>
        <filter val="39,1"/>
        <filter val="39,3"/>
        <filter val="39,8"/>
        <filter val="390,0"/>
        <filter val="392,3"/>
        <filter val="398,6"/>
        <filter val="4 041,1"/>
        <filter val="4 041,9"/>
        <filter val="4 062,9"/>
        <filter val="4 069,4"/>
        <filter val="4 150,0"/>
        <filter val="4 306,2"/>
        <filter val="4 357,2"/>
        <filter val="4 415,6"/>
        <filter val="4 437,0"/>
        <filter val="4 540,2"/>
        <filter val="4 541,5"/>
        <filter val="4 546,4"/>
        <filter val="4 706,4"/>
        <filter val="4 739,5"/>
        <filter val="4 747,9"/>
        <filter val="4 758 502,9"/>
        <filter val="4 786,3"/>
        <filter val="4 842,7"/>
        <filter val="4 919,9"/>
        <filter val="4,0"/>
        <filter val="4,1"/>
        <filter val="4,5"/>
        <filter val="40 108,5"/>
        <filter val="40,0"/>
        <filter val="40,6"/>
        <filter val="400,0"/>
        <filter val="400,1"/>
        <filter val="401,6"/>
        <filter val="403,0"/>
        <filter val="404,2"/>
        <filter val="405 654,2"/>
        <filter val="405 694,8"/>
        <filter val="407,9"/>
        <filter val="408,0"/>
        <filter val="409,6"/>
        <filter val="41 149,9"/>
        <filter val="41,4"/>
        <filter val="410,0"/>
        <filter val="42 518,4"/>
        <filter val="42 649,8"/>
        <filter val="420,0"/>
        <filter val="424,0"/>
        <filter val="426,2"/>
        <filter val="43 332,7"/>
        <filter val="43 334,1"/>
        <filter val="43,2"/>
        <filter val="43,3"/>
        <filter val="433,0"/>
        <filter val="44 041,8"/>
        <filter val="44 549,7"/>
        <filter val="44 626,0"/>
        <filter val="44,0"/>
        <filter val="44,8"/>
        <filter val="440,0"/>
        <filter val="444,2"/>
        <filter val="445,2"/>
        <filter val="446,5"/>
        <filter val="448 125,7"/>
        <filter val="45,5"/>
        <filter val="45,8"/>
        <filter val="452,5"/>
        <filter val="46 196,2"/>
        <filter val="46 271,6"/>
        <filter val="46,0"/>
        <filter val="46,2"/>
        <filter val="464,0"/>
        <filter val="465,4"/>
        <filter val="47 496,6"/>
        <filter val="470,0"/>
        <filter val="48 961,7"/>
        <filter val="48,0"/>
        <filter val="480,0"/>
        <filter val="481,4"/>
        <filter val="484,8"/>
        <filter val="49,0"/>
        <filter val="493,3"/>
        <filter val="494,5"/>
        <filter val="5 015,8"/>
        <filter val="5 019,6"/>
        <filter val="5 023,6"/>
        <filter val="5 115,8"/>
        <filter val="5 121,7"/>
        <filter val="5 223,0"/>
        <filter val="5 374,4"/>
        <filter val="5 531,7"/>
        <filter val="5 717,0"/>
        <filter val="5 857,5"/>
        <filter val="5 978,8"/>
        <filter val="5 984,8"/>
        <filter val="5 988,0"/>
        <filter val="5 991,0"/>
        <filter val="5,0"/>
        <filter val="5,2"/>
        <filter val="5,5"/>
        <filter val="50,0"/>
        <filter val="50,7"/>
        <filter val="500,0"/>
        <filter val="500,3"/>
        <filter val="501,3"/>
        <filter val="501,6"/>
        <filter val="505,1"/>
        <filter val="506,0"/>
        <filter val="507,6"/>
        <filter val="51,0"/>
        <filter val="513 532,4"/>
        <filter val="518,6"/>
        <filter val="52 304,5"/>
        <filter val="52,4"/>
        <filter val="52,8"/>
        <filter val="520,0"/>
        <filter val="524,0"/>
        <filter val="526,1"/>
        <filter val="526,7"/>
        <filter val="527,0"/>
        <filter val="528,0"/>
        <filter val="529 305,4"/>
        <filter val="53,0"/>
        <filter val="53,2"/>
        <filter val="538,0"/>
        <filter val="54 280,0"/>
        <filter val="54 545,9"/>
        <filter val="54,0"/>
        <filter val="54,4"/>
        <filter val="54,5"/>
        <filter val="55 377,2"/>
        <filter val="55 630,2"/>
        <filter val="55 824,2"/>
        <filter val="55,8"/>
        <filter val="56,0"/>
        <filter val="56,5"/>
        <filter val="560,0"/>
        <filter val="560,7"/>
        <filter val="565,7"/>
        <filter val="566,4"/>
        <filter val="568,0"/>
        <filter val="568,1"/>
        <filter val="57,1"/>
        <filter val="572,1"/>
        <filter val="578,3"/>
        <filter val="578,8"/>
        <filter val="58 104,8"/>
        <filter val="582,1"/>
        <filter val="583 851,3"/>
        <filter val="584,3"/>
        <filter val="59 110,0"/>
        <filter val="59,6"/>
        <filter val="59,9"/>
        <filter val="592,7"/>
        <filter val="593,9"/>
        <filter val="594,0"/>
        <filter val="594,9"/>
        <filter val="595,0"/>
        <filter val="6 066,0"/>
        <filter val="6 357,8"/>
        <filter val="6 438,4"/>
        <filter val="6 463,6"/>
        <filter val="6 488,2"/>
        <filter val="6 498,2"/>
        <filter val="6 515,9"/>
        <filter val="6 556,8"/>
        <filter val="6 684,1"/>
        <filter val="6 831,6"/>
        <filter val="6 856,7"/>
        <filter val="6,0"/>
        <filter val="6,3"/>
        <filter val="6,5"/>
        <filter val="6,6"/>
        <filter val="60 371,8"/>
        <filter val="60,0"/>
        <filter val="600,0"/>
        <filter val="606,5"/>
        <filter val="61 740,7"/>
        <filter val="61,2"/>
        <filter val="612,0"/>
        <filter val="62 272,8"/>
        <filter val="62,8"/>
        <filter val="626,1"/>
        <filter val="63 220,7"/>
        <filter val="63,0"/>
        <filter val="63,2"/>
        <filter val="63,4"/>
        <filter val="63,6"/>
        <filter val="630,0"/>
        <filter val="637,0"/>
        <filter val="639,9"/>
        <filter val="64 992,4"/>
        <filter val="64,0"/>
        <filter val="640,0"/>
        <filter val="645,3"/>
        <filter val="65,3"/>
        <filter val="66 046,9"/>
        <filter val="66 608,8"/>
        <filter val="66 940,5"/>
        <filter val="66,0"/>
        <filter val="668,0"/>
        <filter val="67 547,0"/>
        <filter val="67,4"/>
        <filter val="673,5"/>
        <filter val="674 994,9"/>
        <filter val="676,1"/>
        <filter val="68 041,9"/>
        <filter val="68 310,3"/>
        <filter val="68,4"/>
        <filter val="686,7"/>
        <filter val="688,6"/>
        <filter val="690,0"/>
        <filter val="690,7"/>
        <filter val="691,9"/>
        <filter val="696,6"/>
        <filter val="7 060,2"/>
        <filter val="7 231,5"/>
        <filter val="7 264,8"/>
        <filter val="7 273,7"/>
        <filter val="7 651,9"/>
        <filter val="7 658,4"/>
        <filter val="7 787,0"/>
        <filter val="7 832,9"/>
        <filter val="7 840,9"/>
        <filter val="7 970,5"/>
        <filter val="7,0"/>
        <filter val="70,0"/>
        <filter val="70,2"/>
        <filter val="70,8"/>
        <filter val="700,0"/>
        <filter val="704,5"/>
        <filter val="705 018,9"/>
        <filter val="708,4"/>
        <filter val="71 280,0"/>
        <filter val="713,3"/>
        <filter val="72,0"/>
        <filter val="72,7"/>
        <filter val="720,0"/>
        <filter val="720,1"/>
        <filter val="725,0"/>
        <filter val="728,0"/>
        <filter val="73,1"/>
        <filter val="73,6"/>
        <filter val="74,0"/>
        <filter val="74,3"/>
        <filter val="74,8"/>
        <filter val="744,3"/>
        <filter val="75,0"/>
        <filter val="75,6"/>
        <filter val="758,0"/>
        <filter val="76,0"/>
        <filter val="77,2"/>
        <filter val="78,0"/>
        <filter val="78,1"/>
        <filter val="781,2"/>
        <filter val="782,6"/>
        <filter val="783,0"/>
        <filter val="784,3"/>
        <filter val="79 024,5"/>
        <filter val="791,9"/>
        <filter val="8 066,6"/>
        <filter val="8 310,6"/>
        <filter val="8 386,3"/>
        <filter val="80,0"/>
        <filter val="80,5"/>
        <filter val="80,8"/>
        <filter val="800,0"/>
        <filter val="819,0"/>
        <filter val="82,0"/>
        <filter val="82,6"/>
        <filter val="820,4"/>
        <filter val="823 880,1"/>
        <filter val="83 970,3"/>
        <filter val="83,9"/>
        <filter val="84,0"/>
        <filter val="84,6"/>
        <filter val="846,8"/>
        <filter val="849,9"/>
        <filter val="85,0"/>
        <filter val="85,1"/>
        <filter val="85,6"/>
        <filter val="85,9"/>
        <filter val="859,3"/>
        <filter val="870,0"/>
        <filter val="871,8"/>
        <filter val="875,1"/>
        <filter val="879,0"/>
        <filter val="88 651,9"/>
        <filter val="88,0"/>
        <filter val="888,0"/>
        <filter val="89 987,9"/>
        <filter val="892,8"/>
        <filter val="9 021,3"/>
        <filter val="9 456,2"/>
        <filter val="9 467,3"/>
        <filter val="9 570,0"/>
        <filter val="9 571,0"/>
        <filter val="9 583,4"/>
        <filter val="9 592,9"/>
        <filter val="9 627,4"/>
        <filter val="9 754,5"/>
        <filter val="9 900,3"/>
        <filter val="9 957,5"/>
        <filter val="9,0"/>
        <filter val="9,5"/>
        <filter val="9,7"/>
        <filter val="90 516,0"/>
        <filter val="91 495,4"/>
        <filter val="91,0"/>
        <filter val="91,4"/>
        <filter val="912,0"/>
        <filter val="916,6"/>
        <filter val="92,0"/>
        <filter val="92,2"/>
        <filter val="92,7"/>
        <filter val="929,9"/>
        <filter val="933,8"/>
        <filter val="94,3"/>
        <filter val="94,9"/>
        <filter val="95 155,4"/>
        <filter val="95,0"/>
        <filter val="96,0"/>
        <filter val="96,9"/>
        <filter val="960,0"/>
        <filter val="969,3"/>
        <filter val="973,2"/>
        <filter val="98 631,9"/>
        <filter val="98,7"/>
        <filter val="99,0"/>
        <filter val="994,6"/>
        <filter val="994,7"/>
        <filter val="996,0"/>
        <filter val="999,3"/>
      </filters>
    </filterColumn>
  </autoFilter>
  <mergeCells count="27">
    <mergeCell ref="A9:X9"/>
    <mergeCell ref="A11:X11"/>
    <mergeCell ref="W13:W15"/>
    <mergeCell ref="X13:X15"/>
    <mergeCell ref="L13:L15"/>
    <mergeCell ref="I13:I15"/>
    <mergeCell ref="J13:J15"/>
    <mergeCell ref="G13:G15"/>
    <mergeCell ref="U13:U15"/>
    <mergeCell ref="V13:V15"/>
    <mergeCell ref="H13:H15"/>
    <mergeCell ref="E13:E15"/>
    <mergeCell ref="S13:S15"/>
    <mergeCell ref="T13:T15"/>
    <mergeCell ref="Q13:Q15"/>
    <mergeCell ref="R13:R15"/>
    <mergeCell ref="A1471:C1471"/>
    <mergeCell ref="A13:A15"/>
    <mergeCell ref="B13:B15"/>
    <mergeCell ref="C13:C15"/>
    <mergeCell ref="D13:D15"/>
    <mergeCell ref="F13:F15"/>
    <mergeCell ref="O13:O15"/>
    <mergeCell ref="P13:P15"/>
    <mergeCell ref="M13:M15"/>
    <mergeCell ref="N13:N15"/>
    <mergeCell ref="K13:K15"/>
  </mergeCells>
  <pageMargins left="1.299212598425197" right="0.70866141732283472" top="0.74803149606299213" bottom="0.74803149606299213" header="0.31496062992125984" footer="0.31496062992125984"/>
  <pageSetup paperSize="9"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 (2)</vt:lpstr>
      <vt:lpstr>'Лист1 (2)'!Область_печати</vt:lpstr>
    </vt:vector>
  </TitlesOfParts>
  <LinksUpToDate>false</LinksUpToDate>
  <SharedDoc>false</SharedDoc>
  <HyperlinkBase>C:\</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maksimova</dc:creator>
  <cp:lastModifiedBy>user</cp:lastModifiedBy>
  <cp:lastPrinted>2022-12-30T13:56:24Z</cp:lastPrinted>
  <dcterms:created xsi:type="dcterms:W3CDTF">2014-06-19T07:08:29Z</dcterms:created>
  <dcterms:modified xsi:type="dcterms:W3CDTF">2023-01-09T13:49:42Z</dcterms:modified>
</cp:coreProperties>
</file>