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5" yWindow="15" windowWidth="17700" windowHeight="12525"/>
  </bookViews>
  <sheets>
    <sheet name="Лист1" sheetId="1" r:id="rId1"/>
  </sheets>
  <definedNames>
    <definedName name="_xlnm._FilterDatabase" localSheetId="0" hidden="1">Лист1!$A$14:$AB$1868</definedName>
    <definedName name="bbi1iepey541b3erm5gspvzrtk">#REF!</definedName>
    <definedName name="eaho2ejrtdbq5dbiou1fruoidk">#REF!</definedName>
    <definedName name="frupzostrx2engzlq5coj1izgc">#REF!</definedName>
    <definedName name="hxw0shfsad1bl0w3rcqndiwdqc">#REF!</definedName>
    <definedName name="idhebtridp4g55tiidmllpbcck">#REF!</definedName>
    <definedName name="ilgrxtqehl5ojfb14epb1v0vpk">#REF!</definedName>
    <definedName name="iukfigxpatbnff5s3qskal4gtw">#REF!</definedName>
    <definedName name="jbdrlm0jnl44bjyvb5parwosvs">#REF!</definedName>
    <definedName name="jmacmxvbgdblzh0tvh4m0gadvc">#REF!</definedName>
    <definedName name="lens0r1dzt0ivfvdjvc15ibd1c">#REF!</definedName>
    <definedName name="lzvlrjqro14zjenw2ueuj40zww">#REF!</definedName>
    <definedName name="miceqmminp2t5fkvq3dcp5azms">#REF!</definedName>
    <definedName name="muebv3fbrh0nbhfkcvkdiuichg">#REF!</definedName>
    <definedName name="oishsvraxpbc3jz3kk3m5zcwm0">#REF!</definedName>
    <definedName name="pf4ktio2ct2wb5lic4d0ij22zg">#REF!</definedName>
    <definedName name="qhgcjeqs4xbh5af0b0knrgslds">#REF!</definedName>
    <definedName name="qm1r2zbyvxaabczgs5nd53xmq4">#REF!</definedName>
    <definedName name="qunp1nijp1aaxbgswizf0lz200">#REF!</definedName>
    <definedName name="rcn525ywmx4pde1kn3aevp0dfk">#REF!</definedName>
    <definedName name="swpjxblu3dbu33cqzchc5hkk0w">#REF!</definedName>
    <definedName name="syjdhdk35p4nh3cjfxnviauzls">#REF!</definedName>
    <definedName name="t1iocfpqd13el1y2ekxnfpwstw">#REF!</definedName>
    <definedName name="tqwxsrwtrd3p34nrtmvfunozag">#REF!</definedName>
    <definedName name="u1m5vran2x1y11qx5xfu2j4tz4">#REF!</definedName>
    <definedName name="ua41amkhph5c1h53xxk2wbxxpk">#REF!</definedName>
    <definedName name="vm2ikyzfyl3c3f2vbofwexhk2c">#REF!</definedName>
    <definedName name="whvhn4kg25bcn2skpkb3bqydz4">#REF!</definedName>
    <definedName name="wqazcjs4o12a5adpyzuqhb5cko">#REF!</definedName>
    <definedName name="x50bwhcspt2rtgjg0vg0hfk2ns">#REF!</definedName>
    <definedName name="xfiudkw3z5aq3govpiyzsxyki0">#REF!</definedName>
    <definedName name="_xlnm.Print_Area" localSheetId="0">Лист1!$A$1:$Y$1868</definedName>
  </definedNames>
  <calcPr calcId="144525"/>
</workbook>
</file>

<file path=xl/calcChain.xml><?xml version="1.0" encoding="utf-8"?>
<calcChain xmlns="http://schemas.openxmlformats.org/spreadsheetml/2006/main">
  <c r="X1875" i="1" l="1"/>
  <c r="X1552" i="1" l="1"/>
  <c r="X1508" i="1"/>
  <c r="X1507" i="1"/>
  <c r="X1281" i="1"/>
  <c r="X1230" i="1"/>
  <c r="X1211" i="1"/>
  <c r="X1139" i="1"/>
  <c r="X1135" i="1"/>
  <c r="X1133" i="1"/>
  <c r="X1132" i="1"/>
  <c r="X953" i="1"/>
  <c r="X952" i="1"/>
  <c r="X941" i="1"/>
  <c r="X899" i="1"/>
  <c r="X795" i="1"/>
  <c r="X293" i="1"/>
  <c r="X192" i="1"/>
  <c r="X102" i="1"/>
  <c r="X96" i="1"/>
  <c r="X94" i="1"/>
  <c r="X92" i="1"/>
  <c r="X91" i="1"/>
  <c r="X83" i="1"/>
  <c r="X81" i="1"/>
  <c r="X79" i="1"/>
  <c r="X72" i="1"/>
  <c r="X71" i="1"/>
  <c r="X70" i="1"/>
  <c r="X68" i="1"/>
  <c r="X37" i="1"/>
  <c r="X36" i="1"/>
  <c r="X23" i="1"/>
  <c r="Z795" i="1" l="1"/>
  <c r="Z355" i="1" l="1"/>
  <c r="Z262" i="1"/>
  <c r="Z1341" i="1"/>
  <c r="X1296" i="1"/>
  <c r="Y1296" i="1" s="1"/>
  <c r="Y1297" i="1"/>
  <c r="AA1297" i="1" s="1"/>
  <c r="X1260" i="1"/>
  <c r="Y1260" i="1" s="1"/>
  <c r="Y1261" i="1"/>
  <c r="AA1261" i="1" s="1"/>
  <c r="X332" i="1"/>
  <c r="Y332" i="1" s="1"/>
  <c r="Y333" i="1"/>
  <c r="AA333" i="1" s="1"/>
  <c r="X353" i="1"/>
  <c r="Y355" i="1"/>
  <c r="AA355" i="1" s="1"/>
  <c r="Y56" i="1"/>
  <c r="AA56" i="1" s="1"/>
  <c r="Z1870" i="1"/>
  <c r="X1295" i="1" l="1"/>
  <c r="Y1295" i="1" s="1"/>
  <c r="X138" i="1" l="1"/>
  <c r="X1873" i="1" l="1"/>
  <c r="X1470" i="1"/>
  <c r="X1471" i="1"/>
  <c r="Y1472" i="1"/>
  <c r="AA1472" i="1" s="1"/>
  <c r="X1472" i="1"/>
  <c r="X105" i="1"/>
  <c r="X109" i="1"/>
  <c r="X53" i="1"/>
  <c r="X46" i="1" l="1"/>
  <c r="Y49" i="1"/>
  <c r="AA49" i="1" s="1"/>
  <c r="X1019" i="1" l="1"/>
  <c r="Y328" i="1"/>
  <c r="AA328" i="1" s="1"/>
  <c r="X327" i="1"/>
  <c r="Y327" i="1" s="1"/>
  <c r="Y787" i="1"/>
  <c r="AA787" i="1" s="1"/>
  <c r="X786" i="1"/>
  <c r="Y786" i="1" s="1"/>
  <c r="X1798" i="1" l="1"/>
  <c r="X354" i="1" l="1"/>
  <c r="Y354" i="1"/>
  <c r="AA354" i="1" s="1"/>
  <c r="X352" i="1"/>
  <c r="X351" i="1" s="1"/>
  <c r="W353" i="1"/>
  <c r="W352" i="1" s="1"/>
  <c r="Y353" i="1" l="1"/>
  <c r="W351" i="1"/>
  <c r="Y351" i="1" s="1"/>
  <c r="Y352" i="1"/>
  <c r="X1872" i="1"/>
  <c r="X1866" i="1" l="1"/>
  <c r="X1865" i="1" s="1"/>
  <c r="X1864" i="1" s="1"/>
  <c r="X1860" i="1"/>
  <c r="X1859" i="1" s="1"/>
  <c r="X1858" i="1" s="1"/>
  <c r="X1856" i="1"/>
  <c r="X1854" i="1"/>
  <c r="X1851" i="1"/>
  <c r="X1849" i="1"/>
  <c r="X1847" i="1"/>
  <c r="X1845" i="1"/>
  <c r="X1843" i="1"/>
  <c r="X1841" i="1"/>
  <c r="X1838" i="1"/>
  <c r="X1836" i="1"/>
  <c r="X1834" i="1"/>
  <c r="X1831" i="1"/>
  <c r="X1825" i="1"/>
  <c r="X1824" i="1" s="1"/>
  <c r="X1820" i="1"/>
  <c r="X1819" i="1" s="1"/>
  <c r="X1818" i="1" s="1"/>
  <c r="X1814" i="1"/>
  <c r="X1813" i="1" s="1"/>
  <c r="X1809" i="1"/>
  <c r="X1807" i="1"/>
  <c r="X1805" i="1"/>
  <c r="X1803" i="1"/>
  <c r="X1797" i="1"/>
  <c r="X1796" i="1" s="1"/>
  <c r="X1791" i="1"/>
  <c r="X1790" i="1" s="1"/>
  <c r="X1789" i="1" s="1"/>
  <c r="X1787" i="1"/>
  <c r="X1786" i="1" s="1"/>
  <c r="X1782" i="1"/>
  <c r="X1779" i="1"/>
  <c r="X1777" i="1"/>
  <c r="X1774" i="1"/>
  <c r="X1773" i="1" s="1"/>
  <c r="X1771" i="1"/>
  <c r="X1770" i="1" s="1"/>
  <c r="X1767" i="1"/>
  <c r="X1766" i="1" s="1"/>
  <c r="X1763" i="1"/>
  <c r="X1762" i="1" s="1"/>
  <c r="X1761" i="1" s="1"/>
  <c r="X1757" i="1"/>
  <c r="X1756" i="1" s="1"/>
  <c r="X1755" i="1" s="1"/>
  <c r="X1750" i="1"/>
  <c r="X1747" i="1"/>
  <c r="X1746" i="1" s="1"/>
  <c r="X1743" i="1"/>
  <c r="X1742" i="1" s="1"/>
  <c r="X1740" i="1"/>
  <c r="X1738" i="1"/>
  <c r="X1732" i="1"/>
  <c r="X1731" i="1" s="1"/>
  <c r="X1730" i="1" s="1"/>
  <c r="X1728" i="1"/>
  <c r="X1727" i="1" s="1"/>
  <c r="X1725" i="1"/>
  <c r="X1724" i="1" s="1"/>
  <c r="X1721" i="1"/>
  <c r="X1720" i="1" s="1"/>
  <c r="X1719" i="1" s="1"/>
  <c r="X1715" i="1"/>
  <c r="X1713" i="1"/>
  <c r="X1710" i="1"/>
  <c r="X1705" i="1"/>
  <c r="X1702" i="1"/>
  <c r="X1701" i="1" s="1"/>
  <c r="X1697" i="1"/>
  <c r="X1696" i="1" s="1"/>
  <c r="X1695" i="1" s="1"/>
  <c r="X1692" i="1"/>
  <c r="X1691" i="1" s="1"/>
  <c r="X1689" i="1"/>
  <c r="X1688" i="1" s="1"/>
  <c r="X1685" i="1"/>
  <c r="X1684" i="1" s="1"/>
  <c r="X1683" i="1" s="1"/>
  <c r="X1680" i="1"/>
  <c r="X1679" i="1" s="1"/>
  <c r="X1677" i="1"/>
  <c r="X1676" i="1" s="1"/>
  <c r="X1673" i="1"/>
  <c r="X1671" i="1"/>
  <c r="X1668" i="1"/>
  <c r="X1665" i="1"/>
  <c r="X1659" i="1"/>
  <c r="X1656" i="1"/>
  <c r="X1651" i="1"/>
  <c r="X1650" i="1" s="1"/>
  <c r="X1648" i="1"/>
  <c r="X1646" i="1"/>
  <c r="X1644" i="1"/>
  <c r="X1642" i="1"/>
  <c r="X1639" i="1"/>
  <c r="X1637" i="1"/>
  <c r="X1635" i="1"/>
  <c r="X1632" i="1"/>
  <c r="X1628" i="1"/>
  <c r="X1625" i="1"/>
  <c r="X1623" i="1"/>
  <c r="X1622" i="1" s="1"/>
  <c r="X1619" i="1"/>
  <c r="X1617" i="1"/>
  <c r="X1615" i="1"/>
  <c r="X1613" i="1"/>
  <c r="X1609" i="1"/>
  <c r="X1607" i="1"/>
  <c r="X1605" i="1"/>
  <c r="X1602" i="1"/>
  <c r="X1600" i="1"/>
  <c r="X1598" i="1"/>
  <c r="X1596" i="1"/>
  <c r="X1594" i="1"/>
  <c r="X1592" i="1"/>
  <c r="X1590" i="1"/>
  <c r="X1588" i="1"/>
  <c r="X1584" i="1"/>
  <c r="X1581" i="1"/>
  <c r="X1579" i="1"/>
  <c r="X1577" i="1"/>
  <c r="X1575" i="1"/>
  <c r="X1568" i="1"/>
  <c r="X1567" i="1" s="1"/>
  <c r="X1565" i="1"/>
  <c r="X1564" i="1" s="1"/>
  <c r="X1560" i="1"/>
  <c r="X1559" i="1" s="1"/>
  <c r="X1558" i="1" s="1"/>
  <c r="X1555" i="1"/>
  <c r="X1554" i="1" s="1"/>
  <c r="X1551" i="1"/>
  <c r="X1550" i="1" s="1"/>
  <c r="X1549" i="1" s="1"/>
  <c r="X1545" i="1"/>
  <c r="X1544" i="1" s="1"/>
  <c r="X1542" i="1"/>
  <c r="X1541" i="1" s="1"/>
  <c r="X1538" i="1"/>
  <c r="X1535" i="1"/>
  <c r="X1532" i="1"/>
  <c r="X1529" i="1"/>
  <c r="X1526" i="1"/>
  <c r="X1523" i="1"/>
  <c r="X1519" i="1"/>
  <c r="X1514" i="1" s="1"/>
  <c r="X1517" i="1"/>
  <c r="X1515" i="1"/>
  <c r="X1512" i="1"/>
  <c r="X1509" i="1"/>
  <c r="X1504" i="1"/>
  <c r="X1501" i="1"/>
  <c r="X1497" i="1"/>
  <c r="X1491" i="1"/>
  <c r="X1489" i="1"/>
  <c r="X1485" i="1"/>
  <c r="X1481" i="1"/>
  <c r="X1480" i="1" s="1"/>
  <c r="X1477" i="1"/>
  <c r="X1473" i="1"/>
  <c r="X1464" i="1"/>
  <c r="X1462" i="1"/>
  <c r="X1459" i="1"/>
  <c r="X1458" i="1" s="1"/>
  <c r="X1453" i="1"/>
  <c r="X1447" i="1"/>
  <c r="X1446" i="1" s="1"/>
  <c r="X1441" i="1"/>
  <c r="X1440" i="1" s="1"/>
  <c r="X1439" i="1" s="1"/>
  <c r="X1435" i="1"/>
  <c r="X1434" i="1" s="1"/>
  <c r="X1433" i="1" s="1"/>
  <c r="X1431" i="1"/>
  <c r="X1429" i="1"/>
  <c r="X1427" i="1"/>
  <c r="X1424" i="1"/>
  <c r="X1422" i="1"/>
  <c r="X1418" i="1"/>
  <c r="X1417" i="1" s="1"/>
  <c r="X1413" i="1"/>
  <c r="X1411" i="1"/>
  <c r="X1409" i="1"/>
  <c r="X1407" i="1"/>
  <c r="X1401" i="1"/>
  <c r="X1400" i="1" s="1"/>
  <c r="X1398" i="1"/>
  <c r="X1396" i="1"/>
  <c r="X1394" i="1"/>
  <c r="X1392" i="1"/>
  <c r="X1390" i="1"/>
  <c r="X1386" i="1"/>
  <c r="X1384" i="1"/>
  <c r="X1382" i="1"/>
  <c r="X1380" i="1"/>
  <c r="X1378" i="1"/>
  <c r="X1376" i="1"/>
  <c r="X1374" i="1"/>
  <c r="X1370" i="1"/>
  <c r="X1367" i="1"/>
  <c r="X1366" i="1" s="1"/>
  <c r="X1365" i="1" s="1"/>
  <c r="X1362" i="1"/>
  <c r="X1359" i="1"/>
  <c r="X1356" i="1"/>
  <c r="X1351" i="1"/>
  <c r="X1348" i="1"/>
  <c r="X1343" i="1"/>
  <c r="X1342" i="1" s="1"/>
  <c r="X1339" i="1"/>
  <c r="X1336" i="1"/>
  <c r="X1332" i="1"/>
  <c r="X1329" i="1"/>
  <c r="X1326" i="1"/>
  <c r="X1323" i="1"/>
  <c r="X1321" i="1"/>
  <c r="X1319" i="1"/>
  <c r="X1316" i="1"/>
  <c r="X1312" i="1"/>
  <c r="X1310" i="1"/>
  <c r="X1308" i="1"/>
  <c r="X1306" i="1"/>
  <c r="X1302" i="1"/>
  <c r="X1300" i="1"/>
  <c r="X1293" i="1"/>
  <c r="X1292" i="1" s="1"/>
  <c r="X1291" i="1" s="1"/>
  <c r="X1288" i="1"/>
  <c r="X1285" i="1"/>
  <c r="X1284" i="1" s="1"/>
  <c r="X1280" i="1"/>
  <c r="X1277" i="1"/>
  <c r="X1274" i="1"/>
  <c r="X1271" i="1"/>
  <c r="X1265" i="1"/>
  <c r="X1264" i="1" s="1"/>
  <c r="X1262" i="1"/>
  <c r="X1258" i="1"/>
  <c r="X1255" i="1" s="1"/>
  <c r="X1256" i="1"/>
  <c r="X1253" i="1"/>
  <c r="X1248" i="1"/>
  <c r="X1246" i="1"/>
  <c r="X1243" i="1"/>
  <c r="X1240" i="1"/>
  <c r="X1238" i="1"/>
  <c r="X1236" i="1"/>
  <c r="X1234" i="1"/>
  <c r="X1231" i="1"/>
  <c r="X1229" i="1"/>
  <c r="X1226" i="1"/>
  <c r="X1222" i="1"/>
  <c r="X1219" i="1"/>
  <c r="X1215" i="1"/>
  <c r="X1214" i="1" s="1"/>
  <c r="X1207" i="1"/>
  <c r="X1205" i="1"/>
  <c r="X1198" i="1"/>
  <c r="X1196" i="1"/>
  <c r="X1189" i="1"/>
  <c r="X1184" i="1"/>
  <c r="X1183" i="1" s="1"/>
  <c r="X1182" i="1" s="1"/>
  <c r="X1181" i="1" s="1"/>
  <c r="X1178" i="1"/>
  <c r="X1175" i="1"/>
  <c r="X1174" i="1" s="1"/>
  <c r="X1173" i="1" s="1"/>
  <c r="X1172" i="1" s="1"/>
  <c r="X1170" i="1"/>
  <c r="X1168" i="1"/>
  <c r="X1163" i="1"/>
  <c r="X1161" i="1"/>
  <c r="X1157" i="1"/>
  <c r="X1153" i="1"/>
  <c r="X1151" i="1"/>
  <c r="X1148" i="1"/>
  <c r="X1145" i="1"/>
  <c r="X1144" i="1" s="1"/>
  <c r="X1141" i="1"/>
  <c r="X1140" i="1" s="1"/>
  <c r="X1138" i="1"/>
  <c r="X1134" i="1"/>
  <c r="X1131" i="1"/>
  <c r="X1129" i="1"/>
  <c r="X1125" i="1"/>
  <c r="X1123" i="1"/>
  <c r="X1120" i="1"/>
  <c r="X1115" i="1"/>
  <c r="X1113" i="1"/>
  <c r="X1111" i="1"/>
  <c r="X1109" i="1"/>
  <c r="X1107" i="1"/>
  <c r="X1105" i="1"/>
  <c r="X1103" i="1"/>
  <c r="X1101" i="1"/>
  <c r="X1099" i="1"/>
  <c r="X1097" i="1"/>
  <c r="X1095" i="1"/>
  <c r="X1093" i="1"/>
  <c r="X1091" i="1"/>
  <c r="X1089" i="1"/>
  <c r="X1087" i="1"/>
  <c r="X1085" i="1"/>
  <c r="X1083" i="1"/>
  <c r="X1081" i="1"/>
  <c r="X1079" i="1"/>
  <c r="X1077" i="1"/>
  <c r="X1075" i="1"/>
  <c r="X1073" i="1"/>
  <c r="X1071" i="1"/>
  <c r="X1069" i="1"/>
  <c r="X1067" i="1"/>
  <c r="X1065" i="1"/>
  <c r="X1063" i="1"/>
  <c r="X1061" i="1"/>
  <c r="X1059" i="1"/>
  <c r="X1057" i="1"/>
  <c r="X1055" i="1"/>
  <c r="X1053" i="1"/>
  <c r="X1051" i="1"/>
  <c r="X1049" i="1"/>
  <c r="X1047" i="1"/>
  <c r="X1045" i="1"/>
  <c r="X1043" i="1"/>
  <c r="X1040" i="1"/>
  <c r="X1038" i="1"/>
  <c r="X1035" i="1"/>
  <c r="X1033" i="1"/>
  <c r="X1031" i="1"/>
  <c r="X1029" i="1"/>
  <c r="X1027" i="1"/>
  <c r="X1025" i="1"/>
  <c r="X1023" i="1"/>
  <c r="X1021" i="1"/>
  <c r="X1017" i="1"/>
  <c r="X1015" i="1"/>
  <c r="X1013" i="1"/>
  <c r="X1011" i="1"/>
  <c r="X1009" i="1"/>
  <c r="X1007" i="1"/>
  <c r="X1005" i="1"/>
  <c r="X1003" i="1"/>
  <c r="X1001" i="1"/>
  <c r="X999" i="1"/>
  <c r="X995" i="1"/>
  <c r="X993" i="1"/>
  <c r="X989" i="1"/>
  <c r="X987" i="1"/>
  <c r="X985" i="1"/>
  <c r="X983" i="1"/>
  <c r="X979" i="1"/>
  <c r="X978" i="1" s="1"/>
  <c r="X973" i="1"/>
  <c r="X970" i="1"/>
  <c r="X968" i="1"/>
  <c r="X963" i="1"/>
  <c r="X961" i="1"/>
  <c r="X957" i="1"/>
  <c r="X955" i="1"/>
  <c r="X951" i="1"/>
  <c r="X949" i="1"/>
  <c r="X946" i="1"/>
  <c r="X942" i="1"/>
  <c r="X937" i="1"/>
  <c r="X934" i="1"/>
  <c r="X931" i="1"/>
  <c r="X929" i="1"/>
  <c r="X924" i="1"/>
  <c r="X922" i="1"/>
  <c r="X920" i="1"/>
  <c r="X918" i="1"/>
  <c r="X913" i="1"/>
  <c r="X912" i="1" s="1"/>
  <c r="X908" i="1"/>
  <c r="X906" i="1"/>
  <c r="X904" i="1"/>
  <c r="X900" i="1"/>
  <c r="X898" i="1"/>
  <c r="X895" i="1"/>
  <c r="X892" i="1"/>
  <c r="X882" i="1"/>
  <c r="X881" i="1" s="1"/>
  <c r="X879" i="1"/>
  <c r="X878" i="1" s="1"/>
  <c r="X874" i="1"/>
  <c r="X873" i="1" s="1"/>
  <c r="X870" i="1"/>
  <c r="X869" i="1" s="1"/>
  <c r="X863" i="1"/>
  <c r="X860" i="1"/>
  <c r="X857" i="1"/>
  <c r="X851" i="1"/>
  <c r="X849" i="1"/>
  <c r="X847" i="1"/>
  <c r="X843" i="1"/>
  <c r="X840" i="1"/>
  <c r="X831" i="1"/>
  <c r="X828" i="1"/>
  <c r="X822" i="1"/>
  <c r="X820" i="1"/>
  <c r="X818" i="1"/>
  <c r="X814" i="1"/>
  <c r="X813" i="1" s="1"/>
  <c r="X810" i="1"/>
  <c r="X809" i="1" s="1"/>
  <c r="X807" i="1"/>
  <c r="X806" i="1" s="1"/>
  <c r="X804" i="1"/>
  <c r="X803" i="1" s="1"/>
  <c r="X801" i="1"/>
  <c r="X800" i="1" s="1"/>
  <c r="X796" i="1"/>
  <c r="X794" i="1"/>
  <c r="X792" i="1"/>
  <c r="X790" i="1"/>
  <c r="X788" i="1"/>
  <c r="X784" i="1"/>
  <c r="X782" i="1"/>
  <c r="X780" i="1"/>
  <c r="X776" i="1"/>
  <c r="X775" i="1" s="1"/>
  <c r="X774" i="1" s="1"/>
  <c r="X771" i="1"/>
  <c r="X769" i="1"/>
  <c r="X767" i="1"/>
  <c r="X765" i="1"/>
  <c r="X763" i="1"/>
  <c r="X761" i="1"/>
  <c r="X759" i="1"/>
  <c r="X757" i="1"/>
  <c r="X755" i="1"/>
  <c r="X753" i="1"/>
  <c r="X751" i="1"/>
  <c r="X749" i="1"/>
  <c r="X747" i="1"/>
  <c r="X745" i="1"/>
  <c r="X743" i="1"/>
  <c r="X741" i="1"/>
  <c r="X739" i="1"/>
  <c r="X737" i="1"/>
  <c r="X735" i="1"/>
  <c r="X733" i="1"/>
  <c r="X731" i="1"/>
  <c r="X729" i="1"/>
  <c r="X727" i="1"/>
  <c r="X725" i="1"/>
  <c r="X723" i="1"/>
  <c r="X721" i="1"/>
  <c r="X719" i="1"/>
  <c r="X717" i="1"/>
  <c r="X715" i="1"/>
  <c r="X713" i="1"/>
  <c r="X711" i="1"/>
  <c r="X709" i="1"/>
  <c r="X707" i="1"/>
  <c r="X705" i="1"/>
  <c r="X703" i="1"/>
  <c r="X701" i="1"/>
  <c r="X699" i="1"/>
  <c r="X697" i="1"/>
  <c r="X695" i="1"/>
  <c r="X693" i="1"/>
  <c r="X691" i="1"/>
  <c r="X689" i="1"/>
  <c r="X687" i="1"/>
  <c r="X685" i="1"/>
  <c r="X683" i="1"/>
  <c r="X681" i="1"/>
  <c r="X679" i="1"/>
  <c r="X677" i="1"/>
  <c r="X675" i="1"/>
  <c r="X673" i="1"/>
  <c r="X671" i="1"/>
  <c r="X669" i="1"/>
  <c r="X667" i="1"/>
  <c r="X665" i="1"/>
  <c r="X663" i="1"/>
  <c r="X661" i="1"/>
  <c r="X659" i="1"/>
  <c r="X657" i="1"/>
  <c r="X655" i="1"/>
  <c r="X653" i="1"/>
  <c r="X651" i="1"/>
  <c r="X649" i="1"/>
  <c r="X647" i="1"/>
  <c r="X645" i="1"/>
  <c r="X643" i="1"/>
  <c r="X641" i="1"/>
  <c r="X639" i="1"/>
  <c r="X637" i="1"/>
  <c r="X635" i="1"/>
  <c r="X633" i="1"/>
  <c r="X631" i="1"/>
  <c r="X629" i="1"/>
  <c r="X627" i="1"/>
  <c r="X625" i="1"/>
  <c r="X623" i="1"/>
  <c r="X621" i="1"/>
  <c r="X619" i="1"/>
  <c r="X617" i="1"/>
  <c r="X615" i="1"/>
  <c r="X613" i="1"/>
  <c r="X611" i="1"/>
  <c r="X609" i="1"/>
  <c r="X607" i="1"/>
  <c r="X605" i="1"/>
  <c r="X603" i="1"/>
  <c r="X601" i="1"/>
  <c r="X599" i="1"/>
  <c r="X597" i="1"/>
  <c r="X595" i="1"/>
  <c r="X593" i="1"/>
  <c r="X591" i="1"/>
  <c r="X589" i="1"/>
  <c r="X587" i="1"/>
  <c r="X585" i="1"/>
  <c r="X583" i="1"/>
  <c r="X581" i="1"/>
  <c r="X579" i="1"/>
  <c r="X577" i="1"/>
  <c r="X575" i="1"/>
  <c r="X573" i="1"/>
  <c r="X571" i="1"/>
  <c r="X569" i="1"/>
  <c r="X567" i="1"/>
  <c r="X565" i="1"/>
  <c r="X563" i="1"/>
  <c r="X561" i="1"/>
  <c r="X559" i="1"/>
  <c r="X557" i="1"/>
  <c r="X555" i="1"/>
  <c r="X553" i="1"/>
  <c r="X551" i="1"/>
  <c r="X549" i="1"/>
  <c r="X547" i="1"/>
  <c r="X545" i="1"/>
  <c r="X543" i="1"/>
  <c r="X541" i="1"/>
  <c r="X539" i="1"/>
  <c r="X537" i="1"/>
  <c r="X535" i="1"/>
  <c r="X533" i="1"/>
  <c r="X531" i="1"/>
  <c r="X529" i="1"/>
  <c r="X527" i="1"/>
  <c r="X525" i="1"/>
  <c r="X523" i="1"/>
  <c r="X521" i="1"/>
  <c r="X519" i="1"/>
  <c r="X517" i="1"/>
  <c r="X515" i="1"/>
  <c r="X513" i="1"/>
  <c r="X511" i="1"/>
  <c r="X509" i="1"/>
  <c r="X507" i="1"/>
  <c r="X505" i="1"/>
  <c r="X503" i="1"/>
  <c r="X501" i="1"/>
  <c r="X499" i="1"/>
  <c r="X497" i="1"/>
  <c r="X495" i="1"/>
  <c r="X493" i="1"/>
  <c r="X491" i="1"/>
  <c r="X489" i="1"/>
  <c r="X487" i="1"/>
  <c r="X485" i="1"/>
  <c r="X483" i="1"/>
  <c r="X481" i="1"/>
  <c r="X479" i="1"/>
  <c r="X477" i="1"/>
  <c r="X475" i="1"/>
  <c r="X473" i="1"/>
  <c r="X471" i="1"/>
  <c r="X469" i="1"/>
  <c r="X467" i="1"/>
  <c r="X465" i="1"/>
  <c r="X463" i="1"/>
  <c r="X461" i="1"/>
  <c r="X459" i="1"/>
  <c r="X457" i="1"/>
  <c r="X455" i="1"/>
  <c r="X453" i="1"/>
  <c r="X451" i="1"/>
  <c r="X449" i="1"/>
  <c r="X447" i="1"/>
  <c r="X445" i="1"/>
  <c r="X443" i="1"/>
  <c r="X441" i="1"/>
  <c r="X439" i="1"/>
  <c r="X437" i="1"/>
  <c r="X435" i="1"/>
  <c r="X433" i="1"/>
  <c r="X431" i="1"/>
  <c r="X429" i="1"/>
  <c r="X427" i="1"/>
  <c r="X425" i="1"/>
  <c r="X423" i="1"/>
  <c r="X421" i="1"/>
  <c r="X419" i="1"/>
  <c r="X416" i="1"/>
  <c r="X415" i="1" s="1"/>
  <c r="X413" i="1"/>
  <c r="X411" i="1"/>
  <c r="X409" i="1"/>
  <c r="X407" i="1"/>
  <c r="X405" i="1"/>
  <c r="X403" i="1"/>
  <c r="X401" i="1"/>
  <c r="X399" i="1"/>
  <c r="X397" i="1"/>
  <c r="X395" i="1"/>
  <c r="X393" i="1"/>
  <c r="X391" i="1"/>
  <c r="X389" i="1"/>
  <c r="X387" i="1"/>
  <c r="X385" i="1"/>
  <c r="X383" i="1"/>
  <c r="X381" i="1"/>
  <c r="X379" i="1"/>
  <c r="X377" i="1"/>
  <c r="X373" i="1"/>
  <c r="X371" i="1"/>
  <c r="X366" i="1"/>
  <c r="X364" i="1"/>
  <c r="X362" i="1"/>
  <c r="X359" i="1"/>
  <c r="X349" i="1"/>
  <c r="X347" i="1"/>
  <c r="X339" i="1"/>
  <c r="X338" i="1" s="1"/>
  <c r="X336" i="1"/>
  <c r="X329" i="1"/>
  <c r="X326" i="1" s="1"/>
  <c r="X322" i="1"/>
  <c r="X320" i="1"/>
  <c r="X317" i="1"/>
  <c r="X314" i="1"/>
  <c r="X299" i="1"/>
  <c r="X297" i="1"/>
  <c r="X286" i="1"/>
  <c r="X281" i="1"/>
  <c r="X276" i="1"/>
  <c r="X275" i="1" s="1"/>
  <c r="X274" i="1" s="1"/>
  <c r="X266" i="1"/>
  <c r="X261" i="1"/>
  <c r="X259" i="1"/>
  <c r="X256" i="1"/>
  <c r="X254" i="1"/>
  <c r="X251" i="1"/>
  <c r="X250" i="1" s="1"/>
  <c r="X249" i="1" s="1"/>
  <c r="X247" i="1"/>
  <c r="X239" i="1"/>
  <c r="X237" i="1"/>
  <c r="X234" i="1"/>
  <c r="X231" i="1"/>
  <c r="X227" i="1"/>
  <c r="X224" i="1"/>
  <c r="X221" i="1"/>
  <c r="X218" i="1"/>
  <c r="X217" i="1" s="1"/>
  <c r="X215" i="1"/>
  <c r="X214" i="1" s="1"/>
  <c r="X206" i="1"/>
  <c r="X203" i="1"/>
  <c r="X201" i="1"/>
  <c r="X195" i="1"/>
  <c r="X180" i="1"/>
  <c r="X173" i="1"/>
  <c r="X165" i="1"/>
  <c r="X162" i="1"/>
  <c r="X159" i="1"/>
  <c r="X156" i="1"/>
  <c r="X153" i="1"/>
  <c r="X151" i="1"/>
  <c r="X145" i="1"/>
  <c r="X137" i="1"/>
  <c r="X131" i="1"/>
  <c r="X127" i="1"/>
  <c r="X120" i="1"/>
  <c r="X117" i="1"/>
  <c r="X112" i="1"/>
  <c r="X111" i="1" s="1"/>
  <c r="X110" i="1" s="1"/>
  <c r="X104" i="1"/>
  <c r="X101" i="1"/>
  <c r="X99" i="1"/>
  <c r="X97" i="1"/>
  <c r="X95" i="1"/>
  <c r="X93" i="1"/>
  <c r="X90" i="1"/>
  <c r="X78" i="1"/>
  <c r="X67" i="1"/>
  <c r="X64" i="1"/>
  <c r="X61" i="1"/>
  <c r="X52" i="1"/>
  <c r="X45" i="1"/>
  <c r="X41" i="1"/>
  <c r="X40" i="1" s="1"/>
  <c r="X39" i="1" s="1"/>
  <c r="X35" i="1"/>
  <c r="X32" i="1"/>
  <c r="X29" i="1"/>
  <c r="X24" i="1"/>
  <c r="X21" i="1"/>
  <c r="X18" i="1"/>
  <c r="X1335" i="1" l="1"/>
  <c r="X1213" i="1"/>
  <c r="X779" i="1"/>
  <c r="X954" i="1"/>
  <c r="X258" i="1"/>
  <c r="X253" i="1" s="1"/>
  <c r="X158" i="1"/>
  <c r="X1388" i="1"/>
  <c r="X877" i="1"/>
  <c r="X876" i="1" s="1"/>
  <c r="X846" i="1"/>
  <c r="X1563" i="1"/>
  <c r="X1802" i="1"/>
  <c r="X1801" i="1" s="1"/>
  <c r="X1641" i="1"/>
  <c r="X319" i="1"/>
  <c r="X316" i="1" s="1"/>
  <c r="X220" i="1"/>
  <c r="X194" i="1"/>
  <c r="X1299" i="1"/>
  <c r="X28" i="1"/>
  <c r="X27" i="1" s="1"/>
  <c r="X230" i="1"/>
  <c r="X967" i="1"/>
  <c r="X966" i="1" s="1"/>
  <c r="X1225" i="1"/>
  <c r="X1406" i="1"/>
  <c r="X1405" i="1" s="1"/>
  <c r="X376" i="1"/>
  <c r="X1147" i="1"/>
  <c r="X1500" i="1"/>
  <c r="X1776" i="1"/>
  <c r="X1769" i="1" s="1"/>
  <c r="X144" i="1"/>
  <c r="X143" i="1" s="1"/>
  <c r="X265" i="1"/>
  <c r="X264" i="1" s="1"/>
  <c r="X418" i="1"/>
  <c r="X972" i="1"/>
  <c r="X280" i="1"/>
  <c r="X279" i="1" s="1"/>
  <c r="X827" i="1"/>
  <c r="X856" i="1"/>
  <c r="X1156" i="1"/>
  <c r="X1155" i="1" s="1"/>
  <c r="X1704" i="1"/>
  <c r="X1700" i="1" s="1"/>
  <c r="X817" i="1"/>
  <c r="X816" i="1" s="1"/>
  <c r="X982" i="1"/>
  <c r="X981" i="1" s="1"/>
  <c r="X960" i="1"/>
  <c r="X1461" i="1"/>
  <c r="X1484" i="1"/>
  <c r="X1540" i="1"/>
  <c r="X1723" i="1"/>
  <c r="X1749" i="1"/>
  <c r="X1745" i="1" s="1"/>
  <c r="X1347" i="1"/>
  <c r="X1346" i="1" s="1"/>
  <c r="X1373" i="1"/>
  <c r="X1830" i="1"/>
  <c r="X1829" i="1" s="1"/>
  <c r="X1828" i="1" s="1"/>
  <c r="X1421" i="1"/>
  <c r="X1634" i="1"/>
  <c r="X1737" i="1"/>
  <c r="X1736" i="1" s="1"/>
  <c r="X1426" i="1"/>
  <c r="X1612" i="1"/>
  <c r="X1655" i="1"/>
  <c r="X1654" i="1" s="1"/>
  <c r="X17" i="1"/>
  <c r="X44" i="1"/>
  <c r="X51" i="1"/>
  <c r="X60" i="1"/>
  <c r="X103" i="1"/>
  <c r="X116" i="1"/>
  <c r="X292" i="1"/>
  <c r="X175" i="1"/>
  <c r="X285" i="1"/>
  <c r="X303" i="1"/>
  <c r="X325" i="1"/>
  <c r="X812" i="1"/>
  <c r="X977" i="1"/>
  <c r="X872" i="1"/>
  <c r="X894" i="1"/>
  <c r="X183" i="1"/>
  <c r="X191" i="1"/>
  <c r="X313" i="1"/>
  <c r="X335" i="1"/>
  <c r="X134" i="1"/>
  <c r="X150" i="1"/>
  <c r="X346" i="1"/>
  <c r="X358" i="1"/>
  <c r="X799" i="1"/>
  <c r="X868" i="1"/>
  <c r="X911" i="1"/>
  <c r="X903" i="1"/>
  <c r="X917" i="1"/>
  <c r="X998" i="1"/>
  <c r="X1037" i="1"/>
  <c r="X1127" i="1"/>
  <c r="X1177" i="1"/>
  <c r="X1188" i="1"/>
  <c r="X1180" i="1" s="1"/>
  <c r="X1210" i="1"/>
  <c r="X1204" i="1" s="1"/>
  <c r="X1270" i="1"/>
  <c r="X1438" i="1"/>
  <c r="X1416" i="1"/>
  <c r="X889" i="1"/>
  <c r="X939" i="1"/>
  <c r="X1042" i="1"/>
  <c r="X1218" i="1"/>
  <c r="X1445" i="1"/>
  <c r="X1160" i="1"/>
  <c r="X1167" i="1"/>
  <c r="X1195" i="1"/>
  <c r="X1305" i="1"/>
  <c r="X1548" i="1"/>
  <c r="X1765" i="1"/>
  <c r="X1785" i="1"/>
  <c r="X1863" i="1"/>
  <c r="X1488" i="1"/>
  <c r="X1496" i="1"/>
  <c r="X1557" i="1"/>
  <c r="X1682" i="1"/>
  <c r="X1687" i="1"/>
  <c r="X1469" i="1"/>
  <c r="X1754" i="1"/>
  <c r="X1452" i="1"/>
  <c r="X1522" i="1"/>
  <c r="X1553" i="1"/>
  <c r="X1675" i="1"/>
  <c r="X1694" i="1"/>
  <c r="X1795" i="1"/>
  <c r="X1812" i="1"/>
  <c r="X1823" i="1"/>
  <c r="X1574" i="1"/>
  <c r="X1587" i="1"/>
  <c r="V1582" i="1"/>
  <c r="V22" i="1"/>
  <c r="V795" i="1"/>
  <c r="X1631" i="1" l="1"/>
  <c r="X213" i="1"/>
  <c r="X1372" i="1"/>
  <c r="X375" i="1"/>
  <c r="X370" i="1" s="1"/>
  <c r="X826" i="1"/>
  <c r="X825" i="1" s="1"/>
  <c r="X1420" i="1"/>
  <c r="X1404" i="1" s="1"/>
  <c r="X1457" i="1"/>
  <c r="X1794" i="1"/>
  <c r="X1827" i="1"/>
  <c r="X1166" i="1"/>
  <c r="X1444" i="1"/>
  <c r="X1217" i="1"/>
  <c r="X888" i="1"/>
  <c r="X997" i="1"/>
  <c r="X345" i="1"/>
  <c r="X263" i="1"/>
  <c r="X284" i="1"/>
  <c r="X291" i="1"/>
  <c r="X59" i="1"/>
  <c r="X43" i="1"/>
  <c r="X16" i="1"/>
  <c r="X1699" i="1"/>
  <c r="X1735" i="1"/>
  <c r="X1499" i="1"/>
  <c r="X1194" i="1"/>
  <c r="X1119" i="1"/>
  <c r="X1269" i="1"/>
  <c r="X149" i="1"/>
  <c r="X334" i="1"/>
  <c r="X324" i="1" s="1"/>
  <c r="X928" i="1"/>
  <c r="X172" i="1"/>
  <c r="X1573" i="1"/>
  <c r="X1753" i="1"/>
  <c r="X1800" i="1"/>
  <c r="X1760" i="1"/>
  <c r="X1159" i="1"/>
  <c r="X1203" i="1"/>
  <c r="X1252" i="1"/>
  <c r="X357" i="1"/>
  <c r="X212" i="1"/>
  <c r="X130" i="1"/>
  <c r="X179" i="1"/>
  <c r="X778" i="1"/>
  <c r="X115" i="1"/>
  <c r="X1451" i="1"/>
  <c r="X1817" i="1"/>
  <c r="X1468" i="1"/>
  <c r="X1495" i="1"/>
  <c r="X1483" i="1"/>
  <c r="X1862" i="1"/>
  <c r="X1369" i="1"/>
  <c r="X1298" i="1"/>
  <c r="X916" i="1"/>
  <c r="X910" i="1"/>
  <c r="X278" i="1"/>
  <c r="X312" i="1"/>
  <c r="X976" i="1"/>
  <c r="X296" i="1"/>
  <c r="X142" i="1"/>
  <c r="V1852" i="1"/>
  <c r="V1508" i="1"/>
  <c r="V1507" i="1"/>
  <c r="V1211" i="1"/>
  <c r="V1139" i="1"/>
  <c r="V1135" i="1"/>
  <c r="V1133" i="1"/>
  <c r="V1132" i="1"/>
  <c r="V1128" i="1"/>
  <c r="V1124" i="1"/>
  <c r="V945" i="1"/>
  <c r="V943" i="1"/>
  <c r="V941" i="1"/>
  <c r="V899" i="1"/>
  <c r="V891" i="1"/>
  <c r="V875" i="1"/>
  <c r="V304" i="1"/>
  <c r="V295" i="1"/>
  <c r="V293" i="1"/>
  <c r="V235" i="1"/>
  <c r="V102" i="1"/>
  <c r="V89" i="1"/>
  <c r="V88" i="1"/>
  <c r="V83" i="1"/>
  <c r="V81" i="1"/>
  <c r="V79" i="1"/>
  <c r="V70" i="1"/>
  <c r="V68" i="1"/>
  <c r="X927" i="1" l="1"/>
  <c r="X148" i="1"/>
  <c r="X290" i="1"/>
  <c r="X992" i="1"/>
  <c r="X1165" i="1"/>
  <c r="X1653" i="1"/>
  <c r="X273" i="1"/>
  <c r="X1450" i="1"/>
  <c r="X773" i="1"/>
  <c r="X356" i="1"/>
  <c r="X1202" i="1"/>
  <c r="X1759" i="1"/>
  <c r="X155" i="1"/>
  <c r="X798" i="1"/>
  <c r="X1118" i="1"/>
  <c r="X887" i="1"/>
  <c r="X1437" i="1"/>
  <c r="X1403" i="1"/>
  <c r="X1467" i="1"/>
  <c r="X178" i="1"/>
  <c r="X311" i="1"/>
  <c r="X1734" i="1"/>
  <c r="X58" i="1"/>
  <c r="X38" i="1" s="1"/>
  <c r="X344" i="1"/>
  <c r="X343" i="1" s="1"/>
  <c r="X114" i="1"/>
  <c r="X1251" i="1"/>
  <c r="X1799" i="1"/>
  <c r="X1572" i="1"/>
  <c r="X1268" i="1"/>
  <c r="X1193" i="1"/>
  <c r="X369" i="1"/>
  <c r="V1343" i="1"/>
  <c r="W1345" i="1"/>
  <c r="Y1345" i="1" s="1"/>
  <c r="AA1345" i="1" s="1"/>
  <c r="V1545" i="1"/>
  <c r="W1546" i="1"/>
  <c r="Y1546" i="1" s="1"/>
  <c r="AA1546" i="1" s="1"/>
  <c r="V1473" i="1"/>
  <c r="W1476" i="1"/>
  <c r="Y1476" i="1" s="1"/>
  <c r="AA1476" i="1" s="1"/>
  <c r="W1360" i="1"/>
  <c r="Y1360" i="1" s="1"/>
  <c r="AA1360" i="1" s="1"/>
  <c r="W1361" i="1"/>
  <c r="Y1361" i="1" s="1"/>
  <c r="AA1361" i="1" s="1"/>
  <c r="V1359" i="1"/>
  <c r="W1359" i="1" s="1"/>
  <c r="Y1359" i="1" s="1"/>
  <c r="X1752" i="1" l="1"/>
  <c r="X1192" i="1"/>
  <c r="X886" i="1"/>
  <c r="X1449" i="1"/>
  <c r="X1571" i="1"/>
  <c r="X1466" i="1"/>
  <c r="X1117" i="1"/>
  <c r="X289" i="1"/>
  <c r="X147" i="1"/>
  <c r="X1267" i="1"/>
  <c r="X1201" i="1"/>
  <c r="X368" i="1"/>
  <c r="X926" i="1"/>
  <c r="V192" i="1"/>
  <c r="V136" i="1"/>
  <c r="V135" i="1"/>
  <c r="V92" i="1"/>
  <c r="V91" i="1"/>
  <c r="X915" i="1" l="1"/>
  <c r="X1191" i="1"/>
  <c r="X1200" i="1"/>
  <c r="X15" i="1"/>
  <c r="X885" i="1"/>
  <c r="X975" i="1"/>
  <c r="X342" i="1"/>
  <c r="X288" i="1"/>
  <c r="V1515" i="1"/>
  <c r="W1515" i="1" s="1"/>
  <c r="Y1515" i="1" s="1"/>
  <c r="W1516" i="1"/>
  <c r="Y1516" i="1" s="1"/>
  <c r="AA1516" i="1" s="1"/>
  <c r="X272" i="1" l="1"/>
  <c r="X884" i="1"/>
  <c r="V1841" i="1"/>
  <c r="W1841" i="1" s="1"/>
  <c r="Y1841" i="1" s="1"/>
  <c r="W1842" i="1"/>
  <c r="Y1842" i="1" s="1"/>
  <c r="AA1842" i="1" s="1"/>
  <c r="V1575" i="1"/>
  <c r="W1575" i="1" s="1"/>
  <c r="Y1575" i="1" s="1"/>
  <c r="W1576" i="1"/>
  <c r="Y1576" i="1" s="1"/>
  <c r="AA1576" i="1" s="1"/>
  <c r="V1568" i="1"/>
  <c r="W1570" i="1"/>
  <c r="Y1570" i="1" s="1"/>
  <c r="AA1570" i="1" s="1"/>
  <c r="X1870" i="1" l="1"/>
  <c r="X1868" i="1"/>
  <c r="V1280" i="1"/>
  <c r="W1282" i="1"/>
  <c r="Y1282" i="1" s="1"/>
  <c r="AA1282" i="1" s="1"/>
  <c r="V743" i="1" l="1"/>
  <c r="V765" i="1"/>
  <c r="V177" i="1"/>
  <c r="V124" i="1"/>
  <c r="V1107" i="1"/>
  <c r="W1107" i="1" s="1"/>
  <c r="Y1107" i="1" s="1"/>
  <c r="W1108" i="1"/>
  <c r="Y1108" i="1" s="1"/>
  <c r="AA1108" i="1" s="1"/>
  <c r="V193" i="1" l="1"/>
  <c r="V97" i="1" l="1"/>
  <c r="W97" i="1" s="1"/>
  <c r="Y97" i="1" s="1"/>
  <c r="W98" i="1"/>
  <c r="Y98" i="1" s="1"/>
  <c r="AA98" i="1" s="1"/>
  <c r="V955" i="1" l="1"/>
  <c r="W956" i="1"/>
  <c r="Y956" i="1" s="1"/>
  <c r="AA956" i="1" s="1"/>
  <c r="W955" i="1" l="1"/>
  <c r="Y955" i="1" s="1"/>
  <c r="W75" i="1" l="1"/>
  <c r="Y75" i="1" s="1"/>
  <c r="AA75" i="1" s="1"/>
  <c r="V221" i="1"/>
  <c r="W221" i="1" s="1"/>
  <c r="Y221" i="1" s="1"/>
  <c r="W222" i="1"/>
  <c r="Y222" i="1" s="1"/>
  <c r="AA222" i="1" s="1"/>
  <c r="W223" i="1"/>
  <c r="Y223" i="1" s="1"/>
  <c r="AA223" i="1" s="1"/>
  <c r="V36" i="1"/>
  <c r="V857" i="1" l="1"/>
  <c r="W857" i="1" s="1"/>
  <c r="Y857" i="1" s="1"/>
  <c r="W858" i="1"/>
  <c r="Y858" i="1" s="1"/>
  <c r="AA858" i="1" s="1"/>
  <c r="W859" i="1"/>
  <c r="Y859" i="1" s="1"/>
  <c r="AA859" i="1" s="1"/>
  <c r="V159" i="1" l="1"/>
  <c r="W159" i="1" s="1"/>
  <c r="Y159" i="1" s="1"/>
  <c r="W160" i="1"/>
  <c r="Y160" i="1" s="1"/>
  <c r="AA160" i="1" s="1"/>
  <c r="W161" i="1"/>
  <c r="Y161" i="1" s="1"/>
  <c r="AA161" i="1" s="1"/>
  <c r="V203" i="1"/>
  <c r="W203" i="1" s="1"/>
  <c r="Y203" i="1" s="1"/>
  <c r="W204" i="1"/>
  <c r="Y204" i="1" s="1"/>
  <c r="AA204" i="1" s="1"/>
  <c r="W205" i="1"/>
  <c r="Y205" i="1" s="1"/>
  <c r="AA205" i="1" s="1"/>
  <c r="W1436" i="1"/>
  <c r="Y1436" i="1" s="1"/>
  <c r="AA1436" i="1" s="1"/>
  <c r="V1435" i="1"/>
  <c r="V1434" i="1" s="1"/>
  <c r="V1433" i="1" s="1"/>
  <c r="W1433" i="1" s="1"/>
  <c r="Y1433" i="1" s="1"/>
  <c r="V184" i="1"/>
  <c r="V1874" i="1" s="1"/>
  <c r="V131" i="1"/>
  <c r="W131" i="1" s="1"/>
  <c r="Y131" i="1" s="1"/>
  <c r="W132" i="1"/>
  <c r="Y132" i="1" s="1"/>
  <c r="AA132" i="1" s="1"/>
  <c r="W133" i="1"/>
  <c r="Y133" i="1" s="1"/>
  <c r="AA133" i="1" s="1"/>
  <c r="W1435" i="1" l="1"/>
  <c r="Y1435" i="1" s="1"/>
  <c r="W1434" i="1"/>
  <c r="Y1434" i="1" s="1"/>
  <c r="V67" i="1" l="1"/>
  <c r="W135" i="1"/>
  <c r="Y135" i="1" s="1"/>
  <c r="AA135" i="1" s="1"/>
  <c r="W136" i="1"/>
  <c r="Y136" i="1" s="1"/>
  <c r="AA136" i="1" s="1"/>
  <c r="V134" i="1"/>
  <c r="W134" i="1" s="1"/>
  <c r="Y134" i="1" s="1"/>
  <c r="W1711" i="1"/>
  <c r="Y1711" i="1" s="1"/>
  <c r="AA1711" i="1" s="1"/>
  <c r="W1712" i="1"/>
  <c r="Y1712" i="1" s="1"/>
  <c r="AA1712" i="1" s="1"/>
  <c r="V1710" i="1"/>
  <c r="W1710" i="1" s="1"/>
  <c r="Y1710" i="1" s="1"/>
  <c r="W1666" i="1"/>
  <c r="Y1666" i="1" s="1"/>
  <c r="AA1666" i="1" s="1"/>
  <c r="W1667" i="1"/>
  <c r="Y1667" i="1" s="1"/>
  <c r="AA1667" i="1" s="1"/>
  <c r="V1665" i="1"/>
  <c r="W1665" i="1" s="1"/>
  <c r="Y1665" i="1" s="1"/>
  <c r="V191" i="1"/>
  <c r="W193" i="1"/>
  <c r="Y193" i="1" s="1"/>
  <c r="AA193" i="1" s="1"/>
  <c r="W1510" i="1"/>
  <c r="Y1510" i="1" s="1"/>
  <c r="AA1510" i="1" s="1"/>
  <c r="W1511" i="1"/>
  <c r="Y1511" i="1" s="1"/>
  <c r="AA1511" i="1" s="1"/>
  <c r="V1509" i="1"/>
  <c r="W1509" i="1" s="1"/>
  <c r="Y1509" i="1" s="1"/>
  <c r="W163" i="1"/>
  <c r="Y163" i="1" s="1"/>
  <c r="AA163" i="1" s="1"/>
  <c r="W164" i="1"/>
  <c r="Y164" i="1" s="1"/>
  <c r="AA164" i="1" s="1"/>
  <c r="V162" i="1"/>
  <c r="W162" i="1" s="1"/>
  <c r="Y162" i="1" s="1"/>
  <c r="W128" i="1"/>
  <c r="Y128" i="1" s="1"/>
  <c r="AA128" i="1" s="1"/>
  <c r="W129" i="1"/>
  <c r="Y129" i="1" s="1"/>
  <c r="AA129" i="1" s="1"/>
  <c r="V127" i="1"/>
  <c r="W127" i="1" s="1"/>
  <c r="Y127" i="1" s="1"/>
  <c r="W861" i="1"/>
  <c r="Y861" i="1" s="1"/>
  <c r="AA861" i="1" s="1"/>
  <c r="W862" i="1"/>
  <c r="Y862" i="1" s="1"/>
  <c r="AA862" i="1" s="1"/>
  <c r="V860" i="1"/>
  <c r="W860" i="1" s="1"/>
  <c r="Y860" i="1" s="1"/>
  <c r="W841" i="1"/>
  <c r="Y841" i="1" s="1"/>
  <c r="AA841" i="1" s="1"/>
  <c r="W842" i="1"/>
  <c r="Y842" i="1" s="1"/>
  <c r="AA842" i="1" s="1"/>
  <c r="V840" i="1"/>
  <c r="W840" i="1" s="1"/>
  <c r="Y840" i="1" s="1"/>
  <c r="W225" i="1"/>
  <c r="Y225" i="1" s="1"/>
  <c r="AA225" i="1" s="1"/>
  <c r="W226" i="1"/>
  <c r="Y226" i="1" s="1"/>
  <c r="AA226" i="1" s="1"/>
  <c r="V224" i="1"/>
  <c r="W224" i="1" s="1"/>
  <c r="Y224" i="1" s="1"/>
  <c r="V90" i="1"/>
  <c r="W92" i="1"/>
  <c r="Y92" i="1" s="1"/>
  <c r="AA92" i="1" s="1"/>
  <c r="W33" i="1"/>
  <c r="Y33" i="1" s="1"/>
  <c r="AA33" i="1" s="1"/>
  <c r="W34" i="1"/>
  <c r="Y34" i="1" s="1"/>
  <c r="AA34" i="1" s="1"/>
  <c r="V32" i="1"/>
  <c r="W32" i="1" s="1"/>
  <c r="Y32" i="1" s="1"/>
  <c r="V24" i="1"/>
  <c r="W24" i="1" s="1"/>
  <c r="Y24" i="1" s="1"/>
  <c r="W25" i="1"/>
  <c r="Y25" i="1" s="1"/>
  <c r="AA25" i="1" s="1"/>
  <c r="W26" i="1"/>
  <c r="Y26" i="1" s="1"/>
  <c r="AA26" i="1" s="1"/>
  <c r="W192" i="1" l="1"/>
  <c r="Y192" i="1" s="1"/>
  <c r="AA192" i="1" s="1"/>
  <c r="W191" i="1"/>
  <c r="Y191" i="1" s="1"/>
  <c r="V1866" i="1" l="1"/>
  <c r="V1865" i="1" s="1"/>
  <c r="V1864" i="1" s="1"/>
  <c r="V1860" i="1"/>
  <c r="V1856" i="1"/>
  <c r="V1854" i="1"/>
  <c r="V1851" i="1"/>
  <c r="V1849" i="1"/>
  <c r="V1847" i="1"/>
  <c r="V1845" i="1"/>
  <c r="V1843" i="1"/>
  <c r="V1838" i="1"/>
  <c r="V1836" i="1"/>
  <c r="V1834" i="1"/>
  <c r="V1831" i="1"/>
  <c r="V1825" i="1"/>
  <c r="V1824" i="1" s="1"/>
  <c r="V1820" i="1"/>
  <c r="V1819" i="1" s="1"/>
  <c r="V1818" i="1" s="1"/>
  <c r="V1814" i="1"/>
  <c r="V1813" i="1" s="1"/>
  <c r="V1809" i="1"/>
  <c r="V1807" i="1"/>
  <c r="V1805" i="1"/>
  <c r="V1803" i="1"/>
  <c r="V1797" i="1"/>
  <c r="V1796" i="1" s="1"/>
  <c r="V1795" i="1" s="1"/>
  <c r="V1791" i="1"/>
  <c r="V1790" i="1" s="1"/>
  <c r="V1789" i="1" s="1"/>
  <c r="V1787" i="1"/>
  <c r="V1786" i="1" s="1"/>
  <c r="V1782" i="1"/>
  <c r="V1779" i="1"/>
  <c r="V1777" i="1"/>
  <c r="V1774" i="1"/>
  <c r="V1771" i="1"/>
  <c r="V1770" i="1" s="1"/>
  <c r="V1767" i="1"/>
  <c r="V1763" i="1"/>
  <c r="V1762" i="1" s="1"/>
  <c r="V1761" i="1" s="1"/>
  <c r="V1757" i="1"/>
  <c r="V1756" i="1" s="1"/>
  <c r="V1750" i="1"/>
  <c r="V1749" i="1" s="1"/>
  <c r="V1747" i="1"/>
  <c r="V1746" i="1" s="1"/>
  <c r="V1743" i="1"/>
  <c r="V1742" i="1" s="1"/>
  <c r="V1740" i="1"/>
  <c r="V1738" i="1"/>
  <c r="V1732" i="1"/>
  <c r="V1728" i="1"/>
  <c r="V1727" i="1" s="1"/>
  <c r="V1725" i="1"/>
  <c r="V1724" i="1" s="1"/>
  <c r="V1721" i="1"/>
  <c r="V1720" i="1" s="1"/>
  <c r="V1715" i="1"/>
  <c r="V1713" i="1"/>
  <c r="V1705" i="1"/>
  <c r="V1702" i="1"/>
  <c r="V1701" i="1" s="1"/>
  <c r="V1697" i="1"/>
  <c r="V1696" i="1" s="1"/>
  <c r="V1695" i="1" s="1"/>
  <c r="V1692" i="1"/>
  <c r="V1689" i="1"/>
  <c r="V1688" i="1" s="1"/>
  <c r="V1685" i="1"/>
  <c r="V1684" i="1" s="1"/>
  <c r="V1680" i="1"/>
  <c r="V1679" i="1" s="1"/>
  <c r="V1677" i="1"/>
  <c r="V1673" i="1"/>
  <c r="V1671" i="1"/>
  <c r="V1668" i="1"/>
  <c r="V1659" i="1"/>
  <c r="V1656" i="1"/>
  <c r="V1651" i="1"/>
  <c r="V1648" i="1"/>
  <c r="V1646" i="1"/>
  <c r="V1644" i="1"/>
  <c r="V1642" i="1"/>
  <c r="V1639" i="1"/>
  <c r="V1637" i="1"/>
  <c r="V1632" i="1"/>
  <c r="V1628" i="1"/>
  <c r="V1625" i="1"/>
  <c r="V1623" i="1"/>
  <c r="V1619" i="1"/>
  <c r="V1617" i="1"/>
  <c r="V1615" i="1"/>
  <c r="V1613" i="1"/>
  <c r="V1609" i="1"/>
  <c r="V1607" i="1"/>
  <c r="V1605" i="1"/>
  <c r="V1602" i="1"/>
  <c r="V1600" i="1"/>
  <c r="V1598" i="1"/>
  <c r="V1596" i="1"/>
  <c r="V1594" i="1"/>
  <c r="V1592" i="1"/>
  <c r="V1590" i="1"/>
  <c r="V1588" i="1"/>
  <c r="V1584" i="1"/>
  <c r="V1581" i="1"/>
  <c r="V1579" i="1"/>
  <c r="V1577" i="1"/>
  <c r="V1567" i="1"/>
  <c r="V1565" i="1"/>
  <c r="V1564" i="1" s="1"/>
  <c r="V1560" i="1"/>
  <c r="V1555" i="1"/>
  <c r="V1554" i="1" s="1"/>
  <c r="V1553" i="1" s="1"/>
  <c r="V1551" i="1"/>
  <c r="V1550" i="1" s="1"/>
  <c r="V1544" i="1"/>
  <c r="V1542" i="1"/>
  <c r="V1541" i="1" s="1"/>
  <c r="V1538" i="1"/>
  <c r="V1535" i="1"/>
  <c r="V1532" i="1"/>
  <c r="V1529" i="1"/>
  <c r="V1526" i="1"/>
  <c r="V1523" i="1"/>
  <c r="V1519" i="1"/>
  <c r="V1517" i="1"/>
  <c r="V1512" i="1"/>
  <c r="V1504" i="1"/>
  <c r="V1501" i="1"/>
  <c r="V1497" i="1"/>
  <c r="V1496" i="1" s="1"/>
  <c r="V1491" i="1"/>
  <c r="V1489" i="1"/>
  <c r="V1485" i="1"/>
  <c r="V1481" i="1"/>
  <c r="V1480" i="1" s="1"/>
  <c r="V1477" i="1"/>
  <c r="V1470" i="1"/>
  <c r="V1464" i="1"/>
  <c r="V1461" i="1" s="1"/>
  <c r="V1462" i="1"/>
  <c r="V1459" i="1"/>
  <c r="V1458" i="1" s="1"/>
  <c r="V1453" i="1"/>
  <c r="V1447" i="1"/>
  <c r="V1446" i="1" s="1"/>
  <c r="V1445" i="1" s="1"/>
  <c r="V1441" i="1"/>
  <c r="V1440" i="1" s="1"/>
  <c r="V1439" i="1" s="1"/>
  <c r="V1431" i="1"/>
  <c r="V1429" i="1"/>
  <c r="V1427" i="1"/>
  <c r="V1424" i="1"/>
  <c r="V1422" i="1"/>
  <c r="V1418" i="1"/>
  <c r="V1417" i="1" s="1"/>
  <c r="V1416" i="1" s="1"/>
  <c r="V1413" i="1"/>
  <c r="V1411" i="1"/>
  <c r="V1409" i="1"/>
  <c r="V1407" i="1"/>
  <c r="V1401" i="1"/>
  <c r="V1400" i="1" s="1"/>
  <c r="V1398" i="1"/>
  <c r="V1396" i="1"/>
  <c r="V1394" i="1"/>
  <c r="V1392" i="1"/>
  <c r="V1390" i="1"/>
  <c r="V1386" i="1"/>
  <c r="V1384" i="1"/>
  <c r="V1382" i="1"/>
  <c r="V1380" i="1"/>
  <c r="V1378" i="1"/>
  <c r="V1376" i="1"/>
  <c r="V1374" i="1"/>
  <c r="V1370" i="1"/>
  <c r="V1367" i="1"/>
  <c r="V1366" i="1" s="1"/>
  <c r="V1365" i="1" s="1"/>
  <c r="V1362" i="1"/>
  <c r="V1356" i="1"/>
  <c r="V1351" i="1"/>
  <c r="V1348" i="1"/>
  <c r="V1339" i="1"/>
  <c r="V1336" i="1"/>
  <c r="V1332" i="1"/>
  <c r="V1329" i="1"/>
  <c r="V1326" i="1"/>
  <c r="V1323" i="1"/>
  <c r="V1321" i="1"/>
  <c r="V1319" i="1"/>
  <c r="V1316" i="1"/>
  <c r="V1312" i="1"/>
  <c r="V1310" i="1"/>
  <c r="V1308" i="1"/>
  <c r="V1306" i="1"/>
  <c r="V1302" i="1"/>
  <c r="V1300" i="1"/>
  <c r="V1293" i="1"/>
  <c r="V1292" i="1" s="1"/>
  <c r="V1291" i="1" s="1"/>
  <c r="V1288" i="1"/>
  <c r="V1285" i="1"/>
  <c r="V1284" i="1" s="1"/>
  <c r="V1277" i="1"/>
  <c r="V1274" i="1"/>
  <c r="V1271" i="1"/>
  <c r="V1265" i="1"/>
  <c r="V1264" i="1" s="1"/>
  <c r="V1262" i="1"/>
  <c r="V1258" i="1"/>
  <c r="V1256" i="1"/>
  <c r="V1253" i="1"/>
  <c r="V1248" i="1"/>
  <c r="V1246" i="1"/>
  <c r="V1243" i="1"/>
  <c r="V1240" i="1"/>
  <c r="V1238" i="1"/>
  <c r="V1236" i="1"/>
  <c r="V1234" i="1"/>
  <c r="V1231" i="1"/>
  <c r="V1229" i="1"/>
  <c r="V1226" i="1"/>
  <c r="V1222" i="1"/>
  <c r="V1219" i="1"/>
  <c r="V1215" i="1"/>
  <c r="V1214" i="1" s="1"/>
  <c r="V1210" i="1"/>
  <c r="V1207" i="1"/>
  <c r="V1205" i="1"/>
  <c r="V1198" i="1"/>
  <c r="V1196" i="1"/>
  <c r="V1189" i="1"/>
  <c r="V1184" i="1"/>
  <c r="V1183" i="1" s="1"/>
  <c r="V1182" i="1" s="1"/>
  <c r="V1181" i="1" s="1"/>
  <c r="V1178" i="1"/>
  <c r="V1177" i="1" s="1"/>
  <c r="V1175" i="1"/>
  <c r="V1174" i="1" s="1"/>
  <c r="V1173" i="1" s="1"/>
  <c r="V1170" i="1"/>
  <c r="V1168" i="1"/>
  <c r="V1163" i="1"/>
  <c r="V1161" i="1"/>
  <c r="V1157" i="1"/>
  <c r="V1156" i="1" s="1"/>
  <c r="V1153" i="1"/>
  <c r="V1151" i="1"/>
  <c r="V1148" i="1"/>
  <c r="V1145" i="1"/>
  <c r="V1144" i="1" s="1"/>
  <c r="V1141" i="1"/>
  <c r="V1140" i="1" s="1"/>
  <c r="V1138" i="1"/>
  <c r="V1134" i="1"/>
  <c r="V1131" i="1"/>
  <c r="V1129" i="1"/>
  <c r="V1127" i="1"/>
  <c r="V1125" i="1"/>
  <c r="V1123" i="1"/>
  <c r="V1120" i="1"/>
  <c r="V1115" i="1"/>
  <c r="V1113" i="1"/>
  <c r="V1111" i="1"/>
  <c r="V1109" i="1"/>
  <c r="V1105" i="1"/>
  <c r="V1103" i="1"/>
  <c r="V1101" i="1"/>
  <c r="V1099" i="1"/>
  <c r="V1097" i="1"/>
  <c r="V1095" i="1"/>
  <c r="V1093" i="1"/>
  <c r="V1091" i="1"/>
  <c r="V1089" i="1"/>
  <c r="V1087" i="1"/>
  <c r="V1085" i="1"/>
  <c r="V1083" i="1"/>
  <c r="V1081" i="1"/>
  <c r="V1079" i="1"/>
  <c r="V1077" i="1"/>
  <c r="V1075" i="1"/>
  <c r="V1073" i="1"/>
  <c r="V1071" i="1"/>
  <c r="V1069" i="1"/>
  <c r="V1067" i="1"/>
  <c r="V1065" i="1"/>
  <c r="V1063" i="1"/>
  <c r="V1061" i="1"/>
  <c r="V1059" i="1"/>
  <c r="V1057" i="1"/>
  <c r="V1055" i="1"/>
  <c r="V1053" i="1"/>
  <c r="V1051" i="1"/>
  <c r="V1049" i="1"/>
  <c r="V1047" i="1"/>
  <c r="V1045" i="1"/>
  <c r="V1043" i="1"/>
  <c r="V1040" i="1"/>
  <c r="V1038" i="1"/>
  <c r="V1035" i="1"/>
  <c r="V1033" i="1"/>
  <c r="V1031" i="1"/>
  <c r="V1029" i="1"/>
  <c r="V1027" i="1"/>
  <c r="V1025" i="1"/>
  <c r="V1023" i="1"/>
  <c r="V1021" i="1"/>
  <c r="V1019" i="1"/>
  <c r="V1017" i="1"/>
  <c r="V1015" i="1"/>
  <c r="V1013" i="1"/>
  <c r="V1011" i="1"/>
  <c r="V1009" i="1"/>
  <c r="V1007" i="1"/>
  <c r="V1005" i="1"/>
  <c r="V1003" i="1"/>
  <c r="V1001" i="1"/>
  <c r="V999" i="1"/>
  <c r="V995" i="1"/>
  <c r="V993" i="1"/>
  <c r="V989" i="1"/>
  <c r="V987" i="1"/>
  <c r="V985" i="1"/>
  <c r="V983" i="1"/>
  <c r="V979" i="1"/>
  <c r="V978" i="1" s="1"/>
  <c r="V977" i="1" s="1"/>
  <c r="V973" i="1"/>
  <c r="V972" i="1" s="1"/>
  <c r="V970" i="1"/>
  <c r="V968" i="1"/>
  <c r="V963" i="1"/>
  <c r="V961" i="1"/>
  <c r="V957" i="1"/>
  <c r="V954" i="1" s="1"/>
  <c r="V951" i="1"/>
  <c r="V949" i="1"/>
  <c r="V946" i="1"/>
  <c r="V942" i="1"/>
  <c r="V939" i="1"/>
  <c r="V937" i="1"/>
  <c r="V934" i="1"/>
  <c r="V931" i="1"/>
  <c r="V929" i="1"/>
  <c r="V924" i="1"/>
  <c r="V922" i="1"/>
  <c r="V920" i="1"/>
  <c r="V918" i="1"/>
  <c r="V913" i="1"/>
  <c r="V912" i="1" s="1"/>
  <c r="V911" i="1" s="1"/>
  <c r="V908" i="1"/>
  <c r="V906" i="1"/>
  <c r="V904" i="1"/>
  <c r="V900" i="1"/>
  <c r="V898" i="1"/>
  <c r="V895" i="1"/>
  <c r="V892" i="1"/>
  <c r="V889" i="1"/>
  <c r="V882" i="1"/>
  <c r="V881" i="1" s="1"/>
  <c r="V879" i="1"/>
  <c r="V878" i="1" s="1"/>
  <c r="V874" i="1"/>
  <c r="V873" i="1" s="1"/>
  <c r="V872" i="1" s="1"/>
  <c r="V870" i="1"/>
  <c r="V863" i="1"/>
  <c r="V856" i="1" s="1"/>
  <c r="V851" i="1"/>
  <c r="V849" i="1"/>
  <c r="V847" i="1"/>
  <c r="V843" i="1"/>
  <c r="V831" i="1"/>
  <c r="V828" i="1"/>
  <c r="V822" i="1"/>
  <c r="V820" i="1"/>
  <c r="V818" i="1"/>
  <c r="V814" i="1"/>
  <c r="V810" i="1"/>
  <c r="V809" i="1" s="1"/>
  <c r="V807" i="1"/>
  <c r="V804" i="1"/>
  <c r="V803" i="1" s="1"/>
  <c r="V801" i="1"/>
  <c r="V800" i="1" s="1"/>
  <c r="V796" i="1"/>
  <c r="V794" i="1"/>
  <c r="V792" i="1"/>
  <c r="V790" i="1"/>
  <c r="V788" i="1"/>
  <c r="V784" i="1"/>
  <c r="V782" i="1"/>
  <c r="V780" i="1"/>
  <c r="V776" i="1"/>
  <c r="V771" i="1"/>
  <c r="V769" i="1"/>
  <c r="V767" i="1"/>
  <c r="V763" i="1"/>
  <c r="V761" i="1"/>
  <c r="V759" i="1"/>
  <c r="V757" i="1"/>
  <c r="V755" i="1"/>
  <c r="V753" i="1"/>
  <c r="V751" i="1"/>
  <c r="V749" i="1"/>
  <c r="V747" i="1"/>
  <c r="V745" i="1"/>
  <c r="V741" i="1"/>
  <c r="V739" i="1"/>
  <c r="V737" i="1"/>
  <c r="V735" i="1"/>
  <c r="V733" i="1"/>
  <c r="V731" i="1"/>
  <c r="V729" i="1"/>
  <c r="V727" i="1"/>
  <c r="V725" i="1"/>
  <c r="V723" i="1"/>
  <c r="V721" i="1"/>
  <c r="V719" i="1"/>
  <c r="V717" i="1"/>
  <c r="V715" i="1"/>
  <c r="V713" i="1"/>
  <c r="V711" i="1"/>
  <c r="V709" i="1"/>
  <c r="V707" i="1"/>
  <c r="V705" i="1"/>
  <c r="V703" i="1"/>
  <c r="V701" i="1"/>
  <c r="V699" i="1"/>
  <c r="V697" i="1"/>
  <c r="V695" i="1"/>
  <c r="V693" i="1"/>
  <c r="V691" i="1"/>
  <c r="V689" i="1"/>
  <c r="V687" i="1"/>
  <c r="V685" i="1"/>
  <c r="V683" i="1"/>
  <c r="V681" i="1"/>
  <c r="V679" i="1"/>
  <c r="V677" i="1"/>
  <c r="V675" i="1"/>
  <c r="V673" i="1"/>
  <c r="V671" i="1"/>
  <c r="V669" i="1"/>
  <c r="V667" i="1"/>
  <c r="V665" i="1"/>
  <c r="V663" i="1"/>
  <c r="V661" i="1"/>
  <c r="V659" i="1"/>
  <c r="V657" i="1"/>
  <c r="V655" i="1"/>
  <c r="V653" i="1"/>
  <c r="V651" i="1"/>
  <c r="V649" i="1"/>
  <c r="V647" i="1"/>
  <c r="V645" i="1"/>
  <c r="V643" i="1"/>
  <c r="V641" i="1"/>
  <c r="V639" i="1"/>
  <c r="V637" i="1"/>
  <c r="V635" i="1"/>
  <c r="V633" i="1"/>
  <c r="V631" i="1"/>
  <c r="V629" i="1"/>
  <c r="V627" i="1"/>
  <c r="V625" i="1"/>
  <c r="V623" i="1"/>
  <c r="V621" i="1"/>
  <c r="V619" i="1"/>
  <c r="V617" i="1"/>
  <c r="V615" i="1"/>
  <c r="V613" i="1"/>
  <c r="V611" i="1"/>
  <c r="V609" i="1"/>
  <c r="V607" i="1"/>
  <c r="V605" i="1"/>
  <c r="V603" i="1"/>
  <c r="V601" i="1"/>
  <c r="V599" i="1"/>
  <c r="V597" i="1"/>
  <c r="V595" i="1"/>
  <c r="V593" i="1"/>
  <c r="V591" i="1"/>
  <c r="V589" i="1"/>
  <c r="V587" i="1"/>
  <c r="V585" i="1"/>
  <c r="V583" i="1"/>
  <c r="V581" i="1"/>
  <c r="V579" i="1"/>
  <c r="V577" i="1"/>
  <c r="V575" i="1"/>
  <c r="V573" i="1"/>
  <c r="V571" i="1"/>
  <c r="V569" i="1"/>
  <c r="V567" i="1"/>
  <c r="V565" i="1"/>
  <c r="V563" i="1"/>
  <c r="V561" i="1"/>
  <c r="V559" i="1"/>
  <c r="V557" i="1"/>
  <c r="V555" i="1"/>
  <c r="V553" i="1"/>
  <c r="V551" i="1"/>
  <c r="V549" i="1"/>
  <c r="V547" i="1"/>
  <c r="V545" i="1"/>
  <c r="V543" i="1"/>
  <c r="V541" i="1"/>
  <c r="V539" i="1"/>
  <c r="V537" i="1"/>
  <c r="V535" i="1"/>
  <c r="V533" i="1"/>
  <c r="V531" i="1"/>
  <c r="V529" i="1"/>
  <c r="V527" i="1"/>
  <c r="V525" i="1"/>
  <c r="V523" i="1"/>
  <c r="V521" i="1"/>
  <c r="V519" i="1"/>
  <c r="V517" i="1"/>
  <c r="V515" i="1"/>
  <c r="V513" i="1"/>
  <c r="V511" i="1"/>
  <c r="V509" i="1"/>
  <c r="V507" i="1"/>
  <c r="V505" i="1"/>
  <c r="V503" i="1"/>
  <c r="V501" i="1"/>
  <c r="V499" i="1"/>
  <c r="V497" i="1"/>
  <c r="V495" i="1"/>
  <c r="V493" i="1"/>
  <c r="V491" i="1"/>
  <c r="V489" i="1"/>
  <c r="V487" i="1"/>
  <c r="V485" i="1"/>
  <c r="V483" i="1"/>
  <c r="V481" i="1"/>
  <c r="V479" i="1"/>
  <c r="V477" i="1"/>
  <c r="V475" i="1"/>
  <c r="V473" i="1"/>
  <c r="V471" i="1"/>
  <c r="V469" i="1"/>
  <c r="V467" i="1"/>
  <c r="V465" i="1"/>
  <c r="V463" i="1"/>
  <c r="V461" i="1"/>
  <c r="V459" i="1"/>
  <c r="V457" i="1"/>
  <c r="V455" i="1"/>
  <c r="V453" i="1"/>
  <c r="V451" i="1"/>
  <c r="V449" i="1"/>
  <c r="V447" i="1"/>
  <c r="V445" i="1"/>
  <c r="V443" i="1"/>
  <c r="V441" i="1"/>
  <c r="V439" i="1"/>
  <c r="V437" i="1"/>
  <c r="V435" i="1"/>
  <c r="V433" i="1"/>
  <c r="V431" i="1"/>
  <c r="V429" i="1"/>
  <c r="V427" i="1"/>
  <c r="V425" i="1"/>
  <c r="V423" i="1"/>
  <c r="V421" i="1"/>
  <c r="V419" i="1"/>
  <c r="V416" i="1"/>
  <c r="V415" i="1" s="1"/>
  <c r="V413" i="1"/>
  <c r="V411" i="1"/>
  <c r="V409" i="1"/>
  <c r="V407" i="1"/>
  <c r="V405" i="1"/>
  <c r="V403" i="1"/>
  <c r="V401" i="1"/>
  <c r="V399" i="1"/>
  <c r="V397" i="1"/>
  <c r="V395" i="1"/>
  <c r="V393" i="1"/>
  <c r="V391" i="1"/>
  <c r="V389" i="1"/>
  <c r="V387" i="1"/>
  <c r="V385" i="1"/>
  <c r="V383" i="1"/>
  <c r="V381" i="1"/>
  <c r="V379" i="1"/>
  <c r="V377" i="1"/>
  <c r="V373" i="1"/>
  <c r="V371" i="1"/>
  <c r="V366" i="1"/>
  <c r="V364" i="1"/>
  <c r="V362" i="1"/>
  <c r="V359" i="1"/>
  <c r="V349" i="1"/>
  <c r="V347" i="1"/>
  <c r="V339" i="1"/>
  <c r="V338" i="1" s="1"/>
  <c r="V336" i="1"/>
  <c r="V329" i="1"/>
  <c r="V322" i="1"/>
  <c r="V320" i="1"/>
  <c r="V317" i="1"/>
  <c r="V314" i="1"/>
  <c r="V313" i="1" s="1"/>
  <c r="V303" i="1"/>
  <c r="V299" i="1"/>
  <c r="V297" i="1"/>
  <c r="V292" i="1"/>
  <c r="V286" i="1"/>
  <c r="V285" i="1" s="1"/>
  <c r="V284" i="1" s="1"/>
  <c r="V281" i="1"/>
  <c r="V280" i="1" s="1"/>
  <c r="V279" i="1" s="1"/>
  <c r="V276" i="1"/>
  <c r="V275" i="1" s="1"/>
  <c r="V274" i="1" s="1"/>
  <c r="V266" i="1"/>
  <c r="V265" i="1" s="1"/>
  <c r="V264" i="1" s="1"/>
  <c r="V261" i="1"/>
  <c r="V259" i="1"/>
  <c r="V256" i="1"/>
  <c r="V254" i="1"/>
  <c r="V251" i="1"/>
  <c r="V250" i="1" s="1"/>
  <c r="V249" i="1" s="1"/>
  <c r="V247" i="1"/>
  <c r="V239" i="1"/>
  <c r="V237" i="1"/>
  <c r="V234" i="1"/>
  <c r="V231" i="1"/>
  <c r="V227" i="1"/>
  <c r="V220" i="1" s="1"/>
  <c r="V218" i="1"/>
  <c r="V215" i="1"/>
  <c r="V214" i="1" s="1"/>
  <c r="V206" i="1"/>
  <c r="V201" i="1"/>
  <c r="V195" i="1"/>
  <c r="V183" i="1"/>
  <c r="V180" i="1"/>
  <c r="V175" i="1"/>
  <c r="V173" i="1"/>
  <c r="V165" i="1"/>
  <c r="V158" i="1" s="1"/>
  <c r="V156" i="1"/>
  <c r="V153" i="1"/>
  <c r="V151" i="1"/>
  <c r="V145" i="1"/>
  <c r="V144" i="1" s="1"/>
  <c r="V137" i="1"/>
  <c r="V130" i="1" s="1"/>
  <c r="V120" i="1"/>
  <c r="V117" i="1"/>
  <c r="V112" i="1"/>
  <c r="V111" i="1" s="1"/>
  <c r="V110" i="1" s="1"/>
  <c r="V104" i="1"/>
  <c r="V103" i="1" s="1"/>
  <c r="V101" i="1"/>
  <c r="V99" i="1"/>
  <c r="V95" i="1"/>
  <c r="V93" i="1"/>
  <c r="V78" i="1"/>
  <c r="V64" i="1"/>
  <c r="V61" i="1"/>
  <c r="V53" i="1"/>
  <c r="V52" i="1" s="1"/>
  <c r="V46" i="1"/>
  <c r="V41" i="1"/>
  <c r="V40" i="1" s="1"/>
  <c r="V35" i="1"/>
  <c r="V29" i="1"/>
  <c r="V21" i="1"/>
  <c r="V18" i="1"/>
  <c r="V1213" i="1" l="1"/>
  <c r="V1347" i="1"/>
  <c r="V1346" i="1" s="1"/>
  <c r="V1514" i="1"/>
  <c r="V1574" i="1"/>
  <c r="V1830" i="1"/>
  <c r="V1829" i="1" s="1"/>
  <c r="V1167" i="1"/>
  <c r="V1166" i="1" s="1"/>
  <c r="V1165" i="1" s="1"/>
  <c r="V60" i="1"/>
  <c r="V59" i="1" s="1"/>
  <c r="V116" i="1"/>
  <c r="V115" i="1" s="1"/>
  <c r="V114" i="1" s="1"/>
  <c r="V1042" i="1"/>
  <c r="V1704" i="1"/>
  <c r="V1700" i="1" s="1"/>
  <c r="V179" i="1"/>
  <c r="V982" i="1"/>
  <c r="V981" i="1" s="1"/>
  <c r="V1500" i="1"/>
  <c r="V1655" i="1"/>
  <c r="V1654" i="1" s="1"/>
  <c r="V827" i="1"/>
  <c r="V17" i="1"/>
  <c r="V16" i="1" s="1"/>
  <c r="V28" i="1"/>
  <c r="V27" i="1" s="1"/>
  <c r="V1723" i="1"/>
  <c r="V1522" i="1"/>
  <c r="V888" i="1"/>
  <c r="V817" i="1"/>
  <c r="V816" i="1" s="1"/>
  <c r="V846" i="1"/>
  <c r="V894" i="1"/>
  <c r="V1802" i="1"/>
  <c r="V1801" i="1" s="1"/>
  <c r="V1426" i="1"/>
  <c r="V1421" i="1"/>
  <c r="V1457" i="1"/>
  <c r="V358" i="1"/>
  <c r="V357" i="1" s="1"/>
  <c r="V1737" i="1"/>
  <c r="V1736" i="1" s="1"/>
  <c r="V917" i="1"/>
  <c r="V916" i="1" s="1"/>
  <c r="V1469" i="1"/>
  <c r="V1468" i="1" s="1"/>
  <c r="V1587" i="1"/>
  <c r="V1270" i="1"/>
  <c r="V1269" i="1" s="1"/>
  <c r="V1037" i="1"/>
  <c r="V194" i="1"/>
  <c r="V258" i="1"/>
  <c r="V253" i="1" s="1"/>
  <c r="V150" i="1"/>
  <c r="V149" i="1" s="1"/>
  <c r="V148" i="1" s="1"/>
  <c r="V1225" i="1"/>
  <c r="V903" i="1"/>
  <c r="V1776" i="1"/>
  <c r="V217" i="1"/>
  <c r="V319" i="1"/>
  <c r="V316" i="1" s="1"/>
  <c r="V312" i="1" s="1"/>
  <c r="V376" i="1"/>
  <c r="V335" i="1"/>
  <c r="V334" i="1" s="1"/>
  <c r="V230" i="1"/>
  <c r="V326" i="1"/>
  <c r="V325" i="1" s="1"/>
  <c r="V172" i="1"/>
  <c r="V155" i="1" s="1"/>
  <c r="V1342" i="1"/>
  <c r="V296" i="1"/>
  <c r="V346" i="1"/>
  <c r="V345" i="1" s="1"/>
  <c r="V1160" i="1"/>
  <c r="V1159" i="1" s="1"/>
  <c r="V1305" i="1"/>
  <c r="V960" i="1"/>
  <c r="V998" i="1"/>
  <c r="V1299" i="1"/>
  <c r="V1218" i="1"/>
  <c r="V1335" i="1"/>
  <c r="V1406" i="1"/>
  <c r="V1405" i="1" s="1"/>
  <c r="V1745" i="1"/>
  <c r="V1452" i="1"/>
  <c r="V1683" i="1"/>
  <c r="V1682" i="1" s="1"/>
  <c r="V1731" i="1"/>
  <c r="V1730" i="1" s="1"/>
  <c r="V1766" i="1"/>
  <c r="V1765" i="1" s="1"/>
  <c r="V1773" i="1"/>
  <c r="V39" i="1"/>
  <c r="V291" i="1"/>
  <c r="V779" i="1"/>
  <c r="V263" i="1"/>
  <c r="V278" i="1"/>
  <c r="V51" i="1"/>
  <c r="V143" i="1"/>
  <c r="V910" i="1"/>
  <c r="V928" i="1"/>
  <c r="V869" i="1"/>
  <c r="V877" i="1"/>
  <c r="V45" i="1"/>
  <c r="V775" i="1"/>
  <c r="V806" i="1"/>
  <c r="V813" i="1"/>
  <c r="V1172" i="1"/>
  <c r="V1204" i="1"/>
  <c r="V1388" i="1"/>
  <c r="V1444" i="1"/>
  <c r="V967" i="1"/>
  <c r="V1195" i="1"/>
  <c r="V1438" i="1"/>
  <c r="V1119" i="1"/>
  <c r="V1147" i="1"/>
  <c r="V1155" i="1"/>
  <c r="V1188" i="1"/>
  <c r="V1255" i="1"/>
  <c r="V1540" i="1"/>
  <c r="V1622" i="1"/>
  <c r="V1635" i="1"/>
  <c r="V1676" i="1"/>
  <c r="V1755" i="1"/>
  <c r="V1859" i="1"/>
  <c r="V1373" i="1"/>
  <c r="V1484" i="1"/>
  <c r="V1488" i="1"/>
  <c r="V1495" i="1"/>
  <c r="V1612" i="1"/>
  <c r="V1863" i="1"/>
  <c r="V1549" i="1"/>
  <c r="V1559" i="1"/>
  <c r="V1563" i="1"/>
  <c r="V1650" i="1"/>
  <c r="V1694" i="1"/>
  <c r="V1719" i="1"/>
  <c r="V1641" i="1"/>
  <c r="V1691" i="1"/>
  <c r="V1785" i="1"/>
  <c r="V1794" i="1"/>
  <c r="V1812" i="1"/>
  <c r="V1823" i="1"/>
  <c r="T1395" i="1"/>
  <c r="T1393" i="1"/>
  <c r="T1391" i="1"/>
  <c r="T1197" i="1"/>
  <c r="T1135" i="1"/>
  <c r="T1133" i="1"/>
  <c r="T1132" i="1"/>
  <c r="T1039" i="1"/>
  <c r="T952" i="1"/>
  <c r="T943" i="1"/>
  <c r="T795" i="1"/>
  <c r="T293" i="1"/>
  <c r="T235" i="1"/>
  <c r="T84" i="1"/>
  <c r="T83" i="1"/>
  <c r="T82" i="1"/>
  <c r="V1420" i="1" l="1"/>
  <c r="V1404" i="1" s="1"/>
  <c r="V1403" i="1" s="1"/>
  <c r="V178" i="1"/>
  <c r="V826" i="1"/>
  <c r="V887" i="1"/>
  <c r="V886" i="1" s="1"/>
  <c r="V885" i="1" s="1"/>
  <c r="V1499" i="1"/>
  <c r="V1298" i="1"/>
  <c r="V1268" i="1" s="1"/>
  <c r="V1217" i="1"/>
  <c r="V324" i="1"/>
  <c r="V311" i="1" s="1"/>
  <c r="V1451" i="1"/>
  <c r="V1450" i="1" s="1"/>
  <c r="V1769" i="1"/>
  <c r="V997" i="1"/>
  <c r="V992" i="1" s="1"/>
  <c r="V213" i="1"/>
  <c r="V212" i="1" s="1"/>
  <c r="V1687" i="1"/>
  <c r="V1558" i="1"/>
  <c r="V1862" i="1"/>
  <c r="V1800" i="1"/>
  <c r="V1675" i="1"/>
  <c r="V1573" i="1"/>
  <c r="V1118" i="1"/>
  <c r="V774" i="1"/>
  <c r="V876" i="1"/>
  <c r="V927" i="1"/>
  <c r="V142" i="1"/>
  <c r="V356" i="1"/>
  <c r="V1817" i="1"/>
  <c r="V1699" i="1"/>
  <c r="V1548" i="1"/>
  <c r="V1735" i="1"/>
  <c r="V1252" i="1"/>
  <c r="V1194" i="1"/>
  <c r="V1437" i="1"/>
  <c r="V812" i="1"/>
  <c r="V418" i="1"/>
  <c r="V344" i="1"/>
  <c r="V1372" i="1"/>
  <c r="V1858" i="1"/>
  <c r="V1754" i="1"/>
  <c r="V1634" i="1"/>
  <c r="V976" i="1"/>
  <c r="V868" i="1"/>
  <c r="V1483" i="1"/>
  <c r="V1180" i="1"/>
  <c r="V966" i="1"/>
  <c r="V1203" i="1"/>
  <c r="V799" i="1"/>
  <c r="V44" i="1"/>
  <c r="V58" i="1"/>
  <c r="V273" i="1"/>
  <c r="V778" i="1"/>
  <c r="V290" i="1"/>
  <c r="T818" i="1"/>
  <c r="U818" i="1" s="1"/>
  <c r="W818" i="1" s="1"/>
  <c r="Y818" i="1" s="1"/>
  <c r="U819" i="1"/>
  <c r="W819" i="1" s="1"/>
  <c r="Y819" i="1" s="1"/>
  <c r="AA819" i="1" s="1"/>
  <c r="T195" i="1"/>
  <c r="U196" i="1"/>
  <c r="W196" i="1" s="1"/>
  <c r="Y196" i="1" s="1"/>
  <c r="AA196" i="1" s="1"/>
  <c r="U197" i="1"/>
  <c r="W197" i="1" s="1"/>
  <c r="Y197" i="1" s="1"/>
  <c r="AA197" i="1" s="1"/>
  <c r="U198" i="1"/>
  <c r="W198" i="1" s="1"/>
  <c r="Y198" i="1" s="1"/>
  <c r="AA198" i="1" s="1"/>
  <c r="U199" i="1"/>
  <c r="W199" i="1" s="1"/>
  <c r="Y199" i="1" s="1"/>
  <c r="AA199" i="1" s="1"/>
  <c r="V147" i="1" l="1"/>
  <c r="V825" i="1"/>
  <c r="V798" i="1" s="1"/>
  <c r="V1760" i="1"/>
  <c r="V1759" i="1" s="1"/>
  <c r="V43" i="1"/>
  <c r="V1449" i="1"/>
  <c r="V1753" i="1"/>
  <c r="V1369" i="1"/>
  <c r="V1267" i="1" s="1"/>
  <c r="V1631" i="1"/>
  <c r="V1467" i="1"/>
  <c r="V1202" i="1"/>
  <c r="V1828" i="1"/>
  <c r="V343" i="1"/>
  <c r="V1193" i="1"/>
  <c r="V1734" i="1"/>
  <c r="V1557" i="1"/>
  <c r="V773" i="1"/>
  <c r="V289" i="1"/>
  <c r="V926" i="1"/>
  <c r="V1799" i="1"/>
  <c r="V375" i="1"/>
  <c r="V1251" i="1"/>
  <c r="V1117" i="1"/>
  <c r="V1653" i="1"/>
  <c r="T206" i="1"/>
  <c r="U210" i="1"/>
  <c r="W210" i="1" s="1"/>
  <c r="Y210" i="1" s="1"/>
  <c r="AA210" i="1" s="1"/>
  <c r="T183" i="1"/>
  <c r="U190" i="1"/>
  <c r="W190" i="1" s="1"/>
  <c r="Y190" i="1" s="1"/>
  <c r="AA190" i="1" s="1"/>
  <c r="T1538" i="1"/>
  <c r="U1538" i="1" s="1"/>
  <c r="W1538" i="1" s="1"/>
  <c r="Y1538" i="1" s="1"/>
  <c r="U1539" i="1"/>
  <c r="W1539" i="1" s="1"/>
  <c r="Y1539" i="1" s="1"/>
  <c r="AA1539" i="1" s="1"/>
  <c r="T1491" i="1"/>
  <c r="U1492" i="1"/>
  <c r="W1492" i="1" s="1"/>
  <c r="Y1492" i="1" s="1"/>
  <c r="AA1492" i="1" s="1"/>
  <c r="T1329" i="1"/>
  <c r="U1331" i="1"/>
  <c r="W1331" i="1" s="1"/>
  <c r="Y1331" i="1" s="1"/>
  <c r="AA1331" i="1" s="1"/>
  <c r="T165" i="1"/>
  <c r="U171" i="1"/>
  <c r="W171" i="1" s="1"/>
  <c r="Y171" i="1" s="1"/>
  <c r="AA171" i="1" s="1"/>
  <c r="T951" i="1"/>
  <c r="U953" i="1"/>
  <c r="W953" i="1" s="1"/>
  <c r="Y953" i="1" s="1"/>
  <c r="AA953" i="1" s="1"/>
  <c r="T946" i="1"/>
  <c r="U948" i="1"/>
  <c r="W948" i="1" s="1"/>
  <c r="Y948" i="1" s="1"/>
  <c r="AA948" i="1" s="1"/>
  <c r="T908" i="1"/>
  <c r="U908" i="1" s="1"/>
  <c r="W908" i="1" s="1"/>
  <c r="Y908" i="1" s="1"/>
  <c r="U909" i="1"/>
  <c r="W909" i="1" s="1"/>
  <c r="Y909" i="1" s="1"/>
  <c r="AA909" i="1" s="1"/>
  <c r="T892" i="1"/>
  <c r="U892" i="1" s="1"/>
  <c r="W892" i="1" s="1"/>
  <c r="Y892" i="1" s="1"/>
  <c r="U893" i="1"/>
  <c r="W893" i="1" s="1"/>
  <c r="Y893" i="1" s="1"/>
  <c r="AA893" i="1" s="1"/>
  <c r="T889" i="1"/>
  <c r="U891" i="1"/>
  <c r="W891" i="1" s="1"/>
  <c r="Y891" i="1" s="1"/>
  <c r="AA891" i="1" s="1"/>
  <c r="T1175" i="1"/>
  <c r="U1175" i="1" s="1"/>
  <c r="W1175" i="1" s="1"/>
  <c r="Y1175" i="1" s="1"/>
  <c r="U1176" i="1"/>
  <c r="W1176" i="1" s="1"/>
  <c r="Y1176" i="1" s="1"/>
  <c r="AA1176" i="1" s="1"/>
  <c r="T913" i="1"/>
  <c r="T912" i="1" s="1"/>
  <c r="U914" i="1"/>
  <c r="W914" i="1" s="1"/>
  <c r="Y914" i="1" s="1"/>
  <c r="AA914" i="1" s="1"/>
  <c r="T366" i="1"/>
  <c r="U366" i="1" s="1"/>
  <c r="W366" i="1" s="1"/>
  <c r="Y366" i="1" s="1"/>
  <c r="U367" i="1"/>
  <c r="W367" i="1" s="1"/>
  <c r="Y367" i="1" s="1"/>
  <c r="AA367" i="1" s="1"/>
  <c r="T314" i="1"/>
  <c r="T313" i="1" s="1"/>
  <c r="U313" i="1" s="1"/>
  <c r="W313" i="1" s="1"/>
  <c r="Y313" i="1" s="1"/>
  <c r="U315" i="1"/>
  <c r="W315" i="1" s="1"/>
  <c r="Y315" i="1" s="1"/>
  <c r="AA315" i="1" s="1"/>
  <c r="T99" i="1"/>
  <c r="U99" i="1" s="1"/>
  <c r="W99" i="1" s="1"/>
  <c r="Y99" i="1" s="1"/>
  <c r="U100" i="1"/>
  <c r="W100" i="1" s="1"/>
  <c r="Y100" i="1" s="1"/>
  <c r="AA100" i="1" s="1"/>
  <c r="V1572" i="1" l="1"/>
  <c r="V1571" i="1" s="1"/>
  <c r="V915" i="1"/>
  <c r="V1192" i="1"/>
  <c r="V1201" i="1"/>
  <c r="V38" i="1"/>
  <c r="V370" i="1"/>
  <c r="V975" i="1"/>
  <c r="V1466" i="1"/>
  <c r="V1752" i="1"/>
  <c r="V288" i="1"/>
  <c r="V1827" i="1"/>
  <c r="T1174" i="1"/>
  <c r="T1173" i="1" s="1"/>
  <c r="T1172" i="1" s="1"/>
  <c r="U1172" i="1" s="1"/>
  <c r="W1172" i="1" s="1"/>
  <c r="Y1172" i="1" s="1"/>
  <c r="T888" i="1"/>
  <c r="U314" i="1"/>
  <c r="W314" i="1" s="1"/>
  <c r="Y314" i="1" s="1"/>
  <c r="U913" i="1"/>
  <c r="W913" i="1" s="1"/>
  <c r="Y913" i="1" s="1"/>
  <c r="T911" i="1"/>
  <c r="U912" i="1"/>
  <c r="W912" i="1" s="1"/>
  <c r="Y912" i="1" s="1"/>
  <c r="U1173" i="1" l="1"/>
  <c r="W1173" i="1" s="1"/>
  <c r="Y1173" i="1" s="1"/>
  <c r="V15" i="1"/>
  <c r="V1191" i="1"/>
  <c r="V272" i="1"/>
  <c r="V369" i="1"/>
  <c r="V1200" i="1"/>
  <c r="V884" i="1"/>
  <c r="U1174" i="1"/>
  <c r="W1174" i="1" s="1"/>
  <c r="Y1174" i="1" s="1"/>
  <c r="U911" i="1"/>
  <c r="W911" i="1" s="1"/>
  <c r="Y911" i="1" s="1"/>
  <c r="T910" i="1"/>
  <c r="U910" i="1" s="1"/>
  <c r="W910" i="1" s="1"/>
  <c r="Y910" i="1" s="1"/>
  <c r="V368" i="1" l="1"/>
  <c r="T1208" i="1"/>
  <c r="T969" i="1"/>
  <c r="T871" i="1"/>
  <c r="U1793" i="1"/>
  <c r="W1793" i="1" s="1"/>
  <c r="Y1793" i="1" s="1"/>
  <c r="AA1793" i="1" s="1"/>
  <c r="U1792" i="1"/>
  <c r="W1792" i="1" s="1"/>
  <c r="Y1792" i="1" s="1"/>
  <c r="AA1792" i="1" s="1"/>
  <c r="T1791" i="1"/>
  <c r="U1791" i="1" s="1"/>
  <c r="W1791" i="1" s="1"/>
  <c r="Y1791" i="1" s="1"/>
  <c r="T935" i="1"/>
  <c r="U936" i="1"/>
  <c r="W936" i="1" s="1"/>
  <c r="Y936" i="1" s="1"/>
  <c r="AA936" i="1" s="1"/>
  <c r="T266" i="1"/>
  <c r="U270" i="1"/>
  <c r="W270" i="1" s="1"/>
  <c r="Y270" i="1" s="1"/>
  <c r="AA270" i="1" s="1"/>
  <c r="V342" i="1" l="1"/>
  <c r="T934" i="1"/>
  <c r="T1790" i="1"/>
  <c r="U1790" i="1" s="1"/>
  <c r="W1790" i="1" s="1"/>
  <c r="Y1790" i="1" s="1"/>
  <c r="V1870" i="1" l="1"/>
  <c r="V1868" i="1"/>
  <c r="T1789" i="1"/>
  <c r="U1789" i="1" s="1"/>
  <c r="W1789" i="1" s="1"/>
  <c r="Y1789" i="1" s="1"/>
  <c r="T1041" i="1"/>
  <c r="T1861" i="1"/>
  <c r="U1861" i="1" l="1"/>
  <c r="W1861" i="1" s="1"/>
  <c r="Y1861" i="1" s="1"/>
  <c r="AA1861" i="1" s="1"/>
  <c r="T1860" i="1"/>
  <c r="T1859" i="1" l="1"/>
  <c r="U1860" i="1"/>
  <c r="W1860" i="1" s="1"/>
  <c r="Y1860" i="1" s="1"/>
  <c r="U1859" i="1" l="1"/>
  <c r="W1859" i="1" s="1"/>
  <c r="Y1859" i="1" s="1"/>
  <c r="T1858" i="1"/>
  <c r="U1858" i="1" s="1"/>
  <c r="W1858" i="1" s="1"/>
  <c r="Y1858" i="1" s="1"/>
  <c r="T177" i="1"/>
  <c r="T322" i="1" l="1"/>
  <c r="U322" i="1" s="1"/>
  <c r="W322" i="1" s="1"/>
  <c r="Y322" i="1" s="1"/>
  <c r="U323" i="1"/>
  <c r="W323" i="1" s="1"/>
  <c r="Y323" i="1" s="1"/>
  <c r="AA323" i="1" s="1"/>
  <c r="U1647" i="1" l="1"/>
  <c r="W1647" i="1" s="1"/>
  <c r="Y1647" i="1" s="1"/>
  <c r="AA1647" i="1" s="1"/>
  <c r="U1649" i="1"/>
  <c r="W1649" i="1" s="1"/>
  <c r="Y1649" i="1" s="1"/>
  <c r="AA1649" i="1" s="1"/>
  <c r="T1648" i="1"/>
  <c r="U1648" i="1" s="1"/>
  <c r="W1648" i="1" s="1"/>
  <c r="Y1648" i="1" s="1"/>
  <c r="T1646" i="1"/>
  <c r="U1646" i="1" s="1"/>
  <c r="W1646" i="1" s="1"/>
  <c r="Y1646" i="1" s="1"/>
  <c r="T1115" i="1" l="1"/>
  <c r="U1084" i="1"/>
  <c r="W1084" i="1" s="1"/>
  <c r="Y1084" i="1" s="1"/>
  <c r="AA1084" i="1" s="1"/>
  <c r="U1086" i="1"/>
  <c r="W1086" i="1" s="1"/>
  <c r="Y1086" i="1" s="1"/>
  <c r="AA1086" i="1" s="1"/>
  <c r="U1088" i="1"/>
  <c r="W1088" i="1" s="1"/>
  <c r="Y1088" i="1" s="1"/>
  <c r="AA1088" i="1" s="1"/>
  <c r="U1090" i="1"/>
  <c r="W1090" i="1" s="1"/>
  <c r="Y1090" i="1" s="1"/>
  <c r="AA1090" i="1" s="1"/>
  <c r="U1092" i="1"/>
  <c r="W1092" i="1" s="1"/>
  <c r="Y1092" i="1" s="1"/>
  <c r="AA1092" i="1" s="1"/>
  <c r="U1094" i="1"/>
  <c r="W1094" i="1" s="1"/>
  <c r="Y1094" i="1" s="1"/>
  <c r="AA1094" i="1" s="1"/>
  <c r="U1096" i="1"/>
  <c r="W1096" i="1" s="1"/>
  <c r="Y1096" i="1" s="1"/>
  <c r="AA1096" i="1" s="1"/>
  <c r="U1098" i="1"/>
  <c r="W1098" i="1" s="1"/>
  <c r="Y1098" i="1" s="1"/>
  <c r="AA1098" i="1" s="1"/>
  <c r="U1100" i="1"/>
  <c r="W1100" i="1" s="1"/>
  <c r="Y1100" i="1" s="1"/>
  <c r="AA1100" i="1" s="1"/>
  <c r="U1102" i="1"/>
  <c r="W1102" i="1" s="1"/>
  <c r="Y1102" i="1" s="1"/>
  <c r="AA1102" i="1" s="1"/>
  <c r="U1104" i="1"/>
  <c r="W1104" i="1" s="1"/>
  <c r="Y1104" i="1" s="1"/>
  <c r="AA1104" i="1" s="1"/>
  <c r="U1106" i="1"/>
  <c r="W1106" i="1" s="1"/>
  <c r="Y1106" i="1" s="1"/>
  <c r="AA1106" i="1" s="1"/>
  <c r="U1110" i="1"/>
  <c r="W1110" i="1" s="1"/>
  <c r="Y1110" i="1" s="1"/>
  <c r="AA1110" i="1" s="1"/>
  <c r="U1112" i="1"/>
  <c r="W1112" i="1" s="1"/>
  <c r="Y1112" i="1" s="1"/>
  <c r="AA1112" i="1" s="1"/>
  <c r="U1114" i="1"/>
  <c r="W1114" i="1" s="1"/>
  <c r="Y1114" i="1" s="1"/>
  <c r="AA1114" i="1" s="1"/>
  <c r="U1115" i="1"/>
  <c r="W1115" i="1" s="1"/>
  <c r="Y1115" i="1" s="1"/>
  <c r="U1116" i="1"/>
  <c r="W1116" i="1" s="1"/>
  <c r="Y1116" i="1" s="1"/>
  <c r="AA1116" i="1" s="1"/>
  <c r="T1083" i="1"/>
  <c r="U1083" i="1" s="1"/>
  <c r="W1083" i="1" s="1"/>
  <c r="Y1083" i="1" s="1"/>
  <c r="T1113" i="1"/>
  <c r="U1113" i="1" s="1"/>
  <c r="W1113" i="1" s="1"/>
  <c r="Y1113" i="1" s="1"/>
  <c r="T1111" i="1"/>
  <c r="U1111" i="1" s="1"/>
  <c r="W1111" i="1" s="1"/>
  <c r="Y1111" i="1" s="1"/>
  <c r="T1109" i="1"/>
  <c r="U1109" i="1" s="1"/>
  <c r="W1109" i="1" s="1"/>
  <c r="Y1109" i="1" s="1"/>
  <c r="T1105" i="1"/>
  <c r="U1105" i="1" s="1"/>
  <c r="W1105" i="1" s="1"/>
  <c r="Y1105" i="1" s="1"/>
  <c r="T1103" i="1"/>
  <c r="U1103" i="1" s="1"/>
  <c r="W1103" i="1" s="1"/>
  <c r="Y1103" i="1" s="1"/>
  <c r="T1101" i="1"/>
  <c r="U1101" i="1" s="1"/>
  <c r="W1101" i="1" s="1"/>
  <c r="Y1101" i="1" s="1"/>
  <c r="T1099" i="1"/>
  <c r="U1099" i="1" s="1"/>
  <c r="W1099" i="1" s="1"/>
  <c r="Y1099" i="1" s="1"/>
  <c r="T1097" i="1"/>
  <c r="U1097" i="1" s="1"/>
  <c r="W1097" i="1" s="1"/>
  <c r="Y1097" i="1" s="1"/>
  <c r="T1095" i="1"/>
  <c r="U1095" i="1" s="1"/>
  <c r="W1095" i="1" s="1"/>
  <c r="Y1095" i="1" s="1"/>
  <c r="T1093" i="1"/>
  <c r="U1093" i="1" s="1"/>
  <c r="W1093" i="1" s="1"/>
  <c r="Y1093" i="1" s="1"/>
  <c r="T1091" i="1"/>
  <c r="U1091" i="1" s="1"/>
  <c r="W1091" i="1" s="1"/>
  <c r="Y1091" i="1" s="1"/>
  <c r="T1089" i="1"/>
  <c r="U1089" i="1" s="1"/>
  <c r="W1089" i="1" s="1"/>
  <c r="Y1089" i="1" s="1"/>
  <c r="T1087" i="1"/>
  <c r="U1087" i="1" s="1"/>
  <c r="W1087" i="1" s="1"/>
  <c r="Y1087" i="1" s="1"/>
  <c r="T1085" i="1"/>
  <c r="U1085" i="1" s="1"/>
  <c r="W1085" i="1" s="1"/>
  <c r="Y1085" i="1" s="1"/>
  <c r="U925" i="1" l="1"/>
  <c r="W925" i="1" s="1"/>
  <c r="Y925" i="1" s="1"/>
  <c r="AA925" i="1" s="1"/>
  <c r="T924" i="1"/>
  <c r="U924" i="1" s="1"/>
  <c r="W924" i="1" s="1"/>
  <c r="Y924" i="1" s="1"/>
  <c r="U690" i="1" l="1"/>
  <c r="W690" i="1" s="1"/>
  <c r="Y690" i="1" s="1"/>
  <c r="AA690" i="1" s="1"/>
  <c r="U692" i="1"/>
  <c r="W692" i="1" s="1"/>
  <c r="Y692" i="1" s="1"/>
  <c r="AA692" i="1" s="1"/>
  <c r="U694" i="1"/>
  <c r="W694" i="1" s="1"/>
  <c r="Y694" i="1" s="1"/>
  <c r="AA694" i="1" s="1"/>
  <c r="U696" i="1"/>
  <c r="W696" i="1" s="1"/>
  <c r="Y696" i="1" s="1"/>
  <c r="AA696" i="1" s="1"/>
  <c r="U698" i="1"/>
  <c r="W698" i="1" s="1"/>
  <c r="Y698" i="1" s="1"/>
  <c r="AA698" i="1" s="1"/>
  <c r="U700" i="1"/>
  <c r="W700" i="1" s="1"/>
  <c r="Y700" i="1" s="1"/>
  <c r="AA700" i="1" s="1"/>
  <c r="U702" i="1"/>
  <c r="W702" i="1" s="1"/>
  <c r="Y702" i="1" s="1"/>
  <c r="AA702" i="1" s="1"/>
  <c r="U704" i="1"/>
  <c r="W704" i="1" s="1"/>
  <c r="Y704" i="1" s="1"/>
  <c r="AA704" i="1" s="1"/>
  <c r="U706" i="1"/>
  <c r="W706" i="1" s="1"/>
  <c r="Y706" i="1" s="1"/>
  <c r="AA706" i="1" s="1"/>
  <c r="U708" i="1"/>
  <c r="W708" i="1" s="1"/>
  <c r="Y708" i="1" s="1"/>
  <c r="AA708" i="1" s="1"/>
  <c r="U710" i="1"/>
  <c r="W710" i="1" s="1"/>
  <c r="Y710" i="1" s="1"/>
  <c r="AA710" i="1" s="1"/>
  <c r="U712" i="1"/>
  <c r="W712" i="1" s="1"/>
  <c r="Y712" i="1" s="1"/>
  <c r="AA712" i="1" s="1"/>
  <c r="U714" i="1"/>
  <c r="W714" i="1" s="1"/>
  <c r="Y714" i="1" s="1"/>
  <c r="AA714" i="1" s="1"/>
  <c r="U716" i="1"/>
  <c r="W716" i="1" s="1"/>
  <c r="Y716" i="1" s="1"/>
  <c r="AA716" i="1" s="1"/>
  <c r="U718" i="1"/>
  <c r="W718" i="1" s="1"/>
  <c r="Y718" i="1" s="1"/>
  <c r="AA718" i="1" s="1"/>
  <c r="U720" i="1"/>
  <c r="W720" i="1" s="1"/>
  <c r="Y720" i="1" s="1"/>
  <c r="AA720" i="1" s="1"/>
  <c r="U722" i="1"/>
  <c r="W722" i="1" s="1"/>
  <c r="Y722" i="1" s="1"/>
  <c r="AA722" i="1" s="1"/>
  <c r="U724" i="1"/>
  <c r="W724" i="1" s="1"/>
  <c r="Y724" i="1" s="1"/>
  <c r="AA724" i="1" s="1"/>
  <c r="U726" i="1"/>
  <c r="W726" i="1" s="1"/>
  <c r="Y726" i="1" s="1"/>
  <c r="AA726" i="1" s="1"/>
  <c r="U728" i="1"/>
  <c r="W728" i="1" s="1"/>
  <c r="Y728" i="1" s="1"/>
  <c r="AA728" i="1" s="1"/>
  <c r="U730" i="1"/>
  <c r="W730" i="1" s="1"/>
  <c r="Y730" i="1" s="1"/>
  <c r="AA730" i="1" s="1"/>
  <c r="U732" i="1"/>
  <c r="W732" i="1" s="1"/>
  <c r="Y732" i="1" s="1"/>
  <c r="AA732" i="1" s="1"/>
  <c r="U734" i="1"/>
  <c r="W734" i="1" s="1"/>
  <c r="Y734" i="1" s="1"/>
  <c r="AA734" i="1" s="1"/>
  <c r="U736" i="1"/>
  <c r="W736" i="1" s="1"/>
  <c r="Y736" i="1" s="1"/>
  <c r="AA736" i="1" s="1"/>
  <c r="U738" i="1"/>
  <c r="W738" i="1" s="1"/>
  <c r="Y738" i="1" s="1"/>
  <c r="AA738" i="1" s="1"/>
  <c r="U740" i="1"/>
  <c r="W740" i="1" s="1"/>
  <c r="Y740" i="1" s="1"/>
  <c r="AA740" i="1" s="1"/>
  <c r="U742" i="1"/>
  <c r="W742" i="1" s="1"/>
  <c r="Y742" i="1" s="1"/>
  <c r="AA742" i="1" s="1"/>
  <c r="U744" i="1"/>
  <c r="W744" i="1" s="1"/>
  <c r="Y744" i="1" s="1"/>
  <c r="AA744" i="1" s="1"/>
  <c r="U746" i="1"/>
  <c r="W746" i="1" s="1"/>
  <c r="Y746" i="1" s="1"/>
  <c r="AA746" i="1" s="1"/>
  <c r="U748" i="1"/>
  <c r="W748" i="1" s="1"/>
  <c r="Y748" i="1" s="1"/>
  <c r="AA748" i="1" s="1"/>
  <c r="U750" i="1"/>
  <c r="W750" i="1" s="1"/>
  <c r="Y750" i="1" s="1"/>
  <c r="AA750" i="1" s="1"/>
  <c r="U752" i="1"/>
  <c r="W752" i="1" s="1"/>
  <c r="Y752" i="1" s="1"/>
  <c r="AA752" i="1" s="1"/>
  <c r="U754" i="1"/>
  <c r="W754" i="1" s="1"/>
  <c r="Y754" i="1" s="1"/>
  <c r="AA754" i="1" s="1"/>
  <c r="U756" i="1"/>
  <c r="W756" i="1" s="1"/>
  <c r="Y756" i="1" s="1"/>
  <c r="AA756" i="1" s="1"/>
  <c r="U758" i="1"/>
  <c r="W758" i="1" s="1"/>
  <c r="Y758" i="1" s="1"/>
  <c r="AA758" i="1" s="1"/>
  <c r="U760" i="1"/>
  <c r="W760" i="1" s="1"/>
  <c r="Y760" i="1" s="1"/>
  <c r="AA760" i="1" s="1"/>
  <c r="U762" i="1"/>
  <c r="W762" i="1" s="1"/>
  <c r="Y762" i="1" s="1"/>
  <c r="AA762" i="1" s="1"/>
  <c r="U764" i="1"/>
  <c r="W764" i="1" s="1"/>
  <c r="Y764" i="1" s="1"/>
  <c r="AA764" i="1" s="1"/>
  <c r="U766" i="1"/>
  <c r="W766" i="1" s="1"/>
  <c r="Y766" i="1" s="1"/>
  <c r="AA766" i="1" s="1"/>
  <c r="U768" i="1"/>
  <c r="W768" i="1" s="1"/>
  <c r="Y768" i="1" s="1"/>
  <c r="AA768" i="1" s="1"/>
  <c r="U770" i="1"/>
  <c r="W770" i="1" s="1"/>
  <c r="Y770" i="1" s="1"/>
  <c r="AA770" i="1" s="1"/>
  <c r="U772" i="1"/>
  <c r="W772" i="1" s="1"/>
  <c r="Y772" i="1" s="1"/>
  <c r="AA772" i="1" s="1"/>
  <c r="T691" i="1"/>
  <c r="U691" i="1" s="1"/>
  <c r="W691" i="1" s="1"/>
  <c r="Y691" i="1" s="1"/>
  <c r="T771" i="1"/>
  <c r="U771" i="1" s="1"/>
  <c r="W771" i="1" s="1"/>
  <c r="Y771" i="1" s="1"/>
  <c r="T769" i="1"/>
  <c r="U769" i="1" s="1"/>
  <c r="W769" i="1" s="1"/>
  <c r="Y769" i="1" s="1"/>
  <c r="T767" i="1"/>
  <c r="U767" i="1" s="1"/>
  <c r="W767" i="1" s="1"/>
  <c r="Y767" i="1" s="1"/>
  <c r="T763" i="1"/>
  <c r="U763" i="1" s="1"/>
  <c r="W763" i="1" s="1"/>
  <c r="Y763" i="1" s="1"/>
  <c r="T761" i="1"/>
  <c r="U761" i="1" s="1"/>
  <c r="W761" i="1" s="1"/>
  <c r="Y761" i="1" s="1"/>
  <c r="T759" i="1"/>
  <c r="U759" i="1" s="1"/>
  <c r="W759" i="1" s="1"/>
  <c r="Y759" i="1" s="1"/>
  <c r="T757" i="1"/>
  <c r="U757" i="1" s="1"/>
  <c r="W757" i="1" s="1"/>
  <c r="Y757" i="1" s="1"/>
  <c r="T755" i="1"/>
  <c r="U755" i="1" s="1"/>
  <c r="W755" i="1" s="1"/>
  <c r="Y755" i="1" s="1"/>
  <c r="T753" i="1"/>
  <c r="U753" i="1" s="1"/>
  <c r="W753" i="1" s="1"/>
  <c r="Y753" i="1" s="1"/>
  <c r="T751" i="1"/>
  <c r="U751" i="1" s="1"/>
  <c r="W751" i="1" s="1"/>
  <c r="Y751" i="1" s="1"/>
  <c r="T749" i="1"/>
  <c r="U749" i="1" s="1"/>
  <c r="W749" i="1" s="1"/>
  <c r="Y749" i="1" s="1"/>
  <c r="T747" i="1"/>
  <c r="U747" i="1" s="1"/>
  <c r="W747" i="1" s="1"/>
  <c r="Y747" i="1" s="1"/>
  <c r="T745" i="1"/>
  <c r="T743" i="1" s="1"/>
  <c r="U743" i="1" s="1"/>
  <c r="W743" i="1" s="1"/>
  <c r="Y743" i="1" s="1"/>
  <c r="T741" i="1"/>
  <c r="U741" i="1" s="1"/>
  <c r="W741" i="1" s="1"/>
  <c r="Y741" i="1" s="1"/>
  <c r="T739" i="1"/>
  <c r="U739" i="1" s="1"/>
  <c r="W739" i="1" s="1"/>
  <c r="Y739" i="1" s="1"/>
  <c r="T737" i="1"/>
  <c r="U737" i="1" s="1"/>
  <c r="W737" i="1" s="1"/>
  <c r="Y737" i="1" s="1"/>
  <c r="T735" i="1"/>
  <c r="U735" i="1" s="1"/>
  <c r="W735" i="1" s="1"/>
  <c r="Y735" i="1" s="1"/>
  <c r="T733" i="1"/>
  <c r="U733" i="1" s="1"/>
  <c r="W733" i="1" s="1"/>
  <c r="Y733" i="1" s="1"/>
  <c r="T731" i="1"/>
  <c r="U731" i="1" s="1"/>
  <c r="W731" i="1" s="1"/>
  <c r="Y731" i="1" s="1"/>
  <c r="T729" i="1"/>
  <c r="U729" i="1" s="1"/>
  <c r="W729" i="1" s="1"/>
  <c r="Y729" i="1" s="1"/>
  <c r="T727" i="1"/>
  <c r="U727" i="1" s="1"/>
  <c r="W727" i="1" s="1"/>
  <c r="Y727" i="1" s="1"/>
  <c r="T725" i="1"/>
  <c r="U725" i="1" s="1"/>
  <c r="W725" i="1" s="1"/>
  <c r="Y725" i="1" s="1"/>
  <c r="T723" i="1"/>
  <c r="U723" i="1" s="1"/>
  <c r="W723" i="1" s="1"/>
  <c r="Y723" i="1" s="1"/>
  <c r="T721" i="1"/>
  <c r="U721" i="1" s="1"/>
  <c r="W721" i="1" s="1"/>
  <c r="Y721" i="1" s="1"/>
  <c r="T719" i="1"/>
  <c r="U719" i="1" s="1"/>
  <c r="W719" i="1" s="1"/>
  <c r="Y719" i="1" s="1"/>
  <c r="T717" i="1"/>
  <c r="U717" i="1" s="1"/>
  <c r="W717" i="1" s="1"/>
  <c r="Y717" i="1" s="1"/>
  <c r="T715" i="1"/>
  <c r="U715" i="1" s="1"/>
  <c r="W715" i="1" s="1"/>
  <c r="Y715" i="1" s="1"/>
  <c r="T713" i="1"/>
  <c r="U713" i="1" s="1"/>
  <c r="W713" i="1" s="1"/>
  <c r="Y713" i="1" s="1"/>
  <c r="T711" i="1"/>
  <c r="U711" i="1" s="1"/>
  <c r="W711" i="1" s="1"/>
  <c r="Y711" i="1" s="1"/>
  <c r="T709" i="1"/>
  <c r="U709" i="1" s="1"/>
  <c r="W709" i="1" s="1"/>
  <c r="Y709" i="1" s="1"/>
  <c r="T707" i="1"/>
  <c r="U707" i="1" s="1"/>
  <c r="W707" i="1" s="1"/>
  <c r="Y707" i="1" s="1"/>
  <c r="T705" i="1"/>
  <c r="U705" i="1" s="1"/>
  <c r="W705" i="1" s="1"/>
  <c r="Y705" i="1" s="1"/>
  <c r="T703" i="1"/>
  <c r="U703" i="1" s="1"/>
  <c r="W703" i="1" s="1"/>
  <c r="Y703" i="1" s="1"/>
  <c r="T701" i="1"/>
  <c r="U701" i="1" s="1"/>
  <c r="W701" i="1" s="1"/>
  <c r="Y701" i="1" s="1"/>
  <c r="T699" i="1"/>
  <c r="U699" i="1" s="1"/>
  <c r="W699" i="1" s="1"/>
  <c r="Y699" i="1" s="1"/>
  <c r="T697" i="1"/>
  <c r="U697" i="1" s="1"/>
  <c r="W697" i="1" s="1"/>
  <c r="Y697" i="1" s="1"/>
  <c r="T695" i="1"/>
  <c r="U695" i="1" s="1"/>
  <c r="W695" i="1" s="1"/>
  <c r="Y695" i="1" s="1"/>
  <c r="T693" i="1"/>
  <c r="U693" i="1" s="1"/>
  <c r="W693" i="1" s="1"/>
  <c r="Y693" i="1" s="1"/>
  <c r="T689" i="1"/>
  <c r="U689" i="1" s="1"/>
  <c r="W689" i="1" s="1"/>
  <c r="Y689" i="1" s="1"/>
  <c r="T765" i="1" l="1"/>
  <c r="U765" i="1" s="1"/>
  <c r="W765" i="1" s="1"/>
  <c r="Y765" i="1" s="1"/>
  <c r="U745" i="1"/>
  <c r="W745" i="1" s="1"/>
  <c r="Y745" i="1" s="1"/>
  <c r="T1636" i="1"/>
  <c r="T1873" i="1" s="1"/>
  <c r="U1249" i="1" l="1"/>
  <c r="W1249" i="1" s="1"/>
  <c r="Y1249" i="1" s="1"/>
  <c r="AA1249" i="1" s="1"/>
  <c r="T1248" i="1"/>
  <c r="T1228" i="1"/>
  <c r="T1874" i="1" s="1"/>
  <c r="T1872" i="1" l="1"/>
  <c r="T1619" i="1" l="1"/>
  <c r="U1621" i="1"/>
  <c r="W1621" i="1" s="1"/>
  <c r="Y1621" i="1" s="1"/>
  <c r="AA1621" i="1" s="1"/>
  <c r="U1498" i="1" l="1"/>
  <c r="W1498" i="1" s="1"/>
  <c r="Y1498" i="1" s="1"/>
  <c r="AA1498" i="1" s="1"/>
  <c r="T1497" i="1"/>
  <c r="T1496" i="1" s="1"/>
  <c r="U1497" i="1" l="1"/>
  <c r="W1497" i="1" s="1"/>
  <c r="Y1497" i="1" s="1"/>
  <c r="T1495" i="1"/>
  <c r="U1495" i="1" s="1"/>
  <c r="W1495" i="1" s="1"/>
  <c r="Y1495" i="1" s="1"/>
  <c r="U1496" i="1"/>
  <c r="W1496" i="1" s="1"/>
  <c r="Y1496" i="1" s="1"/>
  <c r="U871" i="1" l="1"/>
  <c r="W871" i="1" s="1"/>
  <c r="Y871" i="1" s="1"/>
  <c r="AA871" i="1" s="1"/>
  <c r="T870" i="1"/>
  <c r="T869" i="1" s="1"/>
  <c r="U363" i="1"/>
  <c r="W363" i="1" s="1"/>
  <c r="Y363" i="1" s="1"/>
  <c r="AA363" i="1" s="1"/>
  <c r="T362" i="1"/>
  <c r="U362" i="1" s="1"/>
  <c r="W362" i="1" s="1"/>
  <c r="Y362" i="1" s="1"/>
  <c r="U869" i="1" l="1"/>
  <c r="W869" i="1" s="1"/>
  <c r="Y869" i="1" s="1"/>
  <c r="T868" i="1"/>
  <c r="U868" i="1" s="1"/>
  <c r="W868" i="1" s="1"/>
  <c r="Y868" i="1" s="1"/>
  <c r="U870" i="1"/>
  <c r="W870" i="1" s="1"/>
  <c r="Y870" i="1" s="1"/>
  <c r="U1536" i="1"/>
  <c r="W1536" i="1" s="1"/>
  <c r="Y1536" i="1" s="1"/>
  <c r="AA1536" i="1" s="1"/>
  <c r="U1537" i="1"/>
  <c r="W1537" i="1" s="1"/>
  <c r="Y1537" i="1" s="1"/>
  <c r="AA1537" i="1" s="1"/>
  <c r="T1535" i="1"/>
  <c r="U1535" i="1" s="1"/>
  <c r="W1535" i="1" s="1"/>
  <c r="Y1535" i="1" s="1"/>
  <c r="T1866" i="1" l="1"/>
  <c r="T1865" i="1" s="1"/>
  <c r="T1864" i="1" s="1"/>
  <c r="T1856" i="1"/>
  <c r="T1854" i="1"/>
  <c r="T1849" i="1"/>
  <c r="T1847" i="1"/>
  <c r="T1845" i="1"/>
  <c r="T1843" i="1"/>
  <c r="T1838" i="1"/>
  <c r="T1836" i="1"/>
  <c r="T1834" i="1"/>
  <c r="T1831" i="1"/>
  <c r="T1825" i="1"/>
  <c r="T1824" i="1" s="1"/>
  <c r="T1823" i="1" s="1"/>
  <c r="T1820" i="1"/>
  <c r="T1819" i="1" s="1"/>
  <c r="T1814" i="1"/>
  <c r="T1813" i="1" s="1"/>
  <c r="T1812" i="1" s="1"/>
  <c r="T1809" i="1"/>
  <c r="T1807" i="1"/>
  <c r="T1805" i="1"/>
  <c r="T1803" i="1"/>
  <c r="T1797" i="1"/>
  <c r="T1787" i="1"/>
  <c r="T1786" i="1" s="1"/>
  <c r="T1785" i="1" s="1"/>
  <c r="T1782" i="1"/>
  <c r="T1779" i="1"/>
  <c r="T1777" i="1"/>
  <c r="T1774" i="1"/>
  <c r="T1773" i="1" s="1"/>
  <c r="T1771" i="1"/>
  <c r="T1767" i="1"/>
  <c r="T1766" i="1" s="1"/>
  <c r="T1765" i="1" s="1"/>
  <c r="T1763" i="1"/>
  <c r="T1762" i="1" s="1"/>
  <c r="T1761" i="1" s="1"/>
  <c r="T1757" i="1"/>
  <c r="T1756" i="1" s="1"/>
  <c r="T1755" i="1" s="1"/>
  <c r="T1750" i="1"/>
  <c r="T1749" i="1" s="1"/>
  <c r="T1747" i="1"/>
  <c r="T1746" i="1" s="1"/>
  <c r="T1743" i="1"/>
  <c r="T1742" i="1" s="1"/>
  <c r="T1740" i="1"/>
  <c r="T1738" i="1"/>
  <c r="T1732" i="1"/>
  <c r="T1731" i="1" s="1"/>
  <c r="T1730" i="1" s="1"/>
  <c r="T1728" i="1"/>
  <c r="T1727" i="1" s="1"/>
  <c r="T1725" i="1"/>
  <c r="T1724" i="1" s="1"/>
  <c r="T1721" i="1"/>
  <c r="T1720" i="1" s="1"/>
  <c r="T1715" i="1"/>
  <c r="T1713" i="1"/>
  <c r="T1705" i="1"/>
  <c r="T1702" i="1"/>
  <c r="T1701" i="1" s="1"/>
  <c r="T1697" i="1"/>
  <c r="T1696" i="1" s="1"/>
  <c r="T1695" i="1" s="1"/>
  <c r="T1692" i="1"/>
  <c r="T1691" i="1" s="1"/>
  <c r="T1689" i="1"/>
  <c r="T1688" i="1" s="1"/>
  <c r="T1685" i="1"/>
  <c r="T1684" i="1" s="1"/>
  <c r="T1683" i="1" s="1"/>
  <c r="T1680" i="1"/>
  <c r="T1679" i="1" s="1"/>
  <c r="T1677" i="1"/>
  <c r="T1676" i="1" s="1"/>
  <c r="T1673" i="1"/>
  <c r="T1671" i="1"/>
  <c r="T1668" i="1"/>
  <c r="T1659" i="1"/>
  <c r="T1656" i="1"/>
  <c r="T1651" i="1"/>
  <c r="T1650" i="1" s="1"/>
  <c r="T1644" i="1"/>
  <c r="T1642" i="1"/>
  <c r="T1639" i="1"/>
  <c r="T1637" i="1"/>
  <c r="T1635" i="1"/>
  <c r="T1632" i="1"/>
  <c r="T1628" i="1"/>
  <c r="T1625" i="1"/>
  <c r="T1623" i="1"/>
  <c r="T1622" i="1" s="1"/>
  <c r="T1617" i="1"/>
  <c r="T1615" i="1"/>
  <c r="T1613" i="1"/>
  <c r="T1609" i="1"/>
  <c r="T1607" i="1"/>
  <c r="T1605" i="1"/>
  <c r="T1602" i="1"/>
  <c r="T1600" i="1"/>
  <c r="T1598" i="1"/>
  <c r="T1596" i="1"/>
  <c r="T1594" i="1"/>
  <c r="T1592" i="1"/>
  <c r="T1590" i="1"/>
  <c r="T1588" i="1"/>
  <c r="T1584" i="1"/>
  <c r="T1581" i="1"/>
  <c r="T1579" i="1"/>
  <c r="T1577" i="1"/>
  <c r="T1568" i="1"/>
  <c r="T1565" i="1"/>
  <c r="T1564" i="1" s="1"/>
  <c r="T1560" i="1"/>
  <c r="T1559" i="1" s="1"/>
  <c r="T1558" i="1" s="1"/>
  <c r="T1557" i="1" s="1"/>
  <c r="T1555" i="1"/>
  <c r="T1551" i="1"/>
  <c r="T1550" i="1" s="1"/>
  <c r="T1549" i="1" s="1"/>
  <c r="T1548" i="1" s="1"/>
  <c r="T1545" i="1"/>
  <c r="T1544" i="1" s="1"/>
  <c r="T1542" i="1"/>
  <c r="T1541" i="1" s="1"/>
  <c r="T1532" i="1"/>
  <c r="T1529" i="1"/>
  <c r="T1526" i="1"/>
  <c r="T1523" i="1"/>
  <c r="T1519" i="1"/>
  <c r="T1517" i="1"/>
  <c r="T1512" i="1"/>
  <c r="T1504" i="1"/>
  <c r="T1501" i="1"/>
  <c r="T1489" i="1"/>
  <c r="T1485" i="1"/>
  <c r="T1481" i="1"/>
  <c r="T1480" i="1" s="1"/>
  <c r="T1477" i="1"/>
  <c r="T1473" i="1"/>
  <c r="T1470" i="1"/>
  <c r="T1464" i="1"/>
  <c r="T1461" i="1" s="1"/>
  <c r="T1462" i="1"/>
  <c r="T1459" i="1"/>
  <c r="T1458" i="1" s="1"/>
  <c r="T1453" i="1"/>
  <c r="T1447" i="1"/>
  <c r="T1446" i="1" s="1"/>
  <c r="T1445" i="1" s="1"/>
  <c r="T1444" i="1" s="1"/>
  <c r="T1441" i="1"/>
  <c r="T1440" i="1" s="1"/>
  <c r="T1439" i="1" s="1"/>
  <c r="T1438" i="1" s="1"/>
  <c r="T1431" i="1"/>
  <c r="T1429" i="1"/>
  <c r="T1427" i="1"/>
  <c r="T1424" i="1"/>
  <c r="T1422" i="1"/>
  <c r="T1418" i="1"/>
  <c r="T1417" i="1" s="1"/>
  <c r="T1416" i="1" s="1"/>
  <c r="T1413" i="1"/>
  <c r="T1411" i="1"/>
  <c r="T1409" i="1"/>
  <c r="T1407" i="1"/>
  <c r="T1401" i="1"/>
  <c r="T1398" i="1"/>
  <c r="T1396" i="1"/>
  <c r="T1394" i="1"/>
  <c r="T1392" i="1"/>
  <c r="T1390" i="1"/>
  <c r="T1386" i="1"/>
  <c r="T1384" i="1"/>
  <c r="T1382" i="1"/>
  <c r="T1380" i="1"/>
  <c r="T1378" i="1"/>
  <c r="T1376" i="1"/>
  <c r="T1374" i="1"/>
  <c r="T1370" i="1"/>
  <c r="T1367" i="1"/>
  <c r="T1366" i="1" s="1"/>
  <c r="T1365" i="1" s="1"/>
  <c r="T1362" i="1"/>
  <c r="T1356" i="1"/>
  <c r="T1351" i="1"/>
  <c r="T1348" i="1"/>
  <c r="T1343" i="1"/>
  <c r="T1342" i="1" s="1"/>
  <c r="T1339" i="1"/>
  <c r="T1336" i="1"/>
  <c r="T1332" i="1"/>
  <c r="T1326" i="1"/>
  <c r="T1323" i="1"/>
  <c r="T1321" i="1"/>
  <c r="T1319" i="1"/>
  <c r="T1316" i="1"/>
  <c r="T1312" i="1"/>
  <c r="T1310" i="1"/>
  <c r="T1308" i="1"/>
  <c r="T1306" i="1"/>
  <c r="T1302" i="1"/>
  <c r="T1300" i="1"/>
  <c r="T1293" i="1"/>
  <c r="T1292" i="1" s="1"/>
  <c r="T1291" i="1" s="1"/>
  <c r="T1288" i="1"/>
  <c r="T1285" i="1"/>
  <c r="T1284" i="1" s="1"/>
  <c r="T1280" i="1"/>
  <c r="T1277" i="1"/>
  <c r="T1274" i="1"/>
  <c r="T1271" i="1"/>
  <c r="T1265" i="1"/>
  <c r="T1264" i="1" s="1"/>
  <c r="T1262" i="1"/>
  <c r="T1258" i="1"/>
  <c r="T1256" i="1"/>
  <c r="T1253" i="1"/>
  <c r="T1246" i="1"/>
  <c r="T1243" i="1"/>
  <c r="T1240" i="1"/>
  <c r="T1238" i="1"/>
  <c r="T1236" i="1"/>
  <c r="T1234" i="1"/>
  <c r="T1231" i="1"/>
  <c r="T1229" i="1"/>
  <c r="T1226" i="1"/>
  <c r="T1222" i="1"/>
  <c r="T1219" i="1"/>
  <c r="T1215" i="1"/>
  <c r="T1214" i="1" s="1"/>
  <c r="T1210" i="1"/>
  <c r="T1207" i="1"/>
  <c r="T1205" i="1"/>
  <c r="T1198" i="1"/>
  <c r="T1196" i="1"/>
  <c r="T1189" i="1"/>
  <c r="T1184" i="1"/>
  <c r="T1183" i="1" s="1"/>
  <c r="T1178" i="1"/>
  <c r="T1177" i="1" s="1"/>
  <c r="T1170" i="1"/>
  <c r="T1168" i="1"/>
  <c r="T1163" i="1"/>
  <c r="T1161" i="1"/>
  <c r="T1157" i="1"/>
  <c r="T1153" i="1"/>
  <c r="T1151" i="1"/>
  <c r="T1148" i="1"/>
  <c r="T1145" i="1"/>
  <c r="T1144" i="1" s="1"/>
  <c r="T1141" i="1"/>
  <c r="T1140" i="1" s="1"/>
  <c r="T1138" i="1"/>
  <c r="T1134" i="1"/>
  <c r="T1131" i="1"/>
  <c r="T1129" i="1"/>
  <c r="T1127" i="1"/>
  <c r="T1125" i="1"/>
  <c r="T1123" i="1"/>
  <c r="T1120" i="1"/>
  <c r="T1081" i="1"/>
  <c r="T1079" i="1"/>
  <c r="T1077" i="1"/>
  <c r="T1075" i="1"/>
  <c r="T1073" i="1"/>
  <c r="T1071" i="1"/>
  <c r="T1069" i="1"/>
  <c r="T1067" i="1"/>
  <c r="T1065" i="1"/>
  <c r="T1063" i="1"/>
  <c r="T1061" i="1"/>
  <c r="T1059" i="1"/>
  <c r="T1057" i="1"/>
  <c r="T1055" i="1"/>
  <c r="T1053" i="1"/>
  <c r="T1051" i="1"/>
  <c r="T1049" i="1"/>
  <c r="T1047" i="1"/>
  <c r="T1045" i="1"/>
  <c r="T1043" i="1"/>
  <c r="T1040" i="1"/>
  <c r="T1038" i="1"/>
  <c r="T1035" i="1"/>
  <c r="T1033" i="1"/>
  <c r="T1031" i="1"/>
  <c r="T1029" i="1"/>
  <c r="T1027" i="1"/>
  <c r="T1025" i="1"/>
  <c r="T1023" i="1"/>
  <c r="T1021" i="1"/>
  <c r="T1019" i="1"/>
  <c r="T1017" i="1"/>
  <c r="T1015" i="1"/>
  <c r="T1013" i="1"/>
  <c r="T1011" i="1"/>
  <c r="T1009" i="1"/>
  <c r="T1007" i="1"/>
  <c r="T1005" i="1"/>
  <c r="T1003" i="1"/>
  <c r="T1001" i="1"/>
  <c r="T999" i="1"/>
  <c r="T995" i="1"/>
  <c r="T993" i="1"/>
  <c r="T989" i="1"/>
  <c r="T987" i="1"/>
  <c r="T985" i="1"/>
  <c r="T983" i="1"/>
  <c r="T979" i="1"/>
  <c r="T973" i="1"/>
  <c r="T972" i="1" s="1"/>
  <c r="T970" i="1"/>
  <c r="T968" i="1"/>
  <c r="T963" i="1"/>
  <c r="T961" i="1"/>
  <c r="T957" i="1"/>
  <c r="T949" i="1"/>
  <c r="T939" i="1"/>
  <c r="T937" i="1"/>
  <c r="T931" i="1"/>
  <c r="T929" i="1"/>
  <c r="T922" i="1"/>
  <c r="T920" i="1"/>
  <c r="T918" i="1"/>
  <c r="T906" i="1"/>
  <c r="T904" i="1"/>
  <c r="T900" i="1"/>
  <c r="T898" i="1"/>
  <c r="T895" i="1"/>
  <c r="T882" i="1"/>
  <c r="T881" i="1" s="1"/>
  <c r="T879" i="1"/>
  <c r="T874" i="1"/>
  <c r="T873" i="1" s="1"/>
  <c r="T872" i="1" s="1"/>
  <c r="T863" i="1"/>
  <c r="T851" i="1"/>
  <c r="T849" i="1"/>
  <c r="T847" i="1"/>
  <c r="T843" i="1"/>
  <c r="T831" i="1"/>
  <c r="T828" i="1"/>
  <c r="T822" i="1"/>
  <c r="T820" i="1"/>
  <c r="T814" i="1"/>
  <c r="T813" i="1" s="1"/>
  <c r="T810" i="1"/>
  <c r="T807" i="1"/>
  <c r="T806" i="1" s="1"/>
  <c r="T804" i="1"/>
  <c r="T801" i="1"/>
  <c r="T800" i="1" s="1"/>
  <c r="T796" i="1"/>
  <c r="T792" i="1"/>
  <c r="T790" i="1"/>
  <c r="T788" i="1"/>
  <c r="T784" i="1"/>
  <c r="T782" i="1"/>
  <c r="T780" i="1"/>
  <c r="T776" i="1"/>
  <c r="T775" i="1" s="1"/>
  <c r="T687" i="1"/>
  <c r="T685" i="1"/>
  <c r="T683" i="1"/>
  <c r="T681" i="1"/>
  <c r="T679" i="1"/>
  <c r="T677" i="1"/>
  <c r="T675" i="1"/>
  <c r="T673" i="1"/>
  <c r="T671" i="1"/>
  <c r="T669" i="1"/>
  <c r="T667" i="1"/>
  <c r="T665" i="1"/>
  <c r="T663" i="1"/>
  <c r="T661" i="1"/>
  <c r="T659" i="1"/>
  <c r="T657" i="1"/>
  <c r="T655" i="1"/>
  <c r="T653" i="1"/>
  <c r="T651" i="1"/>
  <c r="T649" i="1"/>
  <c r="T647" i="1"/>
  <c r="T645" i="1"/>
  <c r="T643" i="1"/>
  <c r="T641" i="1"/>
  <c r="T639" i="1"/>
  <c r="T637" i="1"/>
  <c r="T635" i="1"/>
  <c r="T633" i="1"/>
  <c r="T631" i="1"/>
  <c r="T629" i="1"/>
  <c r="T627" i="1"/>
  <c r="T625" i="1"/>
  <c r="T623" i="1"/>
  <c r="T621" i="1"/>
  <c r="T619" i="1"/>
  <c r="T617" i="1"/>
  <c r="T615" i="1"/>
  <c r="T613" i="1"/>
  <c r="T611" i="1"/>
  <c r="T609" i="1"/>
  <c r="T607" i="1"/>
  <c r="T605" i="1"/>
  <c r="T603" i="1"/>
  <c r="T601" i="1"/>
  <c r="T599" i="1"/>
  <c r="T597" i="1"/>
  <c r="T595" i="1"/>
  <c r="T593" i="1"/>
  <c r="T591" i="1"/>
  <c r="T589" i="1"/>
  <c r="T587" i="1"/>
  <c r="T585" i="1"/>
  <c r="T583" i="1"/>
  <c r="T581" i="1"/>
  <c r="T579" i="1"/>
  <c r="T577" i="1"/>
  <c r="T575" i="1"/>
  <c r="T573" i="1"/>
  <c r="T571" i="1"/>
  <c r="T569" i="1"/>
  <c r="T567" i="1"/>
  <c r="T565" i="1"/>
  <c r="T563" i="1"/>
  <c r="T561" i="1"/>
  <c r="T559" i="1"/>
  <c r="T557" i="1"/>
  <c r="T555" i="1"/>
  <c r="T553" i="1"/>
  <c r="T551" i="1"/>
  <c r="T549" i="1"/>
  <c r="T547" i="1"/>
  <c r="T545" i="1"/>
  <c r="T543" i="1"/>
  <c r="T541" i="1"/>
  <c r="T539" i="1"/>
  <c r="T537" i="1"/>
  <c r="T535" i="1"/>
  <c r="T533" i="1"/>
  <c r="T531" i="1"/>
  <c r="T529" i="1"/>
  <c r="T527" i="1"/>
  <c r="T525" i="1"/>
  <c r="T523" i="1"/>
  <c r="T521" i="1"/>
  <c r="T519" i="1"/>
  <c r="T517" i="1"/>
  <c r="T515" i="1"/>
  <c r="T513" i="1"/>
  <c r="T511" i="1"/>
  <c r="T509" i="1"/>
  <c r="T507" i="1"/>
  <c r="T505" i="1"/>
  <c r="T503" i="1"/>
  <c r="T501" i="1"/>
  <c r="T499" i="1"/>
  <c r="T497" i="1"/>
  <c r="T495" i="1"/>
  <c r="T493" i="1"/>
  <c r="T491" i="1"/>
  <c r="T489" i="1"/>
  <c r="T487" i="1"/>
  <c r="T485" i="1"/>
  <c r="T483" i="1"/>
  <c r="T481" i="1"/>
  <c r="T479" i="1"/>
  <c r="T477" i="1"/>
  <c r="T475" i="1"/>
  <c r="T473" i="1"/>
  <c r="T471" i="1"/>
  <c r="T469" i="1"/>
  <c r="T467" i="1"/>
  <c r="T465" i="1"/>
  <c r="T463" i="1"/>
  <c r="T461" i="1"/>
  <c r="T459" i="1"/>
  <c r="T457" i="1"/>
  <c r="T455" i="1"/>
  <c r="T453" i="1"/>
  <c r="T451" i="1"/>
  <c r="T449" i="1"/>
  <c r="T447" i="1"/>
  <c r="T445" i="1"/>
  <c r="T443" i="1"/>
  <c r="T441" i="1"/>
  <c r="T439" i="1"/>
  <c r="T437" i="1"/>
  <c r="T435" i="1"/>
  <c r="T433" i="1"/>
  <c r="T431" i="1"/>
  <c r="T429" i="1"/>
  <c r="T427" i="1"/>
  <c r="T425" i="1"/>
  <c r="T423" i="1"/>
  <c r="T421" i="1"/>
  <c r="T419" i="1"/>
  <c r="T416" i="1"/>
  <c r="T413" i="1"/>
  <c r="T411" i="1"/>
  <c r="T409" i="1"/>
  <c r="T407" i="1"/>
  <c r="T405" i="1"/>
  <c r="T403" i="1"/>
  <c r="T401" i="1"/>
  <c r="T399" i="1"/>
  <c r="T397" i="1"/>
  <c r="T395" i="1"/>
  <c r="T393" i="1"/>
  <c r="T391" i="1"/>
  <c r="T389" i="1"/>
  <c r="T387" i="1"/>
  <c r="T385" i="1"/>
  <c r="T383" i="1"/>
  <c r="T381" i="1"/>
  <c r="T379" i="1"/>
  <c r="T377" i="1"/>
  <c r="T373" i="1"/>
  <c r="T371" i="1"/>
  <c r="T364" i="1"/>
  <c r="T359" i="1"/>
  <c r="T349" i="1"/>
  <c r="T347" i="1"/>
  <c r="T339" i="1"/>
  <c r="T338" i="1" s="1"/>
  <c r="T336" i="1"/>
  <c r="T335" i="1" s="1"/>
  <c r="T329" i="1"/>
  <c r="T326" i="1" s="1"/>
  <c r="T320" i="1"/>
  <c r="T319" i="1" s="1"/>
  <c r="T317" i="1"/>
  <c r="T303" i="1"/>
  <c r="T299" i="1"/>
  <c r="T297" i="1"/>
  <c r="T292" i="1"/>
  <c r="T291" i="1" s="1"/>
  <c r="T286" i="1"/>
  <c r="T285" i="1" s="1"/>
  <c r="T281" i="1"/>
  <c r="T280" i="1" s="1"/>
  <c r="T279" i="1" s="1"/>
  <c r="T278" i="1" s="1"/>
  <c r="T276" i="1"/>
  <c r="T275" i="1" s="1"/>
  <c r="T265" i="1"/>
  <c r="T261" i="1"/>
  <c r="T259" i="1"/>
  <c r="T256" i="1"/>
  <c r="T254" i="1"/>
  <c r="T251" i="1"/>
  <c r="T250" i="1" s="1"/>
  <c r="T249" i="1" s="1"/>
  <c r="T247" i="1"/>
  <c r="T239" i="1"/>
  <c r="T234" i="1"/>
  <c r="T231" i="1"/>
  <c r="T227" i="1"/>
  <c r="T220" i="1" s="1"/>
  <c r="T218" i="1"/>
  <c r="T217" i="1" s="1"/>
  <c r="T215" i="1"/>
  <c r="T214" i="1" s="1"/>
  <c r="T201" i="1"/>
  <c r="T180" i="1"/>
  <c r="T175" i="1"/>
  <c r="T173" i="1"/>
  <c r="T156" i="1"/>
  <c r="T153" i="1"/>
  <c r="T151" i="1"/>
  <c r="T145" i="1"/>
  <c r="T144" i="1" s="1"/>
  <c r="T143" i="1" s="1"/>
  <c r="T137" i="1"/>
  <c r="T130" i="1" s="1"/>
  <c r="T120" i="1"/>
  <c r="T117" i="1"/>
  <c r="T112" i="1"/>
  <c r="T111" i="1" s="1"/>
  <c r="T110" i="1" s="1"/>
  <c r="T104" i="1"/>
  <c r="T103" i="1" s="1"/>
  <c r="T95" i="1"/>
  <c r="T93" i="1"/>
  <c r="T90" i="1"/>
  <c r="T78" i="1"/>
  <c r="T67" i="1"/>
  <c r="T64" i="1"/>
  <c r="T61" i="1"/>
  <c r="T53" i="1"/>
  <c r="T46" i="1"/>
  <c r="T45" i="1" s="1"/>
  <c r="T44" i="1" s="1"/>
  <c r="T41" i="1"/>
  <c r="T40" i="1" s="1"/>
  <c r="T35" i="1"/>
  <c r="T29" i="1"/>
  <c r="T21" i="1"/>
  <c r="T18" i="1"/>
  <c r="T1042" i="1" l="1"/>
  <c r="T358" i="1"/>
  <c r="T357" i="1" s="1"/>
  <c r="T903" i="1"/>
  <c r="T817" i="1"/>
  <c r="T1522" i="1"/>
  <c r="T917" i="1"/>
  <c r="T916" i="1" s="1"/>
  <c r="T1641" i="1"/>
  <c r="T418" i="1"/>
  <c r="T1770" i="1"/>
  <c r="T150" i="1"/>
  <c r="T149" i="1" s="1"/>
  <c r="T1213" i="1"/>
  <c r="T1737" i="1"/>
  <c r="T1736" i="1" s="1"/>
  <c r="T376" i="1"/>
  <c r="T258" i="1"/>
  <c r="T253" i="1" s="1"/>
  <c r="T1406" i="1"/>
  <c r="T1405" i="1" s="1"/>
  <c r="T179" i="1"/>
  <c r="T960" i="1"/>
  <c r="T1204" i="1"/>
  <c r="T1203" i="1" s="1"/>
  <c r="T116" i="1"/>
  <c r="T115" i="1" s="1"/>
  <c r="T1704" i="1"/>
  <c r="T1700" i="1" s="1"/>
  <c r="T346" i="1"/>
  <c r="T345" i="1" s="1"/>
  <c r="T1160" i="1"/>
  <c r="T1159" i="1" s="1"/>
  <c r="T1299" i="1"/>
  <c r="T1388" i="1"/>
  <c r="T1514" i="1"/>
  <c r="T1255" i="1"/>
  <c r="T1252" i="1" s="1"/>
  <c r="T1251" i="1" s="1"/>
  <c r="T1421" i="1"/>
  <c r="T1634" i="1"/>
  <c r="T1655" i="1"/>
  <c r="T1654" i="1" s="1"/>
  <c r="T1457" i="1"/>
  <c r="T1305" i="1"/>
  <c r="T1540" i="1"/>
  <c r="T172" i="1"/>
  <c r="T827" i="1"/>
  <c r="T1037" i="1"/>
  <c r="T296" i="1"/>
  <c r="T290" i="1" s="1"/>
  <c r="T1188" i="1"/>
  <c r="T316" i="1"/>
  <c r="T312" i="1" s="1"/>
  <c r="T809" i="1"/>
  <c r="T28" i="1"/>
  <c r="T27" i="1" s="1"/>
  <c r="T194" i="1"/>
  <c r="T1195" i="1"/>
  <c r="T1194" i="1" s="1"/>
  <c r="T1147" i="1"/>
  <c r="T1119" i="1"/>
  <c r="T982" i="1"/>
  <c r="T981" i="1" s="1"/>
  <c r="T1167" i="1"/>
  <c r="T846" i="1"/>
  <c r="T1347" i="1"/>
  <c r="T1346" i="1" s="1"/>
  <c r="T1500" i="1"/>
  <c r="T1554" i="1"/>
  <c r="T1553" i="1" s="1"/>
  <c r="T1776" i="1"/>
  <c r="T1796" i="1"/>
  <c r="T1795" i="1" s="1"/>
  <c r="T1794" i="1" s="1"/>
  <c r="T158" i="1"/>
  <c r="T142" i="1"/>
  <c r="T264" i="1"/>
  <c r="T17" i="1"/>
  <c r="T39" i="1"/>
  <c r="T52" i="1"/>
  <c r="T101" i="1"/>
  <c r="T60" i="1" s="1"/>
  <c r="T237" i="1"/>
  <c r="T284" i="1"/>
  <c r="T334" i="1"/>
  <c r="T415" i="1"/>
  <c r="T774" i="1"/>
  <c r="T856" i="1"/>
  <c r="T274" i="1"/>
  <c r="T325" i="1"/>
  <c r="T812" i="1"/>
  <c r="T794" i="1"/>
  <c r="T803" i="1"/>
  <c r="T878" i="1"/>
  <c r="T894" i="1"/>
  <c r="T942" i="1"/>
  <c r="T954" i="1"/>
  <c r="T978" i="1"/>
  <c r="T1156" i="1"/>
  <c r="T1182" i="1"/>
  <c r="T967" i="1"/>
  <c r="T998" i="1"/>
  <c r="T1225" i="1"/>
  <c r="T1218" i="1"/>
  <c r="T1270" i="1"/>
  <c r="T1335" i="1"/>
  <c r="T1400" i="1"/>
  <c r="T1567" i="1"/>
  <c r="T1563" i="1" s="1"/>
  <c r="T1723" i="1"/>
  <c r="T1426" i="1"/>
  <c r="T1437" i="1"/>
  <c r="T1452" i="1"/>
  <c r="T1469" i="1"/>
  <c r="T1484" i="1"/>
  <c r="T1488" i="1"/>
  <c r="T1745" i="1"/>
  <c r="T1818" i="1"/>
  <c r="T1863" i="1"/>
  <c r="T1574" i="1"/>
  <c r="T1587" i="1"/>
  <c r="T1612" i="1"/>
  <c r="T1682" i="1"/>
  <c r="T1694" i="1"/>
  <c r="T1719" i="1"/>
  <c r="T1373" i="1"/>
  <c r="T1687" i="1"/>
  <c r="T1754" i="1"/>
  <c r="T1802" i="1"/>
  <c r="T1675" i="1"/>
  <c r="T1851" i="1"/>
  <c r="S777" i="1"/>
  <c r="U777" i="1" s="1"/>
  <c r="W777" i="1" s="1"/>
  <c r="Y777" i="1" s="1"/>
  <c r="AA777" i="1" s="1"/>
  <c r="R776" i="1"/>
  <c r="T1769" i="1" l="1"/>
  <c r="T1760" i="1" s="1"/>
  <c r="T1759" i="1" s="1"/>
  <c r="T375" i="1"/>
  <c r="T370" i="1" s="1"/>
  <c r="T1298" i="1"/>
  <c r="T1631" i="1"/>
  <c r="T1118" i="1"/>
  <c r="T1166" i="1"/>
  <c r="T1165" i="1" s="1"/>
  <c r="T178" i="1"/>
  <c r="T59" i="1"/>
  <c r="T1499" i="1"/>
  <c r="T799" i="1"/>
  <c r="T1735" i="1"/>
  <c r="T1734" i="1" s="1"/>
  <c r="T779" i="1"/>
  <c r="T778" i="1" s="1"/>
  <c r="T273" i="1"/>
  <c r="T1217" i="1"/>
  <c r="T1202" i="1" s="1"/>
  <c r="T1193" i="1"/>
  <c r="T1155" i="1"/>
  <c r="T977" i="1"/>
  <c r="T356" i="1"/>
  <c r="T344" i="1"/>
  <c r="T51" i="1"/>
  <c r="T155" i="1"/>
  <c r="T1830" i="1"/>
  <c r="T1862" i="1"/>
  <c r="T1483" i="1"/>
  <c r="T1420" i="1"/>
  <c r="T1269" i="1"/>
  <c r="T997" i="1"/>
  <c r="T877" i="1"/>
  <c r="T826" i="1"/>
  <c r="T825" i="1" s="1"/>
  <c r="T289" i="1"/>
  <c r="T230" i="1"/>
  <c r="T114" i="1"/>
  <c r="T1573" i="1"/>
  <c r="T1699" i="1"/>
  <c r="T1468" i="1"/>
  <c r="T966" i="1"/>
  <c r="T1181" i="1"/>
  <c r="T816" i="1"/>
  <c r="T324" i="1"/>
  <c r="T148" i="1"/>
  <c r="T263" i="1"/>
  <c r="T1801" i="1"/>
  <c r="T1753" i="1"/>
  <c r="T1372" i="1"/>
  <c r="T1817" i="1"/>
  <c r="T1451" i="1"/>
  <c r="T928" i="1"/>
  <c r="T16" i="1"/>
  <c r="S776" i="1"/>
  <c r="U776" i="1" s="1"/>
  <c r="W776" i="1" s="1"/>
  <c r="Y776" i="1" s="1"/>
  <c r="R775" i="1"/>
  <c r="S243" i="1"/>
  <c r="U243" i="1" s="1"/>
  <c r="W243" i="1" s="1"/>
  <c r="Y243" i="1" s="1"/>
  <c r="AA243" i="1" s="1"/>
  <c r="R79" i="1"/>
  <c r="R795" i="1"/>
  <c r="R239" i="1"/>
  <c r="S157" i="1"/>
  <c r="U157" i="1" s="1"/>
  <c r="W157" i="1" s="1"/>
  <c r="Y157" i="1" s="1"/>
  <c r="AA157" i="1" s="1"/>
  <c r="R156" i="1"/>
  <c r="S156" i="1" s="1"/>
  <c r="U156" i="1" s="1"/>
  <c r="W156" i="1" s="1"/>
  <c r="Y156" i="1" s="1"/>
  <c r="R1853" i="1"/>
  <c r="R1851" i="1" s="1"/>
  <c r="S1658" i="1"/>
  <c r="U1658" i="1" s="1"/>
  <c r="W1658" i="1" s="1"/>
  <c r="Y1658" i="1" s="1"/>
  <c r="AA1658" i="1" s="1"/>
  <c r="S1657" i="1"/>
  <c r="U1657" i="1" s="1"/>
  <c r="W1657" i="1" s="1"/>
  <c r="Y1657" i="1" s="1"/>
  <c r="AA1657" i="1" s="1"/>
  <c r="R1656" i="1"/>
  <c r="S1656" i="1" s="1"/>
  <c r="U1656" i="1" s="1"/>
  <c r="W1656" i="1" s="1"/>
  <c r="Y1656" i="1" s="1"/>
  <c r="R1137" i="1"/>
  <c r="R209" i="1"/>
  <c r="R208" i="1"/>
  <c r="R1485" i="1"/>
  <c r="S1486" i="1"/>
  <c r="U1486" i="1" s="1"/>
  <c r="W1486" i="1" s="1"/>
  <c r="Y1486" i="1" s="1"/>
  <c r="AA1486" i="1" s="1"/>
  <c r="R1232" i="1"/>
  <c r="R166" i="1"/>
  <c r="R124" i="1"/>
  <c r="R945" i="1"/>
  <c r="R943" i="1"/>
  <c r="R890" i="1"/>
  <c r="R866" i="1"/>
  <c r="R864" i="1"/>
  <c r="R1135" i="1"/>
  <c r="R1133" i="1"/>
  <c r="R1132" i="1"/>
  <c r="R340" i="1"/>
  <c r="R248" i="1"/>
  <c r="R238" i="1"/>
  <c r="R102" i="1"/>
  <c r="R83" i="1"/>
  <c r="R81" i="1"/>
  <c r="T1467" i="1" l="1"/>
  <c r="T1117" i="1"/>
  <c r="T1653" i="1"/>
  <c r="T927" i="1"/>
  <c r="T1800" i="1"/>
  <c r="T1572" i="1"/>
  <c r="T876" i="1"/>
  <c r="T1829" i="1"/>
  <c r="T1828" i="1" s="1"/>
  <c r="T43" i="1"/>
  <c r="T1192" i="1"/>
  <c r="T1450" i="1"/>
  <c r="T369" i="1"/>
  <c r="T288" i="1"/>
  <c r="T992" i="1"/>
  <c r="T773" i="1"/>
  <c r="T887" i="1"/>
  <c r="T1369" i="1"/>
  <c r="T58" i="1"/>
  <c r="T1404" i="1"/>
  <c r="T1201" i="1"/>
  <c r="T311" i="1"/>
  <c r="T1180" i="1"/>
  <c r="T213" i="1"/>
  <c r="T1268" i="1"/>
  <c r="T343" i="1"/>
  <c r="T976" i="1"/>
  <c r="R774" i="1"/>
  <c r="S774" i="1" s="1"/>
  <c r="U774" i="1" s="1"/>
  <c r="W774" i="1" s="1"/>
  <c r="Y774" i="1" s="1"/>
  <c r="S775" i="1"/>
  <c r="U775" i="1" s="1"/>
  <c r="W775" i="1" s="1"/>
  <c r="Y775" i="1" s="1"/>
  <c r="S1502" i="1"/>
  <c r="U1502" i="1" s="1"/>
  <c r="W1502" i="1" s="1"/>
  <c r="Y1502" i="1" s="1"/>
  <c r="AA1502" i="1" s="1"/>
  <c r="S1503" i="1"/>
  <c r="U1503" i="1" s="1"/>
  <c r="W1503" i="1" s="1"/>
  <c r="Y1503" i="1" s="1"/>
  <c r="AA1503" i="1" s="1"/>
  <c r="R1501" i="1"/>
  <c r="S1501" i="1" s="1"/>
  <c r="U1501" i="1" s="1"/>
  <c r="W1501" i="1" s="1"/>
  <c r="Y1501" i="1" s="1"/>
  <c r="S1408" i="1"/>
  <c r="U1408" i="1" s="1"/>
  <c r="W1408" i="1" s="1"/>
  <c r="Y1408" i="1" s="1"/>
  <c r="AA1408" i="1" s="1"/>
  <c r="R1407" i="1"/>
  <c r="S1407" i="1" s="1"/>
  <c r="U1407" i="1" s="1"/>
  <c r="W1407" i="1" s="1"/>
  <c r="Y1407" i="1" s="1"/>
  <c r="S1272" i="1"/>
  <c r="U1272" i="1" s="1"/>
  <c r="W1272" i="1" s="1"/>
  <c r="Y1272" i="1" s="1"/>
  <c r="AA1272" i="1" s="1"/>
  <c r="S1273" i="1"/>
  <c r="U1273" i="1" s="1"/>
  <c r="W1273" i="1" s="1"/>
  <c r="Y1273" i="1" s="1"/>
  <c r="AA1273" i="1" s="1"/>
  <c r="R1271" i="1"/>
  <c r="S1271" i="1" s="1"/>
  <c r="U1271" i="1" s="1"/>
  <c r="W1271" i="1" s="1"/>
  <c r="Y1271" i="1" s="1"/>
  <c r="S1206" i="1"/>
  <c r="U1206" i="1" s="1"/>
  <c r="W1206" i="1" s="1"/>
  <c r="Y1206" i="1" s="1"/>
  <c r="AA1206" i="1" s="1"/>
  <c r="R1205" i="1"/>
  <c r="S1205" i="1" s="1"/>
  <c r="U1205" i="1" s="1"/>
  <c r="W1205" i="1" s="1"/>
  <c r="Y1205" i="1" s="1"/>
  <c r="S181" i="1"/>
  <c r="U181" i="1" s="1"/>
  <c r="W181" i="1" s="1"/>
  <c r="Y181" i="1" s="1"/>
  <c r="AA181" i="1" s="1"/>
  <c r="S182" i="1"/>
  <c r="U182" i="1" s="1"/>
  <c r="W182" i="1" s="1"/>
  <c r="Y182" i="1" s="1"/>
  <c r="AA182" i="1" s="1"/>
  <c r="R180" i="1"/>
  <c r="S180" i="1" s="1"/>
  <c r="U180" i="1" s="1"/>
  <c r="W180" i="1" s="1"/>
  <c r="Y180" i="1" s="1"/>
  <c r="S118" i="1"/>
  <c r="U118" i="1" s="1"/>
  <c r="W118" i="1" s="1"/>
  <c r="Y118" i="1" s="1"/>
  <c r="AA118" i="1" s="1"/>
  <c r="S119" i="1"/>
  <c r="U119" i="1" s="1"/>
  <c r="W119" i="1" s="1"/>
  <c r="Y119" i="1" s="1"/>
  <c r="AA119" i="1" s="1"/>
  <c r="R117" i="1"/>
  <c r="S117" i="1" s="1"/>
  <c r="U117" i="1" s="1"/>
  <c r="W117" i="1" s="1"/>
  <c r="Y117" i="1" s="1"/>
  <c r="S829" i="1"/>
  <c r="U829" i="1" s="1"/>
  <c r="W829" i="1" s="1"/>
  <c r="Y829" i="1" s="1"/>
  <c r="AA829" i="1" s="1"/>
  <c r="S830" i="1"/>
  <c r="U830" i="1" s="1"/>
  <c r="W830" i="1" s="1"/>
  <c r="Y830" i="1" s="1"/>
  <c r="AA830" i="1" s="1"/>
  <c r="R828" i="1"/>
  <c r="S828" i="1" s="1"/>
  <c r="U828" i="1" s="1"/>
  <c r="W828" i="1" s="1"/>
  <c r="Y828" i="1" s="1"/>
  <c r="R255" i="1"/>
  <c r="S65" i="1"/>
  <c r="U65" i="1" s="1"/>
  <c r="W65" i="1" s="1"/>
  <c r="Y65" i="1" s="1"/>
  <c r="AA65" i="1" s="1"/>
  <c r="R66" i="1"/>
  <c r="R64" i="1" s="1"/>
  <c r="S64" i="1" s="1"/>
  <c r="U64" i="1" s="1"/>
  <c r="W64" i="1" s="1"/>
  <c r="Y64" i="1" s="1"/>
  <c r="S62" i="1"/>
  <c r="U62" i="1" s="1"/>
  <c r="W62" i="1" s="1"/>
  <c r="Y62" i="1" s="1"/>
  <c r="AA62" i="1" s="1"/>
  <c r="R63" i="1"/>
  <c r="S30" i="1"/>
  <c r="U30" i="1" s="1"/>
  <c r="W30" i="1" s="1"/>
  <c r="Y30" i="1" s="1"/>
  <c r="AA30" i="1" s="1"/>
  <c r="S31" i="1"/>
  <c r="U31" i="1" s="1"/>
  <c r="W31" i="1" s="1"/>
  <c r="Y31" i="1" s="1"/>
  <c r="AA31" i="1" s="1"/>
  <c r="R29" i="1"/>
  <c r="S29" i="1" s="1"/>
  <c r="U29" i="1" s="1"/>
  <c r="W29" i="1" s="1"/>
  <c r="Y29" i="1" s="1"/>
  <c r="S19" i="1"/>
  <c r="U19" i="1" s="1"/>
  <c r="W19" i="1" s="1"/>
  <c r="Y19" i="1" s="1"/>
  <c r="AA19" i="1" s="1"/>
  <c r="S20" i="1"/>
  <c r="U20" i="1" s="1"/>
  <c r="W20" i="1" s="1"/>
  <c r="Y20" i="1" s="1"/>
  <c r="AA20" i="1" s="1"/>
  <c r="R18" i="1"/>
  <c r="S18" i="1" s="1"/>
  <c r="U18" i="1" s="1"/>
  <c r="W18" i="1" s="1"/>
  <c r="Y18" i="1" s="1"/>
  <c r="T975" i="1" l="1"/>
  <c r="T212" i="1"/>
  <c r="T1403" i="1"/>
  <c r="T368" i="1"/>
  <c r="T1449" i="1"/>
  <c r="T38" i="1"/>
  <c r="T1799" i="1"/>
  <c r="T1752" i="1" s="1"/>
  <c r="T1466" i="1"/>
  <c r="T886" i="1"/>
  <c r="T885" i="1" s="1"/>
  <c r="T1267" i="1"/>
  <c r="T798" i="1"/>
  <c r="T272" i="1"/>
  <c r="T1191" i="1"/>
  <c r="T1571" i="1"/>
  <c r="T926" i="1"/>
  <c r="R1873" i="1"/>
  <c r="R61" i="1"/>
  <c r="S61" i="1" s="1"/>
  <c r="U61" i="1" s="1"/>
  <c r="W61" i="1" s="1"/>
  <c r="Y61" i="1" s="1"/>
  <c r="S66" i="1"/>
  <c r="U66" i="1" s="1"/>
  <c r="W66" i="1" s="1"/>
  <c r="Y66" i="1" s="1"/>
  <c r="AA66" i="1" s="1"/>
  <c r="S63" i="1"/>
  <c r="U63" i="1" s="1"/>
  <c r="W63" i="1" s="1"/>
  <c r="Y63" i="1" s="1"/>
  <c r="AA63" i="1" s="1"/>
  <c r="R899" i="1"/>
  <c r="T915" i="1" l="1"/>
  <c r="T1827" i="1"/>
  <c r="T1200" i="1"/>
  <c r="T342" i="1"/>
  <c r="T147" i="1"/>
  <c r="R1517" i="1"/>
  <c r="S1517" i="1" s="1"/>
  <c r="U1517" i="1" s="1"/>
  <c r="W1517" i="1" s="1"/>
  <c r="Y1517" i="1" s="1"/>
  <c r="S1518" i="1"/>
  <c r="U1518" i="1" s="1"/>
  <c r="W1518" i="1" s="1"/>
  <c r="Y1518" i="1" s="1"/>
  <c r="AA1518" i="1" s="1"/>
  <c r="T884" i="1" l="1"/>
  <c r="T15" i="1"/>
  <c r="S1423" i="1"/>
  <c r="U1423" i="1" s="1"/>
  <c r="W1423" i="1" s="1"/>
  <c r="Y1423" i="1" s="1"/>
  <c r="AA1423" i="1" s="1"/>
  <c r="R1422" i="1"/>
  <c r="S1422" i="1" s="1"/>
  <c r="U1422" i="1" s="1"/>
  <c r="W1422" i="1" s="1"/>
  <c r="Y1422" i="1" s="1"/>
  <c r="R1219" i="1"/>
  <c r="S1221" i="1"/>
  <c r="U1221" i="1" s="1"/>
  <c r="W1221" i="1" s="1"/>
  <c r="Y1221" i="1" s="1"/>
  <c r="AA1221" i="1" s="1"/>
  <c r="T1868" i="1" l="1"/>
  <c r="T1870" i="1"/>
  <c r="R94" i="1"/>
  <c r="R1519" i="1"/>
  <c r="R1514" i="1" s="1"/>
  <c r="S1521" i="1"/>
  <c r="U1521" i="1" s="1"/>
  <c r="W1521" i="1" s="1"/>
  <c r="Y1521" i="1" s="1"/>
  <c r="AA1521" i="1" s="1"/>
  <c r="R93" i="1" l="1"/>
  <c r="S93" i="1" s="1"/>
  <c r="U93" i="1" s="1"/>
  <c r="W93" i="1" s="1"/>
  <c r="Y93" i="1" s="1"/>
  <c r="S94" i="1"/>
  <c r="U94" i="1" s="1"/>
  <c r="W94" i="1" s="1"/>
  <c r="Y94" i="1" s="1"/>
  <c r="AA94" i="1" s="1"/>
  <c r="R364" i="1"/>
  <c r="Q364" i="1"/>
  <c r="G365" i="1"/>
  <c r="I365" i="1" s="1"/>
  <c r="K365" i="1" s="1"/>
  <c r="M365" i="1" s="1"/>
  <c r="O365" i="1" s="1"/>
  <c r="S365" i="1" s="1"/>
  <c r="U365" i="1" s="1"/>
  <c r="W365" i="1" s="1"/>
  <c r="Y365" i="1" s="1"/>
  <c r="AA365" i="1" s="1"/>
  <c r="S364" i="1" l="1"/>
  <c r="U364" i="1" s="1"/>
  <c r="W364" i="1" s="1"/>
  <c r="Y364" i="1" s="1"/>
  <c r="S1633" i="1"/>
  <c r="U1633" i="1" s="1"/>
  <c r="W1633" i="1" s="1"/>
  <c r="Y1633" i="1" s="1"/>
  <c r="AA1633" i="1" s="1"/>
  <c r="R1632" i="1"/>
  <c r="S919" i="1"/>
  <c r="U919" i="1" s="1"/>
  <c r="W919" i="1" s="1"/>
  <c r="Y919" i="1" s="1"/>
  <c r="AA919" i="1" s="1"/>
  <c r="R918" i="1"/>
  <c r="S918" i="1" s="1"/>
  <c r="U918" i="1" s="1"/>
  <c r="W918" i="1" s="1"/>
  <c r="Y918" i="1" s="1"/>
  <c r="S996" i="1"/>
  <c r="U996" i="1" s="1"/>
  <c r="W996" i="1" s="1"/>
  <c r="Y996" i="1" s="1"/>
  <c r="AA996" i="1" s="1"/>
  <c r="R995" i="1"/>
  <c r="S995" i="1" s="1"/>
  <c r="U995" i="1" s="1"/>
  <c r="W995" i="1" s="1"/>
  <c r="Y995" i="1" s="1"/>
  <c r="S318" i="1"/>
  <c r="U318" i="1" s="1"/>
  <c r="W318" i="1" s="1"/>
  <c r="Y318" i="1" s="1"/>
  <c r="AA318" i="1" s="1"/>
  <c r="R317" i="1"/>
  <c r="S317" i="1" s="1"/>
  <c r="U317" i="1" s="1"/>
  <c r="W317" i="1" s="1"/>
  <c r="Y317" i="1" s="1"/>
  <c r="S1632" i="1" l="1"/>
  <c r="U1632" i="1" s="1"/>
  <c r="W1632" i="1" s="1"/>
  <c r="Y1632" i="1" s="1"/>
  <c r="S255" i="1"/>
  <c r="U255" i="1" s="1"/>
  <c r="W255" i="1" s="1"/>
  <c r="Y255" i="1" s="1"/>
  <c r="AA255" i="1" s="1"/>
  <c r="R254" i="1"/>
  <c r="S254" i="1" s="1"/>
  <c r="U254" i="1" s="1"/>
  <c r="W254" i="1" s="1"/>
  <c r="Y254" i="1" s="1"/>
  <c r="S1837" i="1"/>
  <c r="U1837" i="1" s="1"/>
  <c r="W1837" i="1" s="1"/>
  <c r="Y1837" i="1" s="1"/>
  <c r="AA1837" i="1" s="1"/>
  <c r="R1836" i="1"/>
  <c r="S1836" i="1" s="1"/>
  <c r="U1836" i="1" s="1"/>
  <c r="W1836" i="1" s="1"/>
  <c r="Y1836" i="1" s="1"/>
  <c r="R1866" i="1" l="1"/>
  <c r="R1865" i="1" s="1"/>
  <c r="R1864" i="1" s="1"/>
  <c r="R1856" i="1"/>
  <c r="R1854" i="1"/>
  <c r="R1849" i="1"/>
  <c r="R1847" i="1"/>
  <c r="R1845" i="1"/>
  <c r="R1843" i="1"/>
  <c r="R1838" i="1"/>
  <c r="R1834" i="1"/>
  <c r="R1831" i="1"/>
  <c r="R1825" i="1"/>
  <c r="R1824" i="1" s="1"/>
  <c r="R1823" i="1" s="1"/>
  <c r="R1820" i="1"/>
  <c r="R1819" i="1" s="1"/>
  <c r="R1818" i="1" s="1"/>
  <c r="R1814" i="1"/>
  <c r="R1813" i="1" s="1"/>
  <c r="R1812" i="1" s="1"/>
  <c r="R1809" i="1"/>
  <c r="R1807" i="1"/>
  <c r="R1805" i="1"/>
  <c r="R1803" i="1"/>
  <c r="R1797" i="1"/>
  <c r="R1796" i="1" s="1"/>
  <c r="R1787" i="1"/>
  <c r="R1786" i="1" s="1"/>
  <c r="R1785" i="1" s="1"/>
  <c r="R1782" i="1"/>
  <c r="R1779" i="1"/>
  <c r="R1777" i="1"/>
  <c r="R1774" i="1"/>
  <c r="R1773" i="1" s="1"/>
  <c r="R1771" i="1"/>
  <c r="R1770" i="1" s="1"/>
  <c r="R1767" i="1"/>
  <c r="R1766" i="1" s="1"/>
  <c r="R1765" i="1" s="1"/>
  <c r="R1763" i="1"/>
  <c r="R1762" i="1" s="1"/>
  <c r="R1757" i="1"/>
  <c r="R1756" i="1" s="1"/>
  <c r="R1755" i="1" s="1"/>
  <c r="R1750" i="1"/>
  <c r="R1749" i="1" s="1"/>
  <c r="R1747" i="1"/>
  <c r="R1746" i="1" s="1"/>
  <c r="R1743" i="1"/>
  <c r="R1742" i="1" s="1"/>
  <c r="R1740" i="1"/>
  <c r="R1738" i="1"/>
  <c r="R1732" i="1"/>
  <c r="R1731" i="1" s="1"/>
  <c r="R1730" i="1" s="1"/>
  <c r="R1728" i="1"/>
  <c r="R1727" i="1" s="1"/>
  <c r="R1725" i="1"/>
  <c r="R1724" i="1" s="1"/>
  <c r="R1721" i="1"/>
  <c r="R1720" i="1" s="1"/>
  <c r="R1715" i="1"/>
  <c r="R1713" i="1"/>
  <c r="R1705" i="1"/>
  <c r="R1702" i="1"/>
  <c r="R1701" i="1" s="1"/>
  <c r="R1697" i="1"/>
  <c r="R1692" i="1"/>
  <c r="R1691" i="1" s="1"/>
  <c r="R1689" i="1"/>
  <c r="R1685" i="1"/>
  <c r="R1684" i="1" s="1"/>
  <c r="R1683" i="1" s="1"/>
  <c r="R1682" i="1" s="1"/>
  <c r="R1680" i="1"/>
  <c r="R1679" i="1" s="1"/>
  <c r="R1677" i="1"/>
  <c r="R1676" i="1" s="1"/>
  <c r="R1673" i="1"/>
  <c r="R1671" i="1"/>
  <c r="R1668" i="1"/>
  <c r="R1659" i="1"/>
  <c r="R1651" i="1"/>
  <c r="R1650" i="1" s="1"/>
  <c r="R1644" i="1"/>
  <c r="R1642" i="1"/>
  <c r="R1639" i="1"/>
  <c r="R1637" i="1"/>
  <c r="R1635" i="1"/>
  <c r="R1628" i="1"/>
  <c r="R1625" i="1"/>
  <c r="R1623" i="1"/>
  <c r="R1622" i="1" s="1"/>
  <c r="R1619" i="1"/>
  <c r="R1617" i="1"/>
  <c r="R1615" i="1"/>
  <c r="R1613" i="1"/>
  <c r="R1609" i="1"/>
  <c r="R1607" i="1"/>
  <c r="R1605" i="1"/>
  <c r="R1602" i="1"/>
  <c r="R1600" i="1"/>
  <c r="R1598" i="1"/>
  <c r="R1596" i="1"/>
  <c r="R1594" i="1"/>
  <c r="R1592" i="1"/>
  <c r="R1590" i="1"/>
  <c r="R1588" i="1"/>
  <c r="R1584" i="1"/>
  <c r="R1581" i="1"/>
  <c r="R1579" i="1"/>
  <c r="R1577" i="1"/>
  <c r="R1568" i="1"/>
  <c r="R1567" i="1" s="1"/>
  <c r="R1565" i="1"/>
  <c r="R1560" i="1"/>
  <c r="R1559" i="1" s="1"/>
  <c r="R1555" i="1"/>
  <c r="R1554" i="1" s="1"/>
  <c r="R1553" i="1" s="1"/>
  <c r="R1551" i="1"/>
  <c r="R1545" i="1"/>
  <c r="R1544" i="1" s="1"/>
  <c r="R1542" i="1"/>
  <c r="R1532" i="1"/>
  <c r="R1529" i="1"/>
  <c r="R1526" i="1"/>
  <c r="R1523" i="1"/>
  <c r="R1512" i="1"/>
  <c r="R1504" i="1"/>
  <c r="R1491" i="1"/>
  <c r="R1489" i="1"/>
  <c r="R1484" i="1"/>
  <c r="R1481" i="1"/>
  <c r="R1480" i="1" s="1"/>
  <c r="R1477" i="1"/>
  <c r="R1473" i="1"/>
  <c r="R1470" i="1"/>
  <c r="R1464" i="1"/>
  <c r="R1461" i="1" s="1"/>
  <c r="R1462" i="1"/>
  <c r="R1459" i="1"/>
  <c r="R1458" i="1" s="1"/>
  <c r="R1453" i="1"/>
  <c r="R1447" i="1"/>
  <c r="R1446" i="1" s="1"/>
  <c r="R1445" i="1" s="1"/>
  <c r="R1441" i="1"/>
  <c r="R1440" i="1" s="1"/>
  <c r="R1431" i="1"/>
  <c r="R1429" i="1"/>
  <c r="R1427" i="1"/>
  <c r="R1424" i="1"/>
  <c r="R1421" i="1" s="1"/>
  <c r="R1418" i="1"/>
  <c r="R1417" i="1" s="1"/>
  <c r="R1416" i="1" s="1"/>
  <c r="R1413" i="1"/>
  <c r="R1411" i="1"/>
  <c r="R1409" i="1"/>
  <c r="R1401" i="1"/>
  <c r="R1398" i="1"/>
  <c r="R1396" i="1"/>
  <c r="R1394" i="1"/>
  <c r="R1392" i="1"/>
  <c r="R1390" i="1"/>
  <c r="R1386" i="1"/>
  <c r="R1384" i="1"/>
  <c r="R1382" i="1"/>
  <c r="R1380" i="1"/>
  <c r="R1378" i="1"/>
  <c r="R1376" i="1"/>
  <c r="R1374" i="1"/>
  <c r="R1370" i="1"/>
  <c r="R1367" i="1"/>
  <c r="R1366" i="1" s="1"/>
  <c r="R1365" i="1" s="1"/>
  <c r="R1362" i="1"/>
  <c r="R1356" i="1"/>
  <c r="R1351" i="1"/>
  <c r="R1348" i="1"/>
  <c r="R1343" i="1"/>
  <c r="R1342" i="1" s="1"/>
  <c r="R1339" i="1"/>
  <c r="R1336" i="1"/>
  <c r="R1332" i="1"/>
  <c r="R1329" i="1"/>
  <c r="R1326" i="1"/>
  <c r="R1323" i="1"/>
  <c r="R1321" i="1"/>
  <c r="R1319" i="1"/>
  <c r="R1316" i="1"/>
  <c r="R1312" i="1"/>
  <c r="R1310" i="1"/>
  <c r="R1308" i="1"/>
  <c r="R1306" i="1"/>
  <c r="R1302" i="1"/>
  <c r="R1300" i="1"/>
  <c r="R1293" i="1"/>
  <c r="R1292" i="1" s="1"/>
  <c r="R1291" i="1" s="1"/>
  <c r="R1288" i="1"/>
  <c r="R1285" i="1"/>
  <c r="R1284" i="1" s="1"/>
  <c r="R1280" i="1"/>
  <c r="R1277" i="1"/>
  <c r="R1274" i="1"/>
  <c r="R1265" i="1"/>
  <c r="R1264" i="1" s="1"/>
  <c r="R1262" i="1"/>
  <c r="R1258" i="1"/>
  <c r="R1256" i="1"/>
  <c r="R1253" i="1"/>
  <c r="R1248" i="1"/>
  <c r="R1246" i="1"/>
  <c r="R1243" i="1"/>
  <c r="R1240" i="1"/>
  <c r="R1238" i="1"/>
  <c r="R1236" i="1"/>
  <c r="R1234" i="1"/>
  <c r="R1231" i="1"/>
  <c r="R1229" i="1"/>
  <c r="R1226" i="1"/>
  <c r="R1222" i="1"/>
  <c r="R1215" i="1"/>
  <c r="R1214" i="1" s="1"/>
  <c r="R1207" i="1"/>
  <c r="R1198" i="1"/>
  <c r="R1196" i="1"/>
  <c r="R1189" i="1"/>
  <c r="R1188" i="1" s="1"/>
  <c r="R1184" i="1"/>
  <c r="R1183" i="1" s="1"/>
  <c r="R1178" i="1"/>
  <c r="R1177" i="1" s="1"/>
  <c r="R1170" i="1"/>
  <c r="R1168" i="1"/>
  <c r="R1163" i="1"/>
  <c r="R1161" i="1"/>
  <c r="R1157" i="1"/>
  <c r="R1153" i="1"/>
  <c r="R1151" i="1"/>
  <c r="R1148" i="1"/>
  <c r="R1145" i="1"/>
  <c r="R1144" i="1" s="1"/>
  <c r="R1141" i="1"/>
  <c r="R1140" i="1" s="1"/>
  <c r="R1138" i="1"/>
  <c r="R1134" i="1"/>
  <c r="R1131" i="1"/>
  <c r="R1129" i="1"/>
  <c r="R1127" i="1"/>
  <c r="R1125" i="1"/>
  <c r="R1123" i="1"/>
  <c r="R1081" i="1"/>
  <c r="R1079" i="1"/>
  <c r="R1077" i="1"/>
  <c r="R1075" i="1"/>
  <c r="R1073" i="1"/>
  <c r="R1071" i="1"/>
  <c r="R1069" i="1"/>
  <c r="R1067" i="1"/>
  <c r="R1065" i="1"/>
  <c r="R1063" i="1"/>
  <c r="R1061" i="1"/>
  <c r="R1059" i="1"/>
  <c r="R1057" i="1"/>
  <c r="R1055" i="1"/>
  <c r="R1053" i="1"/>
  <c r="R1051" i="1"/>
  <c r="R1049" i="1"/>
  <c r="R1047" i="1"/>
  <c r="R1045" i="1"/>
  <c r="R1043" i="1"/>
  <c r="R1040" i="1"/>
  <c r="R1038" i="1"/>
  <c r="R1035" i="1"/>
  <c r="R1033" i="1"/>
  <c r="R1031" i="1"/>
  <c r="R1029" i="1"/>
  <c r="R1027" i="1"/>
  <c r="R1025" i="1"/>
  <c r="R1023" i="1"/>
  <c r="R1021" i="1"/>
  <c r="R1019" i="1"/>
  <c r="R1017" i="1"/>
  <c r="R1015" i="1"/>
  <c r="R1013" i="1"/>
  <c r="R1011" i="1"/>
  <c r="R1009" i="1"/>
  <c r="R1007" i="1"/>
  <c r="R1005" i="1"/>
  <c r="R1003" i="1"/>
  <c r="R1001" i="1"/>
  <c r="R999" i="1"/>
  <c r="R993" i="1"/>
  <c r="R989" i="1"/>
  <c r="R987" i="1"/>
  <c r="R985" i="1"/>
  <c r="R983" i="1"/>
  <c r="R979" i="1"/>
  <c r="R973" i="1"/>
  <c r="R972" i="1" s="1"/>
  <c r="R970" i="1"/>
  <c r="R968" i="1"/>
  <c r="R963" i="1"/>
  <c r="R961" i="1"/>
  <c r="R957" i="1"/>
  <c r="R951" i="1"/>
  <c r="R949" i="1"/>
  <c r="R946" i="1"/>
  <c r="R942" i="1"/>
  <c r="R939" i="1"/>
  <c r="R937" i="1"/>
  <c r="R934" i="1"/>
  <c r="R931" i="1"/>
  <c r="R929" i="1"/>
  <c r="R922" i="1"/>
  <c r="R920" i="1"/>
  <c r="R906" i="1"/>
  <c r="R904" i="1"/>
  <c r="R900" i="1"/>
  <c r="R898" i="1"/>
  <c r="R895" i="1"/>
  <c r="R889" i="1"/>
  <c r="R888" i="1" s="1"/>
  <c r="R882" i="1"/>
  <c r="R881" i="1" s="1"/>
  <c r="R879" i="1"/>
  <c r="R878" i="1" s="1"/>
  <c r="R874" i="1"/>
  <c r="R873" i="1" s="1"/>
  <c r="R872" i="1" s="1"/>
  <c r="R863" i="1"/>
  <c r="R856" i="1" s="1"/>
  <c r="R851" i="1"/>
  <c r="R849" i="1"/>
  <c r="R847" i="1"/>
  <c r="R843" i="1"/>
  <c r="R831" i="1"/>
  <c r="R822" i="1"/>
  <c r="R820" i="1"/>
  <c r="R814" i="1"/>
  <c r="R813" i="1" s="1"/>
  <c r="R812" i="1" s="1"/>
  <c r="R810" i="1"/>
  <c r="R807" i="1"/>
  <c r="R806" i="1" s="1"/>
  <c r="R804" i="1"/>
  <c r="R801" i="1"/>
  <c r="R800" i="1" s="1"/>
  <c r="R796" i="1"/>
  <c r="R794" i="1"/>
  <c r="R792" i="1"/>
  <c r="R790" i="1"/>
  <c r="R788" i="1"/>
  <c r="R784" i="1"/>
  <c r="R782" i="1"/>
  <c r="R780" i="1"/>
  <c r="R687" i="1"/>
  <c r="R685" i="1"/>
  <c r="R683" i="1"/>
  <c r="R681" i="1"/>
  <c r="R679" i="1"/>
  <c r="R677" i="1"/>
  <c r="R675" i="1"/>
  <c r="R673" i="1"/>
  <c r="R671" i="1"/>
  <c r="R669" i="1"/>
  <c r="R667" i="1"/>
  <c r="R665" i="1"/>
  <c r="R663" i="1"/>
  <c r="R661" i="1"/>
  <c r="R659" i="1"/>
  <c r="R657" i="1"/>
  <c r="R655" i="1"/>
  <c r="R653" i="1"/>
  <c r="R651" i="1"/>
  <c r="R649" i="1"/>
  <c r="R647" i="1"/>
  <c r="R645" i="1"/>
  <c r="R643" i="1"/>
  <c r="R641" i="1"/>
  <c r="R639" i="1"/>
  <c r="R637" i="1"/>
  <c r="R635" i="1"/>
  <c r="R633" i="1"/>
  <c r="R631" i="1"/>
  <c r="R629" i="1"/>
  <c r="R627" i="1"/>
  <c r="R625" i="1"/>
  <c r="R623" i="1"/>
  <c r="R621" i="1"/>
  <c r="R619" i="1"/>
  <c r="R617" i="1"/>
  <c r="R615" i="1"/>
  <c r="R613" i="1"/>
  <c r="R611" i="1"/>
  <c r="R609" i="1"/>
  <c r="R607" i="1"/>
  <c r="R605" i="1"/>
  <c r="R603" i="1"/>
  <c r="R601" i="1"/>
  <c r="R599" i="1"/>
  <c r="R597" i="1"/>
  <c r="R595" i="1"/>
  <c r="R593" i="1"/>
  <c r="R591" i="1"/>
  <c r="R589" i="1"/>
  <c r="R587" i="1"/>
  <c r="R585" i="1"/>
  <c r="R583" i="1"/>
  <c r="R581" i="1"/>
  <c r="R579" i="1"/>
  <c r="R577" i="1"/>
  <c r="R575" i="1"/>
  <c r="R573" i="1"/>
  <c r="R571" i="1"/>
  <c r="R569" i="1"/>
  <c r="R567" i="1"/>
  <c r="R565" i="1"/>
  <c r="R563" i="1"/>
  <c r="R561" i="1"/>
  <c r="R559" i="1"/>
  <c r="R557" i="1"/>
  <c r="R555" i="1"/>
  <c r="R553" i="1"/>
  <c r="R551" i="1"/>
  <c r="R549" i="1"/>
  <c r="R547" i="1"/>
  <c r="R545" i="1"/>
  <c r="R543" i="1"/>
  <c r="R541" i="1"/>
  <c r="R539" i="1"/>
  <c r="R537" i="1"/>
  <c r="R535" i="1"/>
  <c r="R533" i="1"/>
  <c r="R531" i="1"/>
  <c r="R529" i="1"/>
  <c r="R527" i="1"/>
  <c r="R525" i="1"/>
  <c r="R523" i="1"/>
  <c r="R521" i="1"/>
  <c r="R519" i="1"/>
  <c r="R517" i="1"/>
  <c r="R515" i="1"/>
  <c r="R513" i="1"/>
  <c r="R511" i="1"/>
  <c r="R509" i="1"/>
  <c r="R507" i="1"/>
  <c r="R505" i="1"/>
  <c r="R503" i="1"/>
  <c r="R501" i="1"/>
  <c r="R499" i="1"/>
  <c r="R497" i="1"/>
  <c r="R495" i="1"/>
  <c r="R493" i="1"/>
  <c r="R491" i="1"/>
  <c r="R489" i="1"/>
  <c r="R487" i="1"/>
  <c r="R485" i="1"/>
  <c r="R483" i="1"/>
  <c r="R481" i="1"/>
  <c r="R479" i="1"/>
  <c r="R477" i="1"/>
  <c r="R475" i="1"/>
  <c r="R473" i="1"/>
  <c r="R471" i="1"/>
  <c r="R469" i="1"/>
  <c r="R467" i="1"/>
  <c r="R465" i="1"/>
  <c r="R463" i="1"/>
  <c r="R461" i="1"/>
  <c r="R459" i="1"/>
  <c r="R457" i="1"/>
  <c r="R455" i="1"/>
  <c r="R453" i="1"/>
  <c r="R451" i="1"/>
  <c r="R449" i="1"/>
  <c r="R447" i="1"/>
  <c r="R445" i="1"/>
  <c r="R443" i="1"/>
  <c r="R441" i="1"/>
  <c r="R439" i="1"/>
  <c r="R437" i="1"/>
  <c r="R435" i="1"/>
  <c r="R433" i="1"/>
  <c r="R431" i="1"/>
  <c r="R429" i="1"/>
  <c r="R427" i="1"/>
  <c r="R425" i="1"/>
  <c r="R423" i="1"/>
  <c r="R421" i="1"/>
  <c r="R419" i="1"/>
  <c r="R416" i="1"/>
  <c r="R415" i="1" s="1"/>
  <c r="R413" i="1"/>
  <c r="R411" i="1"/>
  <c r="R409" i="1"/>
  <c r="R407" i="1"/>
  <c r="R405" i="1"/>
  <c r="R403" i="1"/>
  <c r="R401" i="1"/>
  <c r="R399" i="1"/>
  <c r="R397" i="1"/>
  <c r="R395" i="1"/>
  <c r="R393" i="1"/>
  <c r="R391" i="1"/>
  <c r="R389" i="1"/>
  <c r="R387" i="1"/>
  <c r="R385" i="1"/>
  <c r="R383" i="1"/>
  <c r="R381" i="1"/>
  <c r="R379" i="1"/>
  <c r="R377" i="1"/>
  <c r="R373" i="1"/>
  <c r="R371" i="1"/>
  <c r="R359" i="1"/>
  <c r="R358" i="1" s="1"/>
  <c r="R349" i="1"/>
  <c r="R347" i="1"/>
  <c r="R339" i="1"/>
  <c r="R336" i="1"/>
  <c r="R335" i="1" s="1"/>
  <c r="R329" i="1"/>
  <c r="R326" i="1" s="1"/>
  <c r="R320" i="1"/>
  <c r="R319" i="1" s="1"/>
  <c r="R316" i="1" s="1"/>
  <c r="R303" i="1"/>
  <c r="R299" i="1"/>
  <c r="R297" i="1"/>
  <c r="R292" i="1"/>
  <c r="R291" i="1" s="1"/>
  <c r="R286" i="1"/>
  <c r="R285" i="1" s="1"/>
  <c r="R281" i="1"/>
  <c r="R280" i="1" s="1"/>
  <c r="R279" i="1" s="1"/>
  <c r="R276" i="1"/>
  <c r="R266" i="1"/>
  <c r="R265" i="1" s="1"/>
  <c r="R261" i="1"/>
  <c r="R259" i="1"/>
  <c r="R256" i="1"/>
  <c r="R251" i="1"/>
  <c r="R247" i="1"/>
  <c r="R237" i="1"/>
  <c r="R234" i="1"/>
  <c r="R231" i="1"/>
  <c r="R227" i="1"/>
  <c r="R220" i="1" s="1"/>
  <c r="R218" i="1"/>
  <c r="R217" i="1" s="1"/>
  <c r="R215" i="1"/>
  <c r="R206" i="1"/>
  <c r="R201" i="1"/>
  <c r="R195" i="1"/>
  <c r="R183" i="1"/>
  <c r="R179" i="1" s="1"/>
  <c r="R173" i="1"/>
  <c r="R165" i="1"/>
  <c r="R158" i="1" s="1"/>
  <c r="R153" i="1"/>
  <c r="R145" i="1"/>
  <c r="R144" i="1" s="1"/>
  <c r="R137" i="1"/>
  <c r="R130" i="1" s="1"/>
  <c r="R120" i="1"/>
  <c r="R112" i="1"/>
  <c r="R111" i="1" s="1"/>
  <c r="R104" i="1"/>
  <c r="R103" i="1" s="1"/>
  <c r="R101" i="1"/>
  <c r="R95" i="1"/>
  <c r="R90" i="1"/>
  <c r="R78" i="1"/>
  <c r="R67" i="1"/>
  <c r="R53" i="1"/>
  <c r="R52" i="1" s="1"/>
  <c r="R46" i="1"/>
  <c r="R45" i="1" s="1"/>
  <c r="R41" i="1"/>
  <c r="R40" i="1" s="1"/>
  <c r="R39" i="1" s="1"/>
  <c r="R35" i="1"/>
  <c r="R21" i="1"/>
  <c r="R116" i="1" l="1"/>
  <c r="R115" i="1" s="1"/>
  <c r="R114" i="1" s="1"/>
  <c r="R60" i="1"/>
  <c r="R59" i="1" s="1"/>
  <c r="R1500" i="1"/>
  <c r="R1655" i="1"/>
  <c r="R1270" i="1"/>
  <c r="R1269" i="1" s="1"/>
  <c r="R827" i="1"/>
  <c r="R1406" i="1"/>
  <c r="R1405" i="1" s="1"/>
  <c r="R17" i="1"/>
  <c r="R16" i="1" s="1"/>
  <c r="R28" i="1"/>
  <c r="R27" i="1" s="1"/>
  <c r="R346" i="1"/>
  <c r="R345" i="1" s="1"/>
  <c r="R982" i="1"/>
  <c r="R981" i="1" s="1"/>
  <c r="R258" i="1"/>
  <c r="R253" i="1" s="1"/>
  <c r="R1195" i="1"/>
  <c r="R1194" i="1" s="1"/>
  <c r="R1388" i="1"/>
  <c r="R1737" i="1"/>
  <c r="R1736" i="1" s="1"/>
  <c r="R817" i="1"/>
  <c r="R816" i="1" s="1"/>
  <c r="R1469" i="1"/>
  <c r="R1468" i="1" s="1"/>
  <c r="R917" i="1"/>
  <c r="R1218" i="1"/>
  <c r="R967" i="1"/>
  <c r="R966" i="1" s="1"/>
  <c r="R1776" i="1"/>
  <c r="R1769" i="1" s="1"/>
  <c r="R1830" i="1"/>
  <c r="R1829" i="1" s="1"/>
  <c r="R960" i="1"/>
  <c r="R1255" i="1"/>
  <c r="R1252" i="1" s="1"/>
  <c r="R1251" i="1" s="1"/>
  <c r="R1167" i="1"/>
  <c r="R1166" i="1" s="1"/>
  <c r="R1165" i="1" s="1"/>
  <c r="R1426" i="1"/>
  <c r="R1420" i="1" s="1"/>
  <c r="R1160" i="1"/>
  <c r="R1159" i="1" s="1"/>
  <c r="R1587" i="1"/>
  <c r="R230" i="1"/>
  <c r="R1704" i="1"/>
  <c r="R1700" i="1" s="1"/>
  <c r="R1723" i="1"/>
  <c r="R1373" i="1"/>
  <c r="R1574" i="1"/>
  <c r="R418" i="1"/>
  <c r="R1457" i="1"/>
  <c r="R296" i="1"/>
  <c r="R290" i="1" s="1"/>
  <c r="R376" i="1"/>
  <c r="R894" i="1"/>
  <c r="R214" i="1"/>
  <c r="R846" i="1"/>
  <c r="R803" i="1"/>
  <c r="R903" i="1"/>
  <c r="R928" i="1"/>
  <c r="R1147" i="1"/>
  <c r="R1299" i="1"/>
  <c r="R1305" i="1"/>
  <c r="R1347" i="1"/>
  <c r="R1346" i="1" s="1"/>
  <c r="R1400" i="1"/>
  <c r="R278" i="1"/>
  <c r="R51" i="1"/>
  <c r="R110" i="1"/>
  <c r="R44" i="1"/>
  <c r="R143" i="1"/>
  <c r="R151" i="1"/>
  <c r="R194" i="1"/>
  <c r="R250" i="1"/>
  <c r="R264" i="1"/>
  <c r="R275" i="1"/>
  <c r="R325" i="1"/>
  <c r="R877" i="1"/>
  <c r="R175" i="1"/>
  <c r="R284" i="1"/>
  <c r="R338" i="1"/>
  <c r="R357" i="1"/>
  <c r="R809" i="1"/>
  <c r="R779" i="1"/>
  <c r="R1213" i="1"/>
  <c r="R1225" i="1"/>
  <c r="R1444" i="1"/>
  <c r="R1439" i="1"/>
  <c r="R954" i="1"/>
  <c r="R978" i="1"/>
  <c r="R1037" i="1"/>
  <c r="R1042" i="1"/>
  <c r="R1120" i="1"/>
  <c r="R1156" i="1"/>
  <c r="R1182" i="1"/>
  <c r="R1210" i="1"/>
  <c r="R1204" i="1" s="1"/>
  <c r="R1335" i="1"/>
  <c r="R1719" i="1"/>
  <c r="R1754" i="1"/>
  <c r="R998" i="1"/>
  <c r="R1541" i="1"/>
  <c r="R1558" i="1"/>
  <c r="R1688" i="1"/>
  <c r="R1761" i="1"/>
  <c r="R1795" i="1"/>
  <c r="R1863" i="1"/>
  <c r="R1452" i="1"/>
  <c r="R1612" i="1"/>
  <c r="R1675" i="1"/>
  <c r="R1817" i="1"/>
  <c r="R1488" i="1"/>
  <c r="R1522" i="1"/>
  <c r="R1550" i="1"/>
  <c r="R1564" i="1"/>
  <c r="R1634" i="1"/>
  <c r="R1641" i="1"/>
  <c r="R1696" i="1"/>
  <c r="R1745" i="1"/>
  <c r="R1802" i="1"/>
  <c r="P1043" i="1"/>
  <c r="P177" i="1"/>
  <c r="R826" i="1" l="1"/>
  <c r="R825" i="1" s="1"/>
  <c r="R1372" i="1"/>
  <c r="R1369" i="1" s="1"/>
  <c r="R1631" i="1"/>
  <c r="R213" i="1"/>
  <c r="R1217" i="1"/>
  <c r="R927" i="1"/>
  <c r="R926" i="1" s="1"/>
  <c r="R375" i="1"/>
  <c r="R370" i="1" s="1"/>
  <c r="R887" i="1"/>
  <c r="R886" i="1" s="1"/>
  <c r="R178" i="1"/>
  <c r="R1549" i="1"/>
  <c r="R1499" i="1"/>
  <c r="R1557" i="1"/>
  <c r="R1193" i="1"/>
  <c r="R1695" i="1"/>
  <c r="R1563" i="1"/>
  <c r="R1862" i="1"/>
  <c r="R1760" i="1"/>
  <c r="R1540" i="1"/>
  <c r="R997" i="1"/>
  <c r="R992" i="1" s="1"/>
  <c r="R1753" i="1"/>
  <c r="R1298" i="1"/>
  <c r="R1268" i="1" s="1"/>
  <c r="R1181" i="1"/>
  <c r="R1119" i="1"/>
  <c r="R312" i="1"/>
  <c r="R249" i="1"/>
  <c r="R150" i="1"/>
  <c r="R58" i="1"/>
  <c r="R1828" i="1"/>
  <c r="R1699" i="1"/>
  <c r="R1438" i="1"/>
  <c r="R1437" i="1" s="1"/>
  <c r="R356" i="1"/>
  <c r="R289" i="1"/>
  <c r="R172" i="1"/>
  <c r="R155" i="1" s="1"/>
  <c r="R142" i="1"/>
  <c r="R43" i="1"/>
  <c r="R1801" i="1"/>
  <c r="R1687" i="1"/>
  <c r="R1483" i="1"/>
  <c r="R1451" i="1"/>
  <c r="R1794" i="1"/>
  <c r="R1573" i="1"/>
  <c r="R1735" i="1"/>
  <c r="R344" i="1"/>
  <c r="R334" i="1"/>
  <c r="R274" i="1"/>
  <c r="R1654" i="1"/>
  <c r="R1155" i="1"/>
  <c r="R977" i="1"/>
  <c r="R1404" i="1"/>
  <c r="R778" i="1"/>
  <c r="R773" i="1" s="1"/>
  <c r="R916" i="1"/>
  <c r="R799" i="1"/>
  <c r="R876" i="1"/>
  <c r="R263" i="1"/>
  <c r="Q1428" i="1"/>
  <c r="S1428" i="1" s="1"/>
  <c r="U1428" i="1" s="1"/>
  <c r="W1428" i="1" s="1"/>
  <c r="Y1428" i="1" s="1"/>
  <c r="AA1428" i="1" s="1"/>
  <c r="P1427" i="1"/>
  <c r="Q1427" i="1" s="1"/>
  <c r="S1427" i="1" s="1"/>
  <c r="U1427" i="1" s="1"/>
  <c r="W1427" i="1" s="1"/>
  <c r="Y1427" i="1" s="1"/>
  <c r="R1572" i="1" l="1"/>
  <c r="R212" i="1"/>
  <c r="R1467" i="1"/>
  <c r="R798" i="1"/>
  <c r="R1403" i="1"/>
  <c r="R915" i="1"/>
  <c r="R273" i="1"/>
  <c r="R1203" i="1"/>
  <c r="R38" i="1"/>
  <c r="R288" i="1"/>
  <c r="R1827" i="1"/>
  <c r="R149" i="1"/>
  <c r="R324" i="1"/>
  <c r="R1180" i="1"/>
  <c r="R1759" i="1"/>
  <c r="R1192" i="1"/>
  <c r="R1267" i="1"/>
  <c r="R343" i="1"/>
  <c r="R1734" i="1"/>
  <c r="R1450" i="1"/>
  <c r="R1800" i="1"/>
  <c r="R885" i="1"/>
  <c r="R1118" i="1"/>
  <c r="R1694" i="1"/>
  <c r="R1548" i="1"/>
  <c r="R976" i="1"/>
  <c r="R369" i="1"/>
  <c r="P797" i="1"/>
  <c r="R1466" i="1" l="1"/>
  <c r="R368" i="1"/>
  <c r="R342" i="1" s="1"/>
  <c r="R1799" i="1"/>
  <c r="R1653" i="1"/>
  <c r="R1191" i="1"/>
  <c r="R311" i="1"/>
  <c r="R1202" i="1"/>
  <c r="R1117" i="1"/>
  <c r="R1449" i="1"/>
  <c r="R148" i="1"/>
  <c r="P1135" i="1"/>
  <c r="P1211" i="1"/>
  <c r="R272" i="1" l="1"/>
  <c r="R147" i="1"/>
  <c r="R1752" i="1"/>
  <c r="R975" i="1"/>
  <c r="R1571" i="1"/>
  <c r="R1201" i="1"/>
  <c r="P1230" i="1"/>
  <c r="R1200" i="1" l="1"/>
  <c r="R15" i="1"/>
  <c r="R884" i="1"/>
  <c r="P1875" i="1"/>
  <c r="R1870" i="1" l="1"/>
  <c r="R1874" i="1" s="1"/>
  <c r="R1872" i="1" s="1"/>
  <c r="R1868" i="1"/>
  <c r="Q1046" i="1"/>
  <c r="S1046" i="1" s="1"/>
  <c r="U1046" i="1" s="1"/>
  <c r="W1046" i="1" s="1"/>
  <c r="Y1046" i="1" s="1"/>
  <c r="AA1046" i="1" s="1"/>
  <c r="Q1048" i="1"/>
  <c r="S1048" i="1" s="1"/>
  <c r="U1048" i="1" s="1"/>
  <c r="W1048" i="1" s="1"/>
  <c r="Y1048" i="1" s="1"/>
  <c r="AA1048" i="1" s="1"/>
  <c r="Q1050" i="1"/>
  <c r="S1050" i="1" s="1"/>
  <c r="U1050" i="1" s="1"/>
  <c r="W1050" i="1" s="1"/>
  <c r="Y1050" i="1" s="1"/>
  <c r="AA1050" i="1" s="1"/>
  <c r="Q1643" i="1"/>
  <c r="S1643" i="1" s="1"/>
  <c r="U1643" i="1" s="1"/>
  <c r="W1643" i="1" s="1"/>
  <c r="Y1643" i="1" s="1"/>
  <c r="AA1643" i="1" s="1"/>
  <c r="Q1052" i="1"/>
  <c r="S1052" i="1" s="1"/>
  <c r="U1052" i="1" s="1"/>
  <c r="W1052" i="1" s="1"/>
  <c r="Y1052" i="1" s="1"/>
  <c r="AA1052" i="1" s="1"/>
  <c r="Q422" i="1"/>
  <c r="S422" i="1" s="1"/>
  <c r="U422" i="1" s="1"/>
  <c r="W422" i="1" s="1"/>
  <c r="Y422" i="1" s="1"/>
  <c r="AA422" i="1" s="1"/>
  <c r="Q424" i="1"/>
  <c r="S424" i="1" s="1"/>
  <c r="U424" i="1" s="1"/>
  <c r="W424" i="1" s="1"/>
  <c r="Y424" i="1" s="1"/>
  <c r="AA424" i="1" s="1"/>
  <c r="Q426" i="1"/>
  <c r="S426" i="1" s="1"/>
  <c r="U426" i="1" s="1"/>
  <c r="W426" i="1" s="1"/>
  <c r="Y426" i="1" s="1"/>
  <c r="AA426" i="1" s="1"/>
  <c r="Q428" i="1"/>
  <c r="S428" i="1" s="1"/>
  <c r="U428" i="1" s="1"/>
  <c r="W428" i="1" s="1"/>
  <c r="Y428" i="1" s="1"/>
  <c r="AA428" i="1" s="1"/>
  <c r="Q430" i="1"/>
  <c r="S430" i="1" s="1"/>
  <c r="U430" i="1" s="1"/>
  <c r="W430" i="1" s="1"/>
  <c r="Y430" i="1" s="1"/>
  <c r="AA430" i="1" s="1"/>
  <c r="Q432" i="1"/>
  <c r="S432" i="1" s="1"/>
  <c r="U432" i="1" s="1"/>
  <c r="W432" i="1" s="1"/>
  <c r="Y432" i="1" s="1"/>
  <c r="AA432" i="1" s="1"/>
  <c r="Q434" i="1"/>
  <c r="S434" i="1" s="1"/>
  <c r="U434" i="1" s="1"/>
  <c r="W434" i="1" s="1"/>
  <c r="Y434" i="1" s="1"/>
  <c r="AA434" i="1" s="1"/>
  <c r="Q436" i="1"/>
  <c r="S436" i="1" s="1"/>
  <c r="U436" i="1" s="1"/>
  <c r="W436" i="1" s="1"/>
  <c r="Y436" i="1" s="1"/>
  <c r="AA436" i="1" s="1"/>
  <c r="Q438" i="1"/>
  <c r="S438" i="1" s="1"/>
  <c r="U438" i="1" s="1"/>
  <c r="W438" i="1" s="1"/>
  <c r="Y438" i="1" s="1"/>
  <c r="AA438" i="1" s="1"/>
  <c r="Q440" i="1"/>
  <c r="S440" i="1" s="1"/>
  <c r="U440" i="1" s="1"/>
  <c r="W440" i="1" s="1"/>
  <c r="Y440" i="1" s="1"/>
  <c r="AA440" i="1" s="1"/>
  <c r="Q442" i="1"/>
  <c r="S442" i="1" s="1"/>
  <c r="U442" i="1" s="1"/>
  <c r="W442" i="1" s="1"/>
  <c r="Y442" i="1" s="1"/>
  <c r="AA442" i="1" s="1"/>
  <c r="Q1054" i="1"/>
  <c r="S1054" i="1" s="1"/>
  <c r="U1054" i="1" s="1"/>
  <c r="W1054" i="1" s="1"/>
  <c r="Y1054" i="1" s="1"/>
  <c r="AA1054" i="1" s="1"/>
  <c r="Q444" i="1"/>
  <c r="S444" i="1" s="1"/>
  <c r="U444" i="1" s="1"/>
  <c r="W444" i="1" s="1"/>
  <c r="Y444" i="1" s="1"/>
  <c r="AA444" i="1" s="1"/>
  <c r="Q446" i="1"/>
  <c r="S446" i="1" s="1"/>
  <c r="U446" i="1" s="1"/>
  <c r="W446" i="1" s="1"/>
  <c r="Y446" i="1" s="1"/>
  <c r="AA446" i="1" s="1"/>
  <c r="Q448" i="1"/>
  <c r="S448" i="1" s="1"/>
  <c r="U448" i="1" s="1"/>
  <c r="W448" i="1" s="1"/>
  <c r="Y448" i="1" s="1"/>
  <c r="AA448" i="1" s="1"/>
  <c r="Q450" i="1"/>
  <c r="S450" i="1" s="1"/>
  <c r="U450" i="1" s="1"/>
  <c r="W450" i="1" s="1"/>
  <c r="Y450" i="1" s="1"/>
  <c r="AA450" i="1" s="1"/>
  <c r="Q1056" i="1"/>
  <c r="S1056" i="1" s="1"/>
  <c r="U1056" i="1" s="1"/>
  <c r="W1056" i="1" s="1"/>
  <c r="Y1056" i="1" s="1"/>
  <c r="AA1056" i="1" s="1"/>
  <c r="Q452" i="1"/>
  <c r="S452" i="1" s="1"/>
  <c r="U452" i="1" s="1"/>
  <c r="W452" i="1" s="1"/>
  <c r="Y452" i="1" s="1"/>
  <c r="AA452" i="1" s="1"/>
  <c r="Q454" i="1"/>
  <c r="S454" i="1" s="1"/>
  <c r="U454" i="1" s="1"/>
  <c r="W454" i="1" s="1"/>
  <c r="Y454" i="1" s="1"/>
  <c r="AA454" i="1" s="1"/>
  <c r="Q456" i="1"/>
  <c r="S456" i="1" s="1"/>
  <c r="U456" i="1" s="1"/>
  <c r="W456" i="1" s="1"/>
  <c r="Y456" i="1" s="1"/>
  <c r="AA456" i="1" s="1"/>
  <c r="Q321" i="1"/>
  <c r="S321" i="1" s="1"/>
  <c r="U321" i="1" s="1"/>
  <c r="W321" i="1" s="1"/>
  <c r="Y321" i="1" s="1"/>
  <c r="AA321" i="1" s="1"/>
  <c r="Q458" i="1"/>
  <c r="S458" i="1" s="1"/>
  <c r="U458" i="1" s="1"/>
  <c r="W458" i="1" s="1"/>
  <c r="Y458" i="1" s="1"/>
  <c r="AA458" i="1" s="1"/>
  <c r="Q460" i="1"/>
  <c r="S460" i="1" s="1"/>
  <c r="U460" i="1" s="1"/>
  <c r="W460" i="1" s="1"/>
  <c r="Y460" i="1" s="1"/>
  <c r="AA460" i="1" s="1"/>
  <c r="Q462" i="1"/>
  <c r="S462" i="1" s="1"/>
  <c r="U462" i="1" s="1"/>
  <c r="W462" i="1" s="1"/>
  <c r="Y462" i="1" s="1"/>
  <c r="AA462" i="1" s="1"/>
  <c r="Q464" i="1"/>
  <c r="S464" i="1" s="1"/>
  <c r="U464" i="1" s="1"/>
  <c r="W464" i="1" s="1"/>
  <c r="Y464" i="1" s="1"/>
  <c r="AA464" i="1" s="1"/>
  <c r="Q1645" i="1"/>
  <c r="S1645" i="1" s="1"/>
  <c r="U1645" i="1" s="1"/>
  <c r="W1645" i="1" s="1"/>
  <c r="Y1645" i="1" s="1"/>
  <c r="AA1645" i="1" s="1"/>
  <c r="Q466" i="1"/>
  <c r="S466" i="1" s="1"/>
  <c r="U466" i="1" s="1"/>
  <c r="W466" i="1" s="1"/>
  <c r="Y466" i="1" s="1"/>
  <c r="AA466" i="1" s="1"/>
  <c r="Q1058" i="1"/>
  <c r="S1058" i="1" s="1"/>
  <c r="U1058" i="1" s="1"/>
  <c r="W1058" i="1" s="1"/>
  <c r="Y1058" i="1" s="1"/>
  <c r="AA1058" i="1" s="1"/>
  <c r="Q468" i="1"/>
  <c r="S468" i="1" s="1"/>
  <c r="U468" i="1" s="1"/>
  <c r="W468" i="1" s="1"/>
  <c r="Y468" i="1" s="1"/>
  <c r="AA468" i="1" s="1"/>
  <c r="Q470" i="1"/>
  <c r="S470" i="1" s="1"/>
  <c r="U470" i="1" s="1"/>
  <c r="W470" i="1" s="1"/>
  <c r="Y470" i="1" s="1"/>
  <c r="AA470" i="1" s="1"/>
  <c r="Q1060" i="1"/>
  <c r="S1060" i="1" s="1"/>
  <c r="U1060" i="1" s="1"/>
  <c r="W1060" i="1" s="1"/>
  <c r="Y1060" i="1" s="1"/>
  <c r="AA1060" i="1" s="1"/>
  <c r="Q1062" i="1"/>
  <c r="S1062" i="1" s="1"/>
  <c r="U1062" i="1" s="1"/>
  <c r="W1062" i="1" s="1"/>
  <c r="Y1062" i="1" s="1"/>
  <c r="AA1062" i="1" s="1"/>
  <c r="Q1064" i="1"/>
  <c r="S1064" i="1" s="1"/>
  <c r="U1064" i="1" s="1"/>
  <c r="W1064" i="1" s="1"/>
  <c r="Y1064" i="1" s="1"/>
  <c r="AA1064" i="1" s="1"/>
  <c r="Q472" i="1"/>
  <c r="S472" i="1" s="1"/>
  <c r="U472" i="1" s="1"/>
  <c r="W472" i="1" s="1"/>
  <c r="Y472" i="1" s="1"/>
  <c r="AA472" i="1" s="1"/>
  <c r="Q1066" i="1"/>
  <c r="S1066" i="1" s="1"/>
  <c r="U1066" i="1" s="1"/>
  <c r="W1066" i="1" s="1"/>
  <c r="Y1066" i="1" s="1"/>
  <c r="AA1066" i="1" s="1"/>
  <c r="Q1068" i="1"/>
  <c r="S1068" i="1" s="1"/>
  <c r="U1068" i="1" s="1"/>
  <c r="W1068" i="1" s="1"/>
  <c r="Y1068" i="1" s="1"/>
  <c r="AA1068" i="1" s="1"/>
  <c r="Q474" i="1"/>
  <c r="S474" i="1" s="1"/>
  <c r="U474" i="1" s="1"/>
  <c r="W474" i="1" s="1"/>
  <c r="Y474" i="1" s="1"/>
  <c r="AA474" i="1" s="1"/>
  <c r="Q476" i="1"/>
  <c r="S476" i="1" s="1"/>
  <c r="U476" i="1" s="1"/>
  <c r="W476" i="1" s="1"/>
  <c r="Y476" i="1" s="1"/>
  <c r="AA476" i="1" s="1"/>
  <c r="Q478" i="1"/>
  <c r="S478" i="1" s="1"/>
  <c r="U478" i="1" s="1"/>
  <c r="W478" i="1" s="1"/>
  <c r="Y478" i="1" s="1"/>
  <c r="AA478" i="1" s="1"/>
  <c r="Q1070" i="1"/>
  <c r="S1070" i="1" s="1"/>
  <c r="U1070" i="1" s="1"/>
  <c r="W1070" i="1" s="1"/>
  <c r="Y1070" i="1" s="1"/>
  <c r="AA1070" i="1" s="1"/>
  <c r="Q480" i="1"/>
  <c r="S480" i="1" s="1"/>
  <c r="U480" i="1" s="1"/>
  <c r="W480" i="1" s="1"/>
  <c r="Y480" i="1" s="1"/>
  <c r="AA480" i="1" s="1"/>
  <c r="Q482" i="1"/>
  <c r="S482" i="1" s="1"/>
  <c r="U482" i="1" s="1"/>
  <c r="W482" i="1" s="1"/>
  <c r="Y482" i="1" s="1"/>
  <c r="AA482" i="1" s="1"/>
  <c r="Q1072" i="1"/>
  <c r="S1072" i="1" s="1"/>
  <c r="U1072" i="1" s="1"/>
  <c r="W1072" i="1" s="1"/>
  <c r="Y1072" i="1" s="1"/>
  <c r="AA1072" i="1" s="1"/>
  <c r="Q484" i="1"/>
  <c r="S484" i="1" s="1"/>
  <c r="U484" i="1" s="1"/>
  <c r="W484" i="1" s="1"/>
  <c r="Y484" i="1" s="1"/>
  <c r="AA484" i="1" s="1"/>
  <c r="Q486" i="1"/>
  <c r="S486" i="1" s="1"/>
  <c r="U486" i="1" s="1"/>
  <c r="W486" i="1" s="1"/>
  <c r="Y486" i="1" s="1"/>
  <c r="AA486" i="1" s="1"/>
  <c r="Q488" i="1"/>
  <c r="S488" i="1" s="1"/>
  <c r="U488" i="1" s="1"/>
  <c r="W488" i="1" s="1"/>
  <c r="Y488" i="1" s="1"/>
  <c r="AA488" i="1" s="1"/>
  <c r="Q490" i="1"/>
  <c r="S490" i="1" s="1"/>
  <c r="U490" i="1" s="1"/>
  <c r="W490" i="1" s="1"/>
  <c r="Y490" i="1" s="1"/>
  <c r="AA490" i="1" s="1"/>
  <c r="Q492" i="1"/>
  <c r="S492" i="1" s="1"/>
  <c r="U492" i="1" s="1"/>
  <c r="W492" i="1" s="1"/>
  <c r="Y492" i="1" s="1"/>
  <c r="AA492" i="1" s="1"/>
  <c r="Q494" i="1"/>
  <c r="S494" i="1" s="1"/>
  <c r="U494" i="1" s="1"/>
  <c r="W494" i="1" s="1"/>
  <c r="Y494" i="1" s="1"/>
  <c r="AA494" i="1" s="1"/>
  <c r="Q496" i="1"/>
  <c r="S496" i="1" s="1"/>
  <c r="U496" i="1" s="1"/>
  <c r="W496" i="1" s="1"/>
  <c r="Y496" i="1" s="1"/>
  <c r="AA496" i="1" s="1"/>
  <c r="Q498" i="1"/>
  <c r="S498" i="1" s="1"/>
  <c r="U498" i="1" s="1"/>
  <c r="W498" i="1" s="1"/>
  <c r="Y498" i="1" s="1"/>
  <c r="AA498" i="1" s="1"/>
  <c r="Q500" i="1"/>
  <c r="S500" i="1" s="1"/>
  <c r="U500" i="1" s="1"/>
  <c r="W500" i="1" s="1"/>
  <c r="Y500" i="1" s="1"/>
  <c r="AA500" i="1" s="1"/>
  <c r="Q502" i="1"/>
  <c r="S502" i="1" s="1"/>
  <c r="U502" i="1" s="1"/>
  <c r="W502" i="1" s="1"/>
  <c r="Y502" i="1" s="1"/>
  <c r="AA502" i="1" s="1"/>
  <c r="Q504" i="1"/>
  <c r="S504" i="1" s="1"/>
  <c r="U504" i="1" s="1"/>
  <c r="W504" i="1" s="1"/>
  <c r="Y504" i="1" s="1"/>
  <c r="AA504" i="1" s="1"/>
  <c r="Q1074" i="1"/>
  <c r="S1074" i="1" s="1"/>
  <c r="U1074" i="1" s="1"/>
  <c r="W1074" i="1" s="1"/>
  <c r="Y1074" i="1" s="1"/>
  <c r="AA1074" i="1" s="1"/>
  <c r="Q506" i="1"/>
  <c r="S506" i="1" s="1"/>
  <c r="U506" i="1" s="1"/>
  <c r="W506" i="1" s="1"/>
  <c r="Y506" i="1" s="1"/>
  <c r="AA506" i="1" s="1"/>
  <c r="Q1076" i="1"/>
  <c r="S1076" i="1" s="1"/>
  <c r="U1076" i="1" s="1"/>
  <c r="W1076" i="1" s="1"/>
  <c r="Y1076" i="1" s="1"/>
  <c r="AA1076" i="1" s="1"/>
  <c r="Q508" i="1"/>
  <c r="S508" i="1" s="1"/>
  <c r="U508" i="1" s="1"/>
  <c r="W508" i="1" s="1"/>
  <c r="Y508" i="1" s="1"/>
  <c r="AA508" i="1" s="1"/>
  <c r="Q510" i="1"/>
  <c r="S510" i="1" s="1"/>
  <c r="U510" i="1" s="1"/>
  <c r="W510" i="1" s="1"/>
  <c r="Y510" i="1" s="1"/>
  <c r="AA510" i="1" s="1"/>
  <c r="Q512" i="1"/>
  <c r="S512" i="1" s="1"/>
  <c r="U512" i="1" s="1"/>
  <c r="W512" i="1" s="1"/>
  <c r="Y512" i="1" s="1"/>
  <c r="AA512" i="1" s="1"/>
  <c r="Q514" i="1"/>
  <c r="S514" i="1" s="1"/>
  <c r="U514" i="1" s="1"/>
  <c r="W514" i="1" s="1"/>
  <c r="Y514" i="1" s="1"/>
  <c r="AA514" i="1" s="1"/>
  <c r="Q516" i="1"/>
  <c r="S516" i="1" s="1"/>
  <c r="U516" i="1" s="1"/>
  <c r="W516" i="1" s="1"/>
  <c r="Y516" i="1" s="1"/>
  <c r="AA516" i="1" s="1"/>
  <c r="Q1078" i="1"/>
  <c r="S1078" i="1" s="1"/>
  <c r="U1078" i="1" s="1"/>
  <c r="W1078" i="1" s="1"/>
  <c r="Y1078" i="1" s="1"/>
  <c r="AA1078" i="1" s="1"/>
  <c r="Q518" i="1"/>
  <c r="S518" i="1" s="1"/>
  <c r="U518" i="1" s="1"/>
  <c r="W518" i="1" s="1"/>
  <c r="Y518" i="1" s="1"/>
  <c r="AA518" i="1" s="1"/>
  <c r="Q520" i="1"/>
  <c r="S520" i="1" s="1"/>
  <c r="U520" i="1" s="1"/>
  <c r="W520" i="1" s="1"/>
  <c r="Y520" i="1" s="1"/>
  <c r="AA520" i="1" s="1"/>
  <c r="Q522" i="1"/>
  <c r="S522" i="1" s="1"/>
  <c r="U522" i="1" s="1"/>
  <c r="W522" i="1" s="1"/>
  <c r="Y522" i="1" s="1"/>
  <c r="AA522" i="1" s="1"/>
  <c r="Q524" i="1"/>
  <c r="S524" i="1" s="1"/>
  <c r="U524" i="1" s="1"/>
  <c r="W524" i="1" s="1"/>
  <c r="Y524" i="1" s="1"/>
  <c r="AA524" i="1" s="1"/>
  <c r="Q526" i="1"/>
  <c r="S526" i="1" s="1"/>
  <c r="U526" i="1" s="1"/>
  <c r="W526" i="1" s="1"/>
  <c r="Y526" i="1" s="1"/>
  <c r="AA526" i="1" s="1"/>
  <c r="Q528" i="1"/>
  <c r="S528" i="1" s="1"/>
  <c r="U528" i="1" s="1"/>
  <c r="W528" i="1" s="1"/>
  <c r="Y528" i="1" s="1"/>
  <c r="AA528" i="1" s="1"/>
  <c r="Q530" i="1"/>
  <c r="S530" i="1" s="1"/>
  <c r="U530" i="1" s="1"/>
  <c r="W530" i="1" s="1"/>
  <c r="Y530" i="1" s="1"/>
  <c r="AA530" i="1" s="1"/>
  <c r="Q532" i="1"/>
  <c r="S532" i="1" s="1"/>
  <c r="U532" i="1" s="1"/>
  <c r="W532" i="1" s="1"/>
  <c r="Y532" i="1" s="1"/>
  <c r="AA532" i="1" s="1"/>
  <c r="Q534" i="1"/>
  <c r="S534" i="1" s="1"/>
  <c r="U534" i="1" s="1"/>
  <c r="W534" i="1" s="1"/>
  <c r="Y534" i="1" s="1"/>
  <c r="AA534" i="1" s="1"/>
  <c r="Q536" i="1"/>
  <c r="S536" i="1" s="1"/>
  <c r="U536" i="1" s="1"/>
  <c r="W536" i="1" s="1"/>
  <c r="Y536" i="1" s="1"/>
  <c r="AA536" i="1" s="1"/>
  <c r="Q538" i="1"/>
  <c r="S538" i="1" s="1"/>
  <c r="U538" i="1" s="1"/>
  <c r="W538" i="1" s="1"/>
  <c r="Y538" i="1" s="1"/>
  <c r="AA538" i="1" s="1"/>
  <c r="Q540" i="1"/>
  <c r="S540" i="1" s="1"/>
  <c r="U540" i="1" s="1"/>
  <c r="W540" i="1" s="1"/>
  <c r="Y540" i="1" s="1"/>
  <c r="AA540" i="1" s="1"/>
  <c r="Q542" i="1"/>
  <c r="S542" i="1" s="1"/>
  <c r="U542" i="1" s="1"/>
  <c r="W542" i="1" s="1"/>
  <c r="Y542" i="1" s="1"/>
  <c r="AA542" i="1" s="1"/>
  <c r="Q544" i="1"/>
  <c r="S544" i="1" s="1"/>
  <c r="U544" i="1" s="1"/>
  <c r="W544" i="1" s="1"/>
  <c r="Y544" i="1" s="1"/>
  <c r="AA544" i="1" s="1"/>
  <c r="Q1080" i="1"/>
  <c r="S1080" i="1" s="1"/>
  <c r="U1080" i="1" s="1"/>
  <c r="W1080" i="1" s="1"/>
  <c r="Y1080" i="1" s="1"/>
  <c r="AA1080" i="1" s="1"/>
  <c r="Q546" i="1"/>
  <c r="S546" i="1" s="1"/>
  <c r="U546" i="1" s="1"/>
  <c r="W546" i="1" s="1"/>
  <c r="Y546" i="1" s="1"/>
  <c r="AA546" i="1" s="1"/>
  <c r="Q548" i="1"/>
  <c r="S548" i="1" s="1"/>
  <c r="U548" i="1" s="1"/>
  <c r="W548" i="1" s="1"/>
  <c r="Y548" i="1" s="1"/>
  <c r="AA548" i="1" s="1"/>
  <c r="Q550" i="1"/>
  <c r="S550" i="1" s="1"/>
  <c r="U550" i="1" s="1"/>
  <c r="W550" i="1" s="1"/>
  <c r="Y550" i="1" s="1"/>
  <c r="AA550" i="1" s="1"/>
  <c r="Q552" i="1"/>
  <c r="S552" i="1" s="1"/>
  <c r="U552" i="1" s="1"/>
  <c r="W552" i="1" s="1"/>
  <c r="Y552" i="1" s="1"/>
  <c r="AA552" i="1" s="1"/>
  <c r="Q554" i="1"/>
  <c r="S554" i="1" s="1"/>
  <c r="U554" i="1" s="1"/>
  <c r="W554" i="1" s="1"/>
  <c r="Y554" i="1" s="1"/>
  <c r="AA554" i="1" s="1"/>
  <c r="Q556" i="1"/>
  <c r="S556" i="1" s="1"/>
  <c r="U556" i="1" s="1"/>
  <c r="W556" i="1" s="1"/>
  <c r="Y556" i="1" s="1"/>
  <c r="AA556" i="1" s="1"/>
  <c r="Q558" i="1"/>
  <c r="S558" i="1" s="1"/>
  <c r="U558" i="1" s="1"/>
  <c r="W558" i="1" s="1"/>
  <c r="Y558" i="1" s="1"/>
  <c r="AA558" i="1" s="1"/>
  <c r="Q560" i="1"/>
  <c r="S560" i="1" s="1"/>
  <c r="U560" i="1" s="1"/>
  <c r="W560" i="1" s="1"/>
  <c r="Y560" i="1" s="1"/>
  <c r="AA560" i="1" s="1"/>
  <c r="Q562" i="1"/>
  <c r="S562" i="1" s="1"/>
  <c r="U562" i="1" s="1"/>
  <c r="W562" i="1" s="1"/>
  <c r="Y562" i="1" s="1"/>
  <c r="AA562" i="1" s="1"/>
  <c r="Q564" i="1"/>
  <c r="S564" i="1" s="1"/>
  <c r="U564" i="1" s="1"/>
  <c r="W564" i="1" s="1"/>
  <c r="Y564" i="1" s="1"/>
  <c r="AA564" i="1" s="1"/>
  <c r="Q566" i="1"/>
  <c r="S566" i="1" s="1"/>
  <c r="U566" i="1" s="1"/>
  <c r="W566" i="1" s="1"/>
  <c r="Y566" i="1" s="1"/>
  <c r="AA566" i="1" s="1"/>
  <c r="Q568" i="1"/>
  <c r="S568" i="1" s="1"/>
  <c r="U568" i="1" s="1"/>
  <c r="W568" i="1" s="1"/>
  <c r="Y568" i="1" s="1"/>
  <c r="AA568" i="1" s="1"/>
  <c r="Q570" i="1"/>
  <c r="S570" i="1" s="1"/>
  <c r="U570" i="1" s="1"/>
  <c r="W570" i="1" s="1"/>
  <c r="Y570" i="1" s="1"/>
  <c r="AA570" i="1" s="1"/>
  <c r="Q572" i="1"/>
  <c r="S572" i="1" s="1"/>
  <c r="U572" i="1" s="1"/>
  <c r="W572" i="1" s="1"/>
  <c r="Y572" i="1" s="1"/>
  <c r="AA572" i="1" s="1"/>
  <c r="Q574" i="1"/>
  <c r="S574" i="1" s="1"/>
  <c r="U574" i="1" s="1"/>
  <c r="W574" i="1" s="1"/>
  <c r="Y574" i="1" s="1"/>
  <c r="AA574" i="1" s="1"/>
  <c r="Q576" i="1"/>
  <c r="S576" i="1" s="1"/>
  <c r="U576" i="1" s="1"/>
  <c r="W576" i="1" s="1"/>
  <c r="Y576" i="1" s="1"/>
  <c r="AA576" i="1" s="1"/>
  <c r="Q578" i="1"/>
  <c r="S578" i="1" s="1"/>
  <c r="U578" i="1" s="1"/>
  <c r="W578" i="1" s="1"/>
  <c r="Y578" i="1" s="1"/>
  <c r="AA578" i="1" s="1"/>
  <c r="Q580" i="1"/>
  <c r="S580" i="1" s="1"/>
  <c r="U580" i="1" s="1"/>
  <c r="W580" i="1" s="1"/>
  <c r="Y580" i="1" s="1"/>
  <c r="AA580" i="1" s="1"/>
  <c r="Q582" i="1"/>
  <c r="S582" i="1" s="1"/>
  <c r="U582" i="1" s="1"/>
  <c r="W582" i="1" s="1"/>
  <c r="Y582" i="1" s="1"/>
  <c r="AA582" i="1" s="1"/>
  <c r="Q584" i="1"/>
  <c r="S584" i="1" s="1"/>
  <c r="U584" i="1" s="1"/>
  <c r="W584" i="1" s="1"/>
  <c r="Y584" i="1" s="1"/>
  <c r="AA584" i="1" s="1"/>
  <c r="Q586" i="1"/>
  <c r="S586" i="1" s="1"/>
  <c r="U586" i="1" s="1"/>
  <c r="W586" i="1" s="1"/>
  <c r="Y586" i="1" s="1"/>
  <c r="AA586" i="1" s="1"/>
  <c r="Q588" i="1"/>
  <c r="S588" i="1" s="1"/>
  <c r="U588" i="1" s="1"/>
  <c r="W588" i="1" s="1"/>
  <c r="Y588" i="1" s="1"/>
  <c r="AA588" i="1" s="1"/>
  <c r="Q590" i="1"/>
  <c r="S590" i="1" s="1"/>
  <c r="U590" i="1" s="1"/>
  <c r="W590" i="1" s="1"/>
  <c r="Y590" i="1" s="1"/>
  <c r="AA590" i="1" s="1"/>
  <c r="Q592" i="1"/>
  <c r="S592" i="1" s="1"/>
  <c r="U592" i="1" s="1"/>
  <c r="W592" i="1" s="1"/>
  <c r="Y592" i="1" s="1"/>
  <c r="AA592" i="1" s="1"/>
  <c r="Q594" i="1"/>
  <c r="S594" i="1" s="1"/>
  <c r="U594" i="1" s="1"/>
  <c r="W594" i="1" s="1"/>
  <c r="Y594" i="1" s="1"/>
  <c r="AA594" i="1" s="1"/>
  <c r="Q596" i="1"/>
  <c r="S596" i="1" s="1"/>
  <c r="U596" i="1" s="1"/>
  <c r="W596" i="1" s="1"/>
  <c r="Y596" i="1" s="1"/>
  <c r="AA596" i="1" s="1"/>
  <c r="Q598" i="1"/>
  <c r="S598" i="1" s="1"/>
  <c r="U598" i="1" s="1"/>
  <c r="W598" i="1" s="1"/>
  <c r="Y598" i="1" s="1"/>
  <c r="AA598" i="1" s="1"/>
  <c r="Q600" i="1"/>
  <c r="S600" i="1" s="1"/>
  <c r="U600" i="1" s="1"/>
  <c r="W600" i="1" s="1"/>
  <c r="Y600" i="1" s="1"/>
  <c r="AA600" i="1" s="1"/>
  <c r="Q602" i="1"/>
  <c r="S602" i="1" s="1"/>
  <c r="U602" i="1" s="1"/>
  <c r="W602" i="1" s="1"/>
  <c r="Y602" i="1" s="1"/>
  <c r="AA602" i="1" s="1"/>
  <c r="Q604" i="1"/>
  <c r="S604" i="1" s="1"/>
  <c r="U604" i="1" s="1"/>
  <c r="W604" i="1" s="1"/>
  <c r="Y604" i="1" s="1"/>
  <c r="AA604" i="1" s="1"/>
  <c r="Q606" i="1"/>
  <c r="S606" i="1" s="1"/>
  <c r="U606" i="1" s="1"/>
  <c r="W606" i="1" s="1"/>
  <c r="Y606" i="1" s="1"/>
  <c r="AA606" i="1" s="1"/>
  <c r="Q608" i="1"/>
  <c r="S608" i="1" s="1"/>
  <c r="U608" i="1" s="1"/>
  <c r="W608" i="1" s="1"/>
  <c r="Y608" i="1" s="1"/>
  <c r="AA608" i="1" s="1"/>
  <c r="Q610" i="1"/>
  <c r="S610" i="1" s="1"/>
  <c r="U610" i="1" s="1"/>
  <c r="W610" i="1" s="1"/>
  <c r="Y610" i="1" s="1"/>
  <c r="AA610" i="1" s="1"/>
  <c r="Q612" i="1"/>
  <c r="S612" i="1" s="1"/>
  <c r="U612" i="1" s="1"/>
  <c r="W612" i="1" s="1"/>
  <c r="Y612" i="1" s="1"/>
  <c r="AA612" i="1" s="1"/>
  <c r="Q614" i="1"/>
  <c r="S614" i="1" s="1"/>
  <c r="U614" i="1" s="1"/>
  <c r="W614" i="1" s="1"/>
  <c r="Y614" i="1" s="1"/>
  <c r="AA614" i="1" s="1"/>
  <c r="Q616" i="1"/>
  <c r="S616" i="1" s="1"/>
  <c r="U616" i="1" s="1"/>
  <c r="W616" i="1" s="1"/>
  <c r="Y616" i="1" s="1"/>
  <c r="AA616" i="1" s="1"/>
  <c r="Q618" i="1"/>
  <c r="S618" i="1" s="1"/>
  <c r="U618" i="1" s="1"/>
  <c r="W618" i="1" s="1"/>
  <c r="Y618" i="1" s="1"/>
  <c r="AA618" i="1" s="1"/>
  <c r="Q620" i="1"/>
  <c r="S620" i="1" s="1"/>
  <c r="U620" i="1" s="1"/>
  <c r="W620" i="1" s="1"/>
  <c r="Y620" i="1" s="1"/>
  <c r="AA620" i="1" s="1"/>
  <c r="Q622" i="1"/>
  <c r="S622" i="1" s="1"/>
  <c r="U622" i="1" s="1"/>
  <c r="W622" i="1" s="1"/>
  <c r="Y622" i="1" s="1"/>
  <c r="AA622" i="1" s="1"/>
  <c r="Q624" i="1"/>
  <c r="S624" i="1" s="1"/>
  <c r="U624" i="1" s="1"/>
  <c r="W624" i="1" s="1"/>
  <c r="Y624" i="1" s="1"/>
  <c r="AA624" i="1" s="1"/>
  <c r="Q626" i="1"/>
  <c r="S626" i="1" s="1"/>
  <c r="U626" i="1" s="1"/>
  <c r="W626" i="1" s="1"/>
  <c r="Y626" i="1" s="1"/>
  <c r="AA626" i="1" s="1"/>
  <c r="Q628" i="1"/>
  <c r="S628" i="1" s="1"/>
  <c r="U628" i="1" s="1"/>
  <c r="W628" i="1" s="1"/>
  <c r="Y628" i="1" s="1"/>
  <c r="AA628" i="1" s="1"/>
  <c r="Q630" i="1"/>
  <c r="S630" i="1" s="1"/>
  <c r="U630" i="1" s="1"/>
  <c r="W630" i="1" s="1"/>
  <c r="Y630" i="1" s="1"/>
  <c r="AA630" i="1" s="1"/>
  <c r="Q632" i="1"/>
  <c r="S632" i="1" s="1"/>
  <c r="U632" i="1" s="1"/>
  <c r="W632" i="1" s="1"/>
  <c r="Y632" i="1" s="1"/>
  <c r="AA632" i="1" s="1"/>
  <c r="Q634" i="1"/>
  <c r="S634" i="1" s="1"/>
  <c r="U634" i="1" s="1"/>
  <c r="W634" i="1" s="1"/>
  <c r="Y634" i="1" s="1"/>
  <c r="AA634" i="1" s="1"/>
  <c r="Q636" i="1"/>
  <c r="S636" i="1" s="1"/>
  <c r="U636" i="1" s="1"/>
  <c r="W636" i="1" s="1"/>
  <c r="Y636" i="1" s="1"/>
  <c r="AA636" i="1" s="1"/>
  <c r="Q638" i="1"/>
  <c r="S638" i="1" s="1"/>
  <c r="U638" i="1" s="1"/>
  <c r="W638" i="1" s="1"/>
  <c r="Y638" i="1" s="1"/>
  <c r="AA638" i="1" s="1"/>
  <c r="Q640" i="1"/>
  <c r="S640" i="1" s="1"/>
  <c r="U640" i="1" s="1"/>
  <c r="W640" i="1" s="1"/>
  <c r="Y640" i="1" s="1"/>
  <c r="AA640" i="1" s="1"/>
  <c r="Q642" i="1"/>
  <c r="S642" i="1" s="1"/>
  <c r="U642" i="1" s="1"/>
  <c r="W642" i="1" s="1"/>
  <c r="Y642" i="1" s="1"/>
  <c r="AA642" i="1" s="1"/>
  <c r="Q644" i="1"/>
  <c r="S644" i="1" s="1"/>
  <c r="U644" i="1" s="1"/>
  <c r="W644" i="1" s="1"/>
  <c r="Y644" i="1" s="1"/>
  <c r="AA644" i="1" s="1"/>
  <c r="Q646" i="1"/>
  <c r="S646" i="1" s="1"/>
  <c r="U646" i="1" s="1"/>
  <c r="W646" i="1" s="1"/>
  <c r="Y646" i="1" s="1"/>
  <c r="AA646" i="1" s="1"/>
  <c r="Q648" i="1"/>
  <c r="S648" i="1" s="1"/>
  <c r="U648" i="1" s="1"/>
  <c r="W648" i="1" s="1"/>
  <c r="Y648" i="1" s="1"/>
  <c r="AA648" i="1" s="1"/>
  <c r="Q650" i="1"/>
  <c r="S650" i="1" s="1"/>
  <c r="U650" i="1" s="1"/>
  <c r="W650" i="1" s="1"/>
  <c r="Y650" i="1" s="1"/>
  <c r="AA650" i="1" s="1"/>
  <c r="Q652" i="1"/>
  <c r="S652" i="1" s="1"/>
  <c r="U652" i="1" s="1"/>
  <c r="W652" i="1" s="1"/>
  <c r="Y652" i="1" s="1"/>
  <c r="AA652" i="1" s="1"/>
  <c r="Q654" i="1"/>
  <c r="S654" i="1" s="1"/>
  <c r="U654" i="1" s="1"/>
  <c r="W654" i="1" s="1"/>
  <c r="Y654" i="1" s="1"/>
  <c r="AA654" i="1" s="1"/>
  <c r="Q656" i="1"/>
  <c r="S656" i="1" s="1"/>
  <c r="U656" i="1" s="1"/>
  <c r="W656" i="1" s="1"/>
  <c r="Y656" i="1" s="1"/>
  <c r="AA656" i="1" s="1"/>
  <c r="Q658" i="1"/>
  <c r="S658" i="1" s="1"/>
  <c r="U658" i="1" s="1"/>
  <c r="W658" i="1" s="1"/>
  <c r="Y658" i="1" s="1"/>
  <c r="AA658" i="1" s="1"/>
  <c r="Q660" i="1"/>
  <c r="S660" i="1" s="1"/>
  <c r="U660" i="1" s="1"/>
  <c r="W660" i="1" s="1"/>
  <c r="Y660" i="1" s="1"/>
  <c r="AA660" i="1" s="1"/>
  <c r="Q662" i="1"/>
  <c r="S662" i="1" s="1"/>
  <c r="U662" i="1" s="1"/>
  <c r="W662" i="1" s="1"/>
  <c r="Y662" i="1" s="1"/>
  <c r="AA662" i="1" s="1"/>
  <c r="Q664" i="1"/>
  <c r="S664" i="1" s="1"/>
  <c r="U664" i="1" s="1"/>
  <c r="W664" i="1" s="1"/>
  <c r="Y664" i="1" s="1"/>
  <c r="AA664" i="1" s="1"/>
  <c r="Q666" i="1"/>
  <c r="S666" i="1" s="1"/>
  <c r="U666" i="1" s="1"/>
  <c r="W666" i="1" s="1"/>
  <c r="Y666" i="1" s="1"/>
  <c r="AA666" i="1" s="1"/>
  <c r="Q668" i="1"/>
  <c r="S668" i="1" s="1"/>
  <c r="U668" i="1" s="1"/>
  <c r="W668" i="1" s="1"/>
  <c r="Y668" i="1" s="1"/>
  <c r="AA668" i="1" s="1"/>
  <c r="Q670" i="1"/>
  <c r="S670" i="1" s="1"/>
  <c r="U670" i="1" s="1"/>
  <c r="W670" i="1" s="1"/>
  <c r="Y670" i="1" s="1"/>
  <c r="AA670" i="1" s="1"/>
  <c r="Q672" i="1"/>
  <c r="S672" i="1" s="1"/>
  <c r="U672" i="1" s="1"/>
  <c r="W672" i="1" s="1"/>
  <c r="Y672" i="1" s="1"/>
  <c r="AA672" i="1" s="1"/>
  <c r="Q674" i="1"/>
  <c r="S674" i="1" s="1"/>
  <c r="U674" i="1" s="1"/>
  <c r="W674" i="1" s="1"/>
  <c r="Y674" i="1" s="1"/>
  <c r="AA674" i="1" s="1"/>
  <c r="Q676" i="1"/>
  <c r="S676" i="1" s="1"/>
  <c r="U676" i="1" s="1"/>
  <c r="W676" i="1" s="1"/>
  <c r="Y676" i="1" s="1"/>
  <c r="AA676" i="1" s="1"/>
  <c r="Q1082" i="1"/>
  <c r="S1082" i="1" s="1"/>
  <c r="U1082" i="1" s="1"/>
  <c r="W1082" i="1" s="1"/>
  <c r="Y1082" i="1" s="1"/>
  <c r="AA1082" i="1" s="1"/>
  <c r="Q678" i="1"/>
  <c r="S678" i="1" s="1"/>
  <c r="U678" i="1" s="1"/>
  <c r="W678" i="1" s="1"/>
  <c r="Y678" i="1" s="1"/>
  <c r="AA678" i="1" s="1"/>
  <c r="Q680" i="1"/>
  <c r="S680" i="1" s="1"/>
  <c r="U680" i="1" s="1"/>
  <c r="W680" i="1" s="1"/>
  <c r="Y680" i="1" s="1"/>
  <c r="AA680" i="1" s="1"/>
  <c r="Q682" i="1"/>
  <c r="S682" i="1" s="1"/>
  <c r="U682" i="1" s="1"/>
  <c r="W682" i="1" s="1"/>
  <c r="Y682" i="1" s="1"/>
  <c r="AA682" i="1" s="1"/>
  <c r="Q684" i="1"/>
  <c r="S684" i="1" s="1"/>
  <c r="U684" i="1" s="1"/>
  <c r="W684" i="1" s="1"/>
  <c r="Y684" i="1" s="1"/>
  <c r="AA684" i="1" s="1"/>
  <c r="Q686" i="1"/>
  <c r="S686" i="1" s="1"/>
  <c r="U686" i="1" s="1"/>
  <c r="W686" i="1" s="1"/>
  <c r="Y686" i="1" s="1"/>
  <c r="AA686" i="1" s="1"/>
  <c r="Q688" i="1"/>
  <c r="S688" i="1" s="1"/>
  <c r="U688" i="1" s="1"/>
  <c r="W688" i="1" s="1"/>
  <c r="Y688" i="1" s="1"/>
  <c r="AA688" i="1" s="1"/>
  <c r="P687" i="1"/>
  <c r="Q687" i="1" s="1"/>
  <c r="S687" i="1" s="1"/>
  <c r="U687" i="1" s="1"/>
  <c r="W687" i="1" s="1"/>
  <c r="Y687" i="1" s="1"/>
  <c r="P685" i="1"/>
  <c r="Q685" i="1" s="1"/>
  <c r="S685" i="1" s="1"/>
  <c r="U685" i="1" s="1"/>
  <c r="W685" i="1" s="1"/>
  <c r="Y685" i="1" s="1"/>
  <c r="P683" i="1"/>
  <c r="Q683" i="1" s="1"/>
  <c r="S683" i="1" s="1"/>
  <c r="U683" i="1" s="1"/>
  <c r="W683" i="1" s="1"/>
  <c r="Y683" i="1" s="1"/>
  <c r="P681" i="1"/>
  <c r="Q681" i="1" s="1"/>
  <c r="S681" i="1" s="1"/>
  <c r="U681" i="1" s="1"/>
  <c r="W681" i="1" s="1"/>
  <c r="Y681" i="1" s="1"/>
  <c r="P679" i="1"/>
  <c r="Q679" i="1" s="1"/>
  <c r="S679" i="1" s="1"/>
  <c r="U679" i="1" s="1"/>
  <c r="W679" i="1" s="1"/>
  <c r="Y679" i="1" s="1"/>
  <c r="P677" i="1"/>
  <c r="Q677" i="1" s="1"/>
  <c r="S677" i="1" s="1"/>
  <c r="U677" i="1" s="1"/>
  <c r="W677" i="1" s="1"/>
  <c r="Y677" i="1" s="1"/>
  <c r="P1081" i="1"/>
  <c r="Q1081" i="1" s="1"/>
  <c r="S1081" i="1" s="1"/>
  <c r="U1081" i="1" s="1"/>
  <c r="W1081" i="1" s="1"/>
  <c r="Y1081" i="1" s="1"/>
  <c r="P675" i="1"/>
  <c r="Q675" i="1" s="1"/>
  <c r="S675" i="1" s="1"/>
  <c r="U675" i="1" s="1"/>
  <c r="W675" i="1" s="1"/>
  <c r="Y675" i="1" s="1"/>
  <c r="P673" i="1"/>
  <c r="Q673" i="1" s="1"/>
  <c r="S673" i="1" s="1"/>
  <c r="U673" i="1" s="1"/>
  <c r="W673" i="1" s="1"/>
  <c r="Y673" i="1" s="1"/>
  <c r="P671" i="1"/>
  <c r="Q671" i="1" s="1"/>
  <c r="S671" i="1" s="1"/>
  <c r="U671" i="1" s="1"/>
  <c r="W671" i="1" s="1"/>
  <c r="Y671" i="1" s="1"/>
  <c r="P669" i="1"/>
  <c r="Q669" i="1" s="1"/>
  <c r="S669" i="1" s="1"/>
  <c r="U669" i="1" s="1"/>
  <c r="W669" i="1" s="1"/>
  <c r="Y669" i="1" s="1"/>
  <c r="P667" i="1"/>
  <c r="Q667" i="1" s="1"/>
  <c r="S667" i="1" s="1"/>
  <c r="U667" i="1" s="1"/>
  <c r="W667" i="1" s="1"/>
  <c r="Y667" i="1" s="1"/>
  <c r="P665" i="1"/>
  <c r="Q665" i="1" s="1"/>
  <c r="S665" i="1" s="1"/>
  <c r="U665" i="1" s="1"/>
  <c r="W665" i="1" s="1"/>
  <c r="Y665" i="1" s="1"/>
  <c r="P663" i="1"/>
  <c r="Q663" i="1" s="1"/>
  <c r="S663" i="1" s="1"/>
  <c r="U663" i="1" s="1"/>
  <c r="W663" i="1" s="1"/>
  <c r="Y663" i="1" s="1"/>
  <c r="P661" i="1"/>
  <c r="Q661" i="1" s="1"/>
  <c r="S661" i="1" s="1"/>
  <c r="U661" i="1" s="1"/>
  <c r="W661" i="1" s="1"/>
  <c r="Y661" i="1" s="1"/>
  <c r="P659" i="1"/>
  <c r="Q659" i="1" s="1"/>
  <c r="S659" i="1" s="1"/>
  <c r="U659" i="1" s="1"/>
  <c r="W659" i="1" s="1"/>
  <c r="Y659" i="1" s="1"/>
  <c r="P657" i="1"/>
  <c r="Q657" i="1" s="1"/>
  <c r="S657" i="1" s="1"/>
  <c r="U657" i="1" s="1"/>
  <c r="W657" i="1" s="1"/>
  <c r="Y657" i="1" s="1"/>
  <c r="P655" i="1"/>
  <c r="Q655" i="1" s="1"/>
  <c r="S655" i="1" s="1"/>
  <c r="U655" i="1" s="1"/>
  <c r="W655" i="1" s="1"/>
  <c r="Y655" i="1" s="1"/>
  <c r="P653" i="1"/>
  <c r="Q653" i="1" s="1"/>
  <c r="S653" i="1" s="1"/>
  <c r="U653" i="1" s="1"/>
  <c r="W653" i="1" s="1"/>
  <c r="Y653" i="1" s="1"/>
  <c r="P651" i="1"/>
  <c r="Q651" i="1" s="1"/>
  <c r="S651" i="1" s="1"/>
  <c r="U651" i="1" s="1"/>
  <c r="W651" i="1" s="1"/>
  <c r="Y651" i="1" s="1"/>
  <c r="P649" i="1"/>
  <c r="Q649" i="1" s="1"/>
  <c r="S649" i="1" s="1"/>
  <c r="U649" i="1" s="1"/>
  <c r="W649" i="1" s="1"/>
  <c r="Y649" i="1" s="1"/>
  <c r="P647" i="1"/>
  <c r="Q647" i="1" s="1"/>
  <c r="S647" i="1" s="1"/>
  <c r="U647" i="1" s="1"/>
  <c r="W647" i="1" s="1"/>
  <c r="Y647" i="1" s="1"/>
  <c r="P645" i="1"/>
  <c r="Q645" i="1" s="1"/>
  <c r="S645" i="1" s="1"/>
  <c r="U645" i="1" s="1"/>
  <c r="W645" i="1" s="1"/>
  <c r="Y645" i="1" s="1"/>
  <c r="P643" i="1"/>
  <c r="Q643" i="1" s="1"/>
  <c r="S643" i="1" s="1"/>
  <c r="U643" i="1" s="1"/>
  <c r="W643" i="1" s="1"/>
  <c r="Y643" i="1" s="1"/>
  <c r="P641" i="1"/>
  <c r="Q641" i="1" s="1"/>
  <c r="S641" i="1" s="1"/>
  <c r="U641" i="1" s="1"/>
  <c r="W641" i="1" s="1"/>
  <c r="Y641" i="1" s="1"/>
  <c r="P639" i="1"/>
  <c r="Q639" i="1" s="1"/>
  <c r="S639" i="1" s="1"/>
  <c r="U639" i="1" s="1"/>
  <c r="W639" i="1" s="1"/>
  <c r="Y639" i="1" s="1"/>
  <c r="P637" i="1"/>
  <c r="Q637" i="1" s="1"/>
  <c r="S637" i="1" s="1"/>
  <c r="U637" i="1" s="1"/>
  <c r="W637" i="1" s="1"/>
  <c r="Y637" i="1" s="1"/>
  <c r="P635" i="1"/>
  <c r="Q635" i="1" s="1"/>
  <c r="S635" i="1" s="1"/>
  <c r="U635" i="1" s="1"/>
  <c r="W635" i="1" s="1"/>
  <c r="Y635" i="1" s="1"/>
  <c r="P633" i="1"/>
  <c r="Q633" i="1" s="1"/>
  <c r="S633" i="1" s="1"/>
  <c r="U633" i="1" s="1"/>
  <c r="W633" i="1" s="1"/>
  <c r="Y633" i="1" s="1"/>
  <c r="P631" i="1"/>
  <c r="Q631" i="1" s="1"/>
  <c r="S631" i="1" s="1"/>
  <c r="U631" i="1" s="1"/>
  <c r="W631" i="1" s="1"/>
  <c r="Y631" i="1" s="1"/>
  <c r="P629" i="1"/>
  <c r="Q629" i="1" s="1"/>
  <c r="S629" i="1" s="1"/>
  <c r="U629" i="1" s="1"/>
  <c r="W629" i="1" s="1"/>
  <c r="Y629" i="1" s="1"/>
  <c r="P627" i="1"/>
  <c r="Q627" i="1" s="1"/>
  <c r="S627" i="1" s="1"/>
  <c r="U627" i="1" s="1"/>
  <c r="W627" i="1" s="1"/>
  <c r="Y627" i="1" s="1"/>
  <c r="P625" i="1"/>
  <c r="Q625" i="1" s="1"/>
  <c r="S625" i="1" s="1"/>
  <c r="U625" i="1" s="1"/>
  <c r="W625" i="1" s="1"/>
  <c r="Y625" i="1" s="1"/>
  <c r="P623" i="1"/>
  <c r="Q623" i="1" s="1"/>
  <c r="S623" i="1" s="1"/>
  <c r="U623" i="1" s="1"/>
  <c r="W623" i="1" s="1"/>
  <c r="Y623" i="1" s="1"/>
  <c r="P621" i="1"/>
  <c r="Q621" i="1" s="1"/>
  <c r="S621" i="1" s="1"/>
  <c r="U621" i="1" s="1"/>
  <c r="W621" i="1" s="1"/>
  <c r="Y621" i="1" s="1"/>
  <c r="P619" i="1"/>
  <c r="Q619" i="1" s="1"/>
  <c r="S619" i="1" s="1"/>
  <c r="U619" i="1" s="1"/>
  <c r="W619" i="1" s="1"/>
  <c r="Y619" i="1" s="1"/>
  <c r="P617" i="1"/>
  <c r="Q617" i="1" s="1"/>
  <c r="S617" i="1" s="1"/>
  <c r="U617" i="1" s="1"/>
  <c r="W617" i="1" s="1"/>
  <c r="Y617" i="1" s="1"/>
  <c r="P615" i="1"/>
  <c r="Q615" i="1" s="1"/>
  <c r="S615" i="1" s="1"/>
  <c r="U615" i="1" s="1"/>
  <c r="W615" i="1" s="1"/>
  <c r="Y615" i="1" s="1"/>
  <c r="P613" i="1"/>
  <c r="Q613" i="1" s="1"/>
  <c r="S613" i="1" s="1"/>
  <c r="U613" i="1" s="1"/>
  <c r="W613" i="1" s="1"/>
  <c r="Y613" i="1" s="1"/>
  <c r="P611" i="1"/>
  <c r="Q611" i="1" s="1"/>
  <c r="S611" i="1" s="1"/>
  <c r="U611" i="1" s="1"/>
  <c r="W611" i="1" s="1"/>
  <c r="Y611" i="1" s="1"/>
  <c r="P609" i="1"/>
  <c r="Q609" i="1" s="1"/>
  <c r="S609" i="1" s="1"/>
  <c r="U609" i="1" s="1"/>
  <c r="W609" i="1" s="1"/>
  <c r="Y609" i="1" s="1"/>
  <c r="P607" i="1"/>
  <c r="Q607" i="1" s="1"/>
  <c r="S607" i="1" s="1"/>
  <c r="U607" i="1" s="1"/>
  <c r="W607" i="1" s="1"/>
  <c r="Y607" i="1" s="1"/>
  <c r="P605" i="1"/>
  <c r="Q605" i="1" s="1"/>
  <c r="S605" i="1" s="1"/>
  <c r="U605" i="1" s="1"/>
  <c r="W605" i="1" s="1"/>
  <c r="Y605" i="1" s="1"/>
  <c r="P603" i="1"/>
  <c r="Q603" i="1" s="1"/>
  <c r="S603" i="1" s="1"/>
  <c r="U603" i="1" s="1"/>
  <c r="W603" i="1" s="1"/>
  <c r="Y603" i="1" s="1"/>
  <c r="P601" i="1"/>
  <c r="Q601" i="1" s="1"/>
  <c r="S601" i="1" s="1"/>
  <c r="U601" i="1" s="1"/>
  <c r="W601" i="1" s="1"/>
  <c r="Y601" i="1" s="1"/>
  <c r="P599" i="1"/>
  <c r="Q599" i="1" s="1"/>
  <c r="S599" i="1" s="1"/>
  <c r="U599" i="1" s="1"/>
  <c r="W599" i="1" s="1"/>
  <c r="Y599" i="1" s="1"/>
  <c r="P597" i="1"/>
  <c r="Q597" i="1" s="1"/>
  <c r="S597" i="1" s="1"/>
  <c r="U597" i="1" s="1"/>
  <c r="W597" i="1" s="1"/>
  <c r="Y597" i="1" s="1"/>
  <c r="P595" i="1"/>
  <c r="Q595" i="1" s="1"/>
  <c r="S595" i="1" s="1"/>
  <c r="U595" i="1" s="1"/>
  <c r="W595" i="1" s="1"/>
  <c r="Y595" i="1" s="1"/>
  <c r="P593" i="1"/>
  <c r="Q593" i="1" s="1"/>
  <c r="S593" i="1" s="1"/>
  <c r="U593" i="1" s="1"/>
  <c r="W593" i="1" s="1"/>
  <c r="Y593" i="1" s="1"/>
  <c r="P591" i="1"/>
  <c r="Q591" i="1" s="1"/>
  <c r="S591" i="1" s="1"/>
  <c r="U591" i="1" s="1"/>
  <c r="W591" i="1" s="1"/>
  <c r="Y591" i="1" s="1"/>
  <c r="P589" i="1"/>
  <c r="Q589" i="1" s="1"/>
  <c r="S589" i="1" s="1"/>
  <c r="U589" i="1" s="1"/>
  <c r="W589" i="1" s="1"/>
  <c r="Y589" i="1" s="1"/>
  <c r="P587" i="1"/>
  <c r="Q587" i="1" s="1"/>
  <c r="S587" i="1" s="1"/>
  <c r="U587" i="1" s="1"/>
  <c r="W587" i="1" s="1"/>
  <c r="Y587" i="1" s="1"/>
  <c r="P585" i="1"/>
  <c r="Q585" i="1" s="1"/>
  <c r="S585" i="1" s="1"/>
  <c r="U585" i="1" s="1"/>
  <c r="W585" i="1" s="1"/>
  <c r="Y585" i="1" s="1"/>
  <c r="P583" i="1"/>
  <c r="Q583" i="1" s="1"/>
  <c r="S583" i="1" s="1"/>
  <c r="U583" i="1" s="1"/>
  <c r="W583" i="1" s="1"/>
  <c r="Y583" i="1" s="1"/>
  <c r="P581" i="1"/>
  <c r="Q581" i="1" s="1"/>
  <c r="S581" i="1" s="1"/>
  <c r="U581" i="1" s="1"/>
  <c r="W581" i="1" s="1"/>
  <c r="Y581" i="1" s="1"/>
  <c r="P579" i="1"/>
  <c r="Q579" i="1" s="1"/>
  <c r="S579" i="1" s="1"/>
  <c r="U579" i="1" s="1"/>
  <c r="W579" i="1" s="1"/>
  <c r="Y579" i="1" s="1"/>
  <c r="P577" i="1"/>
  <c r="Q577" i="1" s="1"/>
  <c r="S577" i="1" s="1"/>
  <c r="U577" i="1" s="1"/>
  <c r="W577" i="1" s="1"/>
  <c r="Y577" i="1" s="1"/>
  <c r="P575" i="1"/>
  <c r="Q575" i="1" s="1"/>
  <c r="S575" i="1" s="1"/>
  <c r="U575" i="1" s="1"/>
  <c r="W575" i="1" s="1"/>
  <c r="Y575" i="1" s="1"/>
  <c r="P573" i="1"/>
  <c r="Q573" i="1" s="1"/>
  <c r="S573" i="1" s="1"/>
  <c r="U573" i="1" s="1"/>
  <c r="W573" i="1" s="1"/>
  <c r="Y573" i="1" s="1"/>
  <c r="P571" i="1"/>
  <c r="Q571" i="1" s="1"/>
  <c r="S571" i="1" s="1"/>
  <c r="U571" i="1" s="1"/>
  <c r="W571" i="1" s="1"/>
  <c r="Y571" i="1" s="1"/>
  <c r="P569" i="1"/>
  <c r="Q569" i="1" s="1"/>
  <c r="S569" i="1" s="1"/>
  <c r="U569" i="1" s="1"/>
  <c r="W569" i="1" s="1"/>
  <c r="Y569" i="1" s="1"/>
  <c r="P567" i="1"/>
  <c r="Q567" i="1" s="1"/>
  <c r="S567" i="1" s="1"/>
  <c r="U567" i="1" s="1"/>
  <c r="W567" i="1" s="1"/>
  <c r="Y567" i="1" s="1"/>
  <c r="P565" i="1"/>
  <c r="Q565" i="1" s="1"/>
  <c r="S565" i="1" s="1"/>
  <c r="U565" i="1" s="1"/>
  <c r="W565" i="1" s="1"/>
  <c r="Y565" i="1" s="1"/>
  <c r="P563" i="1"/>
  <c r="Q563" i="1" s="1"/>
  <c r="S563" i="1" s="1"/>
  <c r="U563" i="1" s="1"/>
  <c r="W563" i="1" s="1"/>
  <c r="Y563" i="1" s="1"/>
  <c r="P561" i="1"/>
  <c r="Q561" i="1" s="1"/>
  <c r="S561" i="1" s="1"/>
  <c r="U561" i="1" s="1"/>
  <c r="W561" i="1" s="1"/>
  <c r="Y561" i="1" s="1"/>
  <c r="P559" i="1"/>
  <c r="Q559" i="1" s="1"/>
  <c r="S559" i="1" s="1"/>
  <c r="U559" i="1" s="1"/>
  <c r="W559" i="1" s="1"/>
  <c r="Y559" i="1" s="1"/>
  <c r="P557" i="1"/>
  <c r="Q557" i="1" s="1"/>
  <c r="S557" i="1" s="1"/>
  <c r="U557" i="1" s="1"/>
  <c r="W557" i="1" s="1"/>
  <c r="Y557" i="1" s="1"/>
  <c r="P555" i="1"/>
  <c r="Q555" i="1" s="1"/>
  <c r="S555" i="1" s="1"/>
  <c r="U555" i="1" s="1"/>
  <c r="W555" i="1" s="1"/>
  <c r="Y555" i="1" s="1"/>
  <c r="P553" i="1"/>
  <c r="Q553" i="1" s="1"/>
  <c r="S553" i="1" s="1"/>
  <c r="U553" i="1" s="1"/>
  <c r="W553" i="1" s="1"/>
  <c r="Y553" i="1" s="1"/>
  <c r="P551" i="1"/>
  <c r="Q551" i="1" s="1"/>
  <c r="S551" i="1" s="1"/>
  <c r="U551" i="1" s="1"/>
  <c r="W551" i="1" s="1"/>
  <c r="Y551" i="1" s="1"/>
  <c r="P549" i="1"/>
  <c r="Q549" i="1" s="1"/>
  <c r="S549" i="1" s="1"/>
  <c r="U549" i="1" s="1"/>
  <c r="W549" i="1" s="1"/>
  <c r="Y549" i="1" s="1"/>
  <c r="P547" i="1"/>
  <c r="Q547" i="1" s="1"/>
  <c r="S547" i="1" s="1"/>
  <c r="U547" i="1" s="1"/>
  <c r="W547" i="1" s="1"/>
  <c r="Y547" i="1" s="1"/>
  <c r="P545" i="1"/>
  <c r="Q545" i="1" s="1"/>
  <c r="S545" i="1" s="1"/>
  <c r="U545" i="1" s="1"/>
  <c r="W545" i="1" s="1"/>
  <c r="Y545" i="1" s="1"/>
  <c r="P1079" i="1"/>
  <c r="Q1079" i="1" s="1"/>
  <c r="S1079" i="1" s="1"/>
  <c r="U1079" i="1" s="1"/>
  <c r="W1079" i="1" s="1"/>
  <c r="Y1079" i="1" s="1"/>
  <c r="P543" i="1"/>
  <c r="Q543" i="1" s="1"/>
  <c r="S543" i="1" s="1"/>
  <c r="U543" i="1" s="1"/>
  <c r="W543" i="1" s="1"/>
  <c r="Y543" i="1" s="1"/>
  <c r="P541" i="1"/>
  <c r="Q541" i="1" s="1"/>
  <c r="S541" i="1" s="1"/>
  <c r="U541" i="1" s="1"/>
  <c r="W541" i="1" s="1"/>
  <c r="Y541" i="1" s="1"/>
  <c r="P539" i="1"/>
  <c r="Q539" i="1" s="1"/>
  <c r="S539" i="1" s="1"/>
  <c r="U539" i="1" s="1"/>
  <c r="W539" i="1" s="1"/>
  <c r="Y539" i="1" s="1"/>
  <c r="P537" i="1"/>
  <c r="Q537" i="1" s="1"/>
  <c r="S537" i="1" s="1"/>
  <c r="U537" i="1" s="1"/>
  <c r="W537" i="1" s="1"/>
  <c r="Y537" i="1" s="1"/>
  <c r="P535" i="1"/>
  <c r="Q535" i="1" s="1"/>
  <c r="S535" i="1" s="1"/>
  <c r="U535" i="1" s="1"/>
  <c r="W535" i="1" s="1"/>
  <c r="Y535" i="1" s="1"/>
  <c r="P533" i="1"/>
  <c r="Q533" i="1" s="1"/>
  <c r="S533" i="1" s="1"/>
  <c r="U533" i="1" s="1"/>
  <c r="W533" i="1" s="1"/>
  <c r="Y533" i="1" s="1"/>
  <c r="P531" i="1"/>
  <c r="Q531" i="1" s="1"/>
  <c r="S531" i="1" s="1"/>
  <c r="U531" i="1" s="1"/>
  <c r="W531" i="1" s="1"/>
  <c r="Y531" i="1" s="1"/>
  <c r="P529" i="1"/>
  <c r="Q529" i="1" s="1"/>
  <c r="S529" i="1" s="1"/>
  <c r="U529" i="1" s="1"/>
  <c r="W529" i="1" s="1"/>
  <c r="Y529" i="1" s="1"/>
  <c r="P527" i="1"/>
  <c r="Q527" i="1" s="1"/>
  <c r="S527" i="1" s="1"/>
  <c r="U527" i="1" s="1"/>
  <c r="W527" i="1" s="1"/>
  <c r="Y527" i="1" s="1"/>
  <c r="P525" i="1"/>
  <c r="Q525" i="1" s="1"/>
  <c r="S525" i="1" s="1"/>
  <c r="U525" i="1" s="1"/>
  <c r="W525" i="1" s="1"/>
  <c r="Y525" i="1" s="1"/>
  <c r="P523" i="1"/>
  <c r="Q523" i="1" s="1"/>
  <c r="S523" i="1" s="1"/>
  <c r="U523" i="1" s="1"/>
  <c r="W523" i="1" s="1"/>
  <c r="Y523" i="1" s="1"/>
  <c r="P521" i="1"/>
  <c r="Q521" i="1" s="1"/>
  <c r="S521" i="1" s="1"/>
  <c r="U521" i="1" s="1"/>
  <c r="W521" i="1" s="1"/>
  <c r="Y521" i="1" s="1"/>
  <c r="P519" i="1"/>
  <c r="Q519" i="1" s="1"/>
  <c r="S519" i="1" s="1"/>
  <c r="U519" i="1" s="1"/>
  <c r="W519" i="1" s="1"/>
  <c r="Y519" i="1" s="1"/>
  <c r="P517" i="1"/>
  <c r="Q517" i="1" s="1"/>
  <c r="S517" i="1" s="1"/>
  <c r="U517" i="1" s="1"/>
  <c r="W517" i="1" s="1"/>
  <c r="Y517" i="1" s="1"/>
  <c r="P1077" i="1"/>
  <c r="Q1077" i="1" s="1"/>
  <c r="S1077" i="1" s="1"/>
  <c r="U1077" i="1" s="1"/>
  <c r="W1077" i="1" s="1"/>
  <c r="Y1077" i="1" s="1"/>
  <c r="P515" i="1"/>
  <c r="Q515" i="1" s="1"/>
  <c r="S515" i="1" s="1"/>
  <c r="U515" i="1" s="1"/>
  <c r="W515" i="1" s="1"/>
  <c r="Y515" i="1" s="1"/>
  <c r="P513" i="1"/>
  <c r="Q513" i="1" s="1"/>
  <c r="S513" i="1" s="1"/>
  <c r="U513" i="1" s="1"/>
  <c r="W513" i="1" s="1"/>
  <c r="Y513" i="1" s="1"/>
  <c r="P511" i="1"/>
  <c r="Q511" i="1" s="1"/>
  <c r="S511" i="1" s="1"/>
  <c r="U511" i="1" s="1"/>
  <c r="W511" i="1" s="1"/>
  <c r="Y511" i="1" s="1"/>
  <c r="P509" i="1"/>
  <c r="Q509" i="1" s="1"/>
  <c r="S509" i="1" s="1"/>
  <c r="U509" i="1" s="1"/>
  <c r="W509" i="1" s="1"/>
  <c r="Y509" i="1" s="1"/>
  <c r="P507" i="1"/>
  <c r="Q507" i="1" s="1"/>
  <c r="S507" i="1" s="1"/>
  <c r="U507" i="1" s="1"/>
  <c r="W507" i="1" s="1"/>
  <c r="Y507" i="1" s="1"/>
  <c r="P1075" i="1"/>
  <c r="Q1075" i="1" s="1"/>
  <c r="S1075" i="1" s="1"/>
  <c r="U1075" i="1" s="1"/>
  <c r="W1075" i="1" s="1"/>
  <c r="Y1075" i="1" s="1"/>
  <c r="P505" i="1"/>
  <c r="Q505" i="1" s="1"/>
  <c r="S505" i="1" s="1"/>
  <c r="U505" i="1" s="1"/>
  <c r="W505" i="1" s="1"/>
  <c r="Y505" i="1" s="1"/>
  <c r="P1073" i="1"/>
  <c r="Q1073" i="1" s="1"/>
  <c r="S1073" i="1" s="1"/>
  <c r="U1073" i="1" s="1"/>
  <c r="W1073" i="1" s="1"/>
  <c r="Y1073" i="1" s="1"/>
  <c r="P503" i="1"/>
  <c r="Q503" i="1" s="1"/>
  <c r="S503" i="1" s="1"/>
  <c r="U503" i="1" s="1"/>
  <c r="W503" i="1" s="1"/>
  <c r="Y503" i="1" s="1"/>
  <c r="P501" i="1"/>
  <c r="Q501" i="1" s="1"/>
  <c r="S501" i="1" s="1"/>
  <c r="U501" i="1" s="1"/>
  <c r="W501" i="1" s="1"/>
  <c r="Y501" i="1" s="1"/>
  <c r="P499" i="1"/>
  <c r="Q499" i="1" s="1"/>
  <c r="S499" i="1" s="1"/>
  <c r="U499" i="1" s="1"/>
  <c r="W499" i="1" s="1"/>
  <c r="Y499" i="1" s="1"/>
  <c r="P497" i="1"/>
  <c r="Q497" i="1" s="1"/>
  <c r="S497" i="1" s="1"/>
  <c r="U497" i="1" s="1"/>
  <c r="W497" i="1" s="1"/>
  <c r="Y497" i="1" s="1"/>
  <c r="P495" i="1"/>
  <c r="Q495" i="1" s="1"/>
  <c r="S495" i="1" s="1"/>
  <c r="U495" i="1" s="1"/>
  <c r="W495" i="1" s="1"/>
  <c r="Y495" i="1" s="1"/>
  <c r="P493" i="1"/>
  <c r="Q493" i="1" s="1"/>
  <c r="S493" i="1" s="1"/>
  <c r="U493" i="1" s="1"/>
  <c r="W493" i="1" s="1"/>
  <c r="Y493" i="1" s="1"/>
  <c r="P491" i="1"/>
  <c r="Q491" i="1" s="1"/>
  <c r="S491" i="1" s="1"/>
  <c r="U491" i="1" s="1"/>
  <c r="W491" i="1" s="1"/>
  <c r="Y491" i="1" s="1"/>
  <c r="P489" i="1"/>
  <c r="Q489" i="1" s="1"/>
  <c r="S489" i="1" s="1"/>
  <c r="U489" i="1" s="1"/>
  <c r="W489" i="1" s="1"/>
  <c r="Y489" i="1" s="1"/>
  <c r="P487" i="1"/>
  <c r="Q487" i="1" s="1"/>
  <c r="S487" i="1" s="1"/>
  <c r="U487" i="1" s="1"/>
  <c r="W487" i="1" s="1"/>
  <c r="Y487" i="1" s="1"/>
  <c r="P485" i="1"/>
  <c r="Q485" i="1" s="1"/>
  <c r="S485" i="1" s="1"/>
  <c r="U485" i="1" s="1"/>
  <c r="W485" i="1" s="1"/>
  <c r="Y485" i="1" s="1"/>
  <c r="P483" i="1"/>
  <c r="Q483" i="1" s="1"/>
  <c r="S483" i="1" s="1"/>
  <c r="U483" i="1" s="1"/>
  <c r="W483" i="1" s="1"/>
  <c r="Y483" i="1" s="1"/>
  <c r="P1071" i="1"/>
  <c r="Q1071" i="1" s="1"/>
  <c r="S1071" i="1" s="1"/>
  <c r="U1071" i="1" s="1"/>
  <c r="W1071" i="1" s="1"/>
  <c r="Y1071" i="1" s="1"/>
  <c r="P481" i="1"/>
  <c r="Q481" i="1" s="1"/>
  <c r="S481" i="1" s="1"/>
  <c r="U481" i="1" s="1"/>
  <c r="W481" i="1" s="1"/>
  <c r="Y481" i="1" s="1"/>
  <c r="P479" i="1"/>
  <c r="Q479" i="1" s="1"/>
  <c r="S479" i="1" s="1"/>
  <c r="U479" i="1" s="1"/>
  <c r="W479" i="1" s="1"/>
  <c r="Y479" i="1" s="1"/>
  <c r="P1069" i="1"/>
  <c r="Q1069" i="1" s="1"/>
  <c r="S1069" i="1" s="1"/>
  <c r="U1069" i="1" s="1"/>
  <c r="W1069" i="1" s="1"/>
  <c r="Y1069" i="1" s="1"/>
  <c r="P477" i="1"/>
  <c r="Q477" i="1" s="1"/>
  <c r="S477" i="1" s="1"/>
  <c r="U477" i="1" s="1"/>
  <c r="W477" i="1" s="1"/>
  <c r="Y477" i="1" s="1"/>
  <c r="P475" i="1"/>
  <c r="Q475" i="1" s="1"/>
  <c r="S475" i="1" s="1"/>
  <c r="U475" i="1" s="1"/>
  <c r="W475" i="1" s="1"/>
  <c r="Y475" i="1" s="1"/>
  <c r="P473" i="1"/>
  <c r="Q473" i="1" s="1"/>
  <c r="S473" i="1" s="1"/>
  <c r="U473" i="1" s="1"/>
  <c r="W473" i="1" s="1"/>
  <c r="Y473" i="1" s="1"/>
  <c r="P1067" i="1"/>
  <c r="Q1067" i="1" s="1"/>
  <c r="S1067" i="1" s="1"/>
  <c r="U1067" i="1" s="1"/>
  <c r="W1067" i="1" s="1"/>
  <c r="Y1067" i="1" s="1"/>
  <c r="P1065" i="1"/>
  <c r="Q1065" i="1" s="1"/>
  <c r="S1065" i="1" s="1"/>
  <c r="U1065" i="1" s="1"/>
  <c r="W1065" i="1" s="1"/>
  <c r="Y1065" i="1" s="1"/>
  <c r="P471" i="1"/>
  <c r="Q471" i="1" s="1"/>
  <c r="S471" i="1" s="1"/>
  <c r="U471" i="1" s="1"/>
  <c r="W471" i="1" s="1"/>
  <c r="Y471" i="1" s="1"/>
  <c r="P1063" i="1"/>
  <c r="Q1063" i="1" s="1"/>
  <c r="S1063" i="1" s="1"/>
  <c r="U1063" i="1" s="1"/>
  <c r="W1063" i="1" s="1"/>
  <c r="Y1063" i="1" s="1"/>
  <c r="P1061" i="1"/>
  <c r="Q1061" i="1" s="1"/>
  <c r="S1061" i="1" s="1"/>
  <c r="U1061" i="1" s="1"/>
  <c r="W1061" i="1" s="1"/>
  <c r="Y1061" i="1" s="1"/>
  <c r="P1059" i="1"/>
  <c r="Q1059" i="1" s="1"/>
  <c r="S1059" i="1" s="1"/>
  <c r="U1059" i="1" s="1"/>
  <c r="W1059" i="1" s="1"/>
  <c r="Y1059" i="1" s="1"/>
  <c r="P469" i="1"/>
  <c r="Q469" i="1" s="1"/>
  <c r="S469" i="1" s="1"/>
  <c r="U469" i="1" s="1"/>
  <c r="W469" i="1" s="1"/>
  <c r="Y469" i="1" s="1"/>
  <c r="P467" i="1"/>
  <c r="Q467" i="1" s="1"/>
  <c r="S467" i="1" s="1"/>
  <c r="U467" i="1" s="1"/>
  <c r="W467" i="1" s="1"/>
  <c r="Y467" i="1" s="1"/>
  <c r="P1057" i="1"/>
  <c r="Q1057" i="1" s="1"/>
  <c r="S1057" i="1" s="1"/>
  <c r="U1057" i="1" s="1"/>
  <c r="W1057" i="1" s="1"/>
  <c r="Y1057" i="1" s="1"/>
  <c r="P465" i="1"/>
  <c r="Q465" i="1" s="1"/>
  <c r="S465" i="1" s="1"/>
  <c r="U465" i="1" s="1"/>
  <c r="W465" i="1" s="1"/>
  <c r="Y465" i="1" s="1"/>
  <c r="P1644" i="1"/>
  <c r="Q1644" i="1" s="1"/>
  <c r="S1644" i="1" s="1"/>
  <c r="U1644" i="1" s="1"/>
  <c r="W1644" i="1" s="1"/>
  <c r="Y1644" i="1" s="1"/>
  <c r="P463" i="1"/>
  <c r="Q463" i="1" s="1"/>
  <c r="S463" i="1" s="1"/>
  <c r="U463" i="1" s="1"/>
  <c r="W463" i="1" s="1"/>
  <c r="Y463" i="1" s="1"/>
  <c r="P461" i="1"/>
  <c r="Q461" i="1" s="1"/>
  <c r="S461" i="1" s="1"/>
  <c r="U461" i="1" s="1"/>
  <c r="W461" i="1" s="1"/>
  <c r="Y461" i="1" s="1"/>
  <c r="P459" i="1"/>
  <c r="Q459" i="1" s="1"/>
  <c r="S459" i="1" s="1"/>
  <c r="U459" i="1" s="1"/>
  <c r="W459" i="1" s="1"/>
  <c r="Y459" i="1" s="1"/>
  <c r="P457" i="1"/>
  <c r="Q457" i="1" s="1"/>
  <c r="S457" i="1" s="1"/>
  <c r="U457" i="1" s="1"/>
  <c r="W457" i="1" s="1"/>
  <c r="Y457" i="1" s="1"/>
  <c r="P320" i="1"/>
  <c r="P455" i="1"/>
  <c r="Q455" i="1" s="1"/>
  <c r="S455" i="1" s="1"/>
  <c r="U455" i="1" s="1"/>
  <c r="W455" i="1" s="1"/>
  <c r="Y455" i="1" s="1"/>
  <c r="P453" i="1"/>
  <c r="Q453" i="1" s="1"/>
  <c r="S453" i="1" s="1"/>
  <c r="U453" i="1" s="1"/>
  <c r="W453" i="1" s="1"/>
  <c r="Y453" i="1" s="1"/>
  <c r="P451" i="1"/>
  <c r="Q451" i="1" s="1"/>
  <c r="S451" i="1" s="1"/>
  <c r="U451" i="1" s="1"/>
  <c r="W451" i="1" s="1"/>
  <c r="Y451" i="1" s="1"/>
  <c r="P1055" i="1"/>
  <c r="Q1055" i="1" s="1"/>
  <c r="S1055" i="1" s="1"/>
  <c r="U1055" i="1" s="1"/>
  <c r="W1055" i="1" s="1"/>
  <c r="Y1055" i="1" s="1"/>
  <c r="P449" i="1"/>
  <c r="Q449" i="1" s="1"/>
  <c r="S449" i="1" s="1"/>
  <c r="U449" i="1" s="1"/>
  <c r="W449" i="1" s="1"/>
  <c r="Y449" i="1" s="1"/>
  <c r="P447" i="1"/>
  <c r="Q447" i="1" s="1"/>
  <c r="S447" i="1" s="1"/>
  <c r="U447" i="1" s="1"/>
  <c r="W447" i="1" s="1"/>
  <c r="Y447" i="1" s="1"/>
  <c r="P445" i="1"/>
  <c r="Q445" i="1" s="1"/>
  <c r="S445" i="1" s="1"/>
  <c r="U445" i="1" s="1"/>
  <c r="W445" i="1" s="1"/>
  <c r="Y445" i="1" s="1"/>
  <c r="P443" i="1"/>
  <c r="Q443" i="1" s="1"/>
  <c r="S443" i="1" s="1"/>
  <c r="U443" i="1" s="1"/>
  <c r="W443" i="1" s="1"/>
  <c r="Y443" i="1" s="1"/>
  <c r="P1053" i="1"/>
  <c r="Q1053" i="1" s="1"/>
  <c r="S1053" i="1" s="1"/>
  <c r="U1053" i="1" s="1"/>
  <c r="W1053" i="1" s="1"/>
  <c r="Y1053" i="1" s="1"/>
  <c r="P441" i="1"/>
  <c r="Q441" i="1" s="1"/>
  <c r="S441" i="1" s="1"/>
  <c r="U441" i="1" s="1"/>
  <c r="W441" i="1" s="1"/>
  <c r="Y441" i="1" s="1"/>
  <c r="P439" i="1"/>
  <c r="Q439" i="1" s="1"/>
  <c r="S439" i="1" s="1"/>
  <c r="U439" i="1" s="1"/>
  <c r="W439" i="1" s="1"/>
  <c r="Y439" i="1" s="1"/>
  <c r="P437" i="1"/>
  <c r="Q437" i="1" s="1"/>
  <c r="S437" i="1" s="1"/>
  <c r="U437" i="1" s="1"/>
  <c r="W437" i="1" s="1"/>
  <c r="Y437" i="1" s="1"/>
  <c r="P435" i="1"/>
  <c r="Q435" i="1" s="1"/>
  <c r="S435" i="1" s="1"/>
  <c r="U435" i="1" s="1"/>
  <c r="W435" i="1" s="1"/>
  <c r="Y435" i="1" s="1"/>
  <c r="P433" i="1"/>
  <c r="Q433" i="1" s="1"/>
  <c r="S433" i="1" s="1"/>
  <c r="U433" i="1" s="1"/>
  <c r="W433" i="1" s="1"/>
  <c r="Y433" i="1" s="1"/>
  <c r="P431" i="1"/>
  <c r="Q431" i="1" s="1"/>
  <c r="S431" i="1" s="1"/>
  <c r="U431" i="1" s="1"/>
  <c r="W431" i="1" s="1"/>
  <c r="Y431" i="1" s="1"/>
  <c r="P429" i="1"/>
  <c r="Q429" i="1" s="1"/>
  <c r="S429" i="1" s="1"/>
  <c r="U429" i="1" s="1"/>
  <c r="W429" i="1" s="1"/>
  <c r="Y429" i="1" s="1"/>
  <c r="P427" i="1"/>
  <c r="Q427" i="1" s="1"/>
  <c r="S427" i="1" s="1"/>
  <c r="U427" i="1" s="1"/>
  <c r="W427" i="1" s="1"/>
  <c r="Y427" i="1" s="1"/>
  <c r="P425" i="1"/>
  <c r="Q425" i="1" s="1"/>
  <c r="S425" i="1" s="1"/>
  <c r="U425" i="1" s="1"/>
  <c r="W425" i="1" s="1"/>
  <c r="Y425" i="1" s="1"/>
  <c r="P423" i="1"/>
  <c r="Q423" i="1" s="1"/>
  <c r="S423" i="1" s="1"/>
  <c r="U423" i="1" s="1"/>
  <c r="W423" i="1" s="1"/>
  <c r="Y423" i="1" s="1"/>
  <c r="P421" i="1"/>
  <c r="Q421" i="1" s="1"/>
  <c r="S421" i="1" s="1"/>
  <c r="U421" i="1" s="1"/>
  <c r="W421" i="1" s="1"/>
  <c r="Y421" i="1" s="1"/>
  <c r="P1051" i="1"/>
  <c r="Q1051" i="1" s="1"/>
  <c r="S1051" i="1" s="1"/>
  <c r="U1051" i="1" s="1"/>
  <c r="W1051" i="1" s="1"/>
  <c r="Y1051" i="1" s="1"/>
  <c r="P1642" i="1"/>
  <c r="P1049" i="1"/>
  <c r="Q1049" i="1" s="1"/>
  <c r="S1049" i="1" s="1"/>
  <c r="U1049" i="1" s="1"/>
  <c r="W1049" i="1" s="1"/>
  <c r="Y1049" i="1" s="1"/>
  <c r="P1047" i="1"/>
  <c r="Q1047" i="1" s="1"/>
  <c r="S1047" i="1" s="1"/>
  <c r="U1047" i="1" s="1"/>
  <c r="W1047" i="1" s="1"/>
  <c r="Y1047" i="1" s="1"/>
  <c r="P1045" i="1"/>
  <c r="Q1045" i="1" s="1"/>
  <c r="S1045" i="1" s="1"/>
  <c r="U1045" i="1" s="1"/>
  <c r="W1045" i="1" s="1"/>
  <c r="Y1045" i="1" s="1"/>
  <c r="Q1642" i="1" l="1"/>
  <c r="S1642" i="1" s="1"/>
  <c r="U1642" i="1" s="1"/>
  <c r="W1642" i="1" s="1"/>
  <c r="Y1642" i="1" s="1"/>
  <c r="P1641" i="1"/>
  <c r="Q1641" i="1" s="1"/>
  <c r="S1641" i="1" s="1"/>
  <c r="U1641" i="1" s="1"/>
  <c r="W1641" i="1" s="1"/>
  <c r="Y1641" i="1" s="1"/>
  <c r="Q320" i="1"/>
  <c r="S320" i="1" s="1"/>
  <c r="U320" i="1" s="1"/>
  <c r="W320" i="1" s="1"/>
  <c r="Y320" i="1" s="1"/>
  <c r="P319" i="1"/>
  <c r="P1356" i="1"/>
  <c r="O1356" i="1"/>
  <c r="O1357" i="1"/>
  <c r="Q1357" i="1" s="1"/>
  <c r="S1357" i="1" s="1"/>
  <c r="U1357" i="1" s="1"/>
  <c r="W1357" i="1" s="1"/>
  <c r="Y1357" i="1" s="1"/>
  <c r="AA1357" i="1" s="1"/>
  <c r="O1358" i="1"/>
  <c r="Q1358" i="1" s="1"/>
  <c r="S1358" i="1" s="1"/>
  <c r="U1358" i="1" s="1"/>
  <c r="W1358" i="1" s="1"/>
  <c r="Y1358" i="1" s="1"/>
  <c r="AA1358" i="1" s="1"/>
  <c r="P316" i="1" l="1"/>
  <c r="Q319" i="1"/>
  <c r="S319" i="1" s="1"/>
  <c r="U319" i="1" s="1"/>
  <c r="W319" i="1" s="1"/>
  <c r="Y319" i="1" s="1"/>
  <c r="Q1356" i="1"/>
  <c r="S1356" i="1" s="1"/>
  <c r="U1356" i="1" s="1"/>
  <c r="W1356" i="1" s="1"/>
  <c r="Y1356" i="1" s="1"/>
  <c r="P312" i="1" l="1"/>
  <c r="Q312" i="1" s="1"/>
  <c r="S312" i="1" s="1"/>
  <c r="U312" i="1" s="1"/>
  <c r="W312" i="1" s="1"/>
  <c r="Y312" i="1" s="1"/>
  <c r="Q316" i="1"/>
  <c r="S316" i="1" s="1"/>
  <c r="U316" i="1" s="1"/>
  <c r="W316" i="1" s="1"/>
  <c r="Y316" i="1" s="1"/>
  <c r="P152" i="1"/>
  <c r="P1124" i="1" l="1"/>
  <c r="P1879" i="1" s="1"/>
  <c r="P945" i="1"/>
  <c r="P943" i="1"/>
  <c r="P795" i="1"/>
  <c r="P1874" i="1" s="1"/>
  <c r="O1122" i="1" l="1"/>
  <c r="Q1122" i="1" s="1"/>
  <c r="S1122" i="1" s="1"/>
  <c r="U1122" i="1" s="1"/>
  <c r="W1122" i="1" s="1"/>
  <c r="Y1122" i="1" s="1"/>
  <c r="AA1122" i="1" s="1"/>
  <c r="P1306" i="1"/>
  <c r="O1306" i="1"/>
  <c r="O1307" i="1"/>
  <c r="Q1307" i="1" s="1"/>
  <c r="S1307" i="1" s="1"/>
  <c r="U1307" i="1" s="1"/>
  <c r="W1307" i="1" s="1"/>
  <c r="Y1307" i="1" s="1"/>
  <c r="AA1307" i="1" s="1"/>
  <c r="P1121" i="1"/>
  <c r="P1873" i="1" s="1"/>
  <c r="O1120" i="1"/>
  <c r="O1121" i="1"/>
  <c r="P780" i="1"/>
  <c r="O780" i="1"/>
  <c r="O781" i="1"/>
  <c r="Q781" i="1" s="1"/>
  <c r="S781" i="1" s="1"/>
  <c r="U781" i="1" s="1"/>
  <c r="W781" i="1" s="1"/>
  <c r="Y781" i="1" s="1"/>
  <c r="AA781" i="1" s="1"/>
  <c r="P195" i="1"/>
  <c r="O195" i="1"/>
  <c r="O200" i="1"/>
  <c r="Q200" i="1" s="1"/>
  <c r="S200" i="1" s="1"/>
  <c r="U200" i="1" s="1"/>
  <c r="W200" i="1" s="1"/>
  <c r="Y200" i="1" s="1"/>
  <c r="AA200" i="1" s="1"/>
  <c r="P1120" i="1" l="1"/>
  <c r="Q195" i="1"/>
  <c r="S195" i="1" s="1"/>
  <c r="U195" i="1" s="1"/>
  <c r="W195" i="1" s="1"/>
  <c r="Y195" i="1" s="1"/>
  <c r="Q1306" i="1"/>
  <c r="S1306" i="1" s="1"/>
  <c r="U1306" i="1" s="1"/>
  <c r="W1306" i="1" s="1"/>
  <c r="Y1306" i="1" s="1"/>
  <c r="Q1121" i="1"/>
  <c r="S1121" i="1" s="1"/>
  <c r="U1121" i="1" s="1"/>
  <c r="W1121" i="1" s="1"/>
  <c r="Y1121" i="1" s="1"/>
  <c r="AA1121" i="1" s="1"/>
  <c r="Q780" i="1"/>
  <c r="S780" i="1" s="1"/>
  <c r="U780" i="1" s="1"/>
  <c r="W780" i="1" s="1"/>
  <c r="Y780" i="1" s="1"/>
  <c r="Q1120" i="1" l="1"/>
  <c r="S1120" i="1" s="1"/>
  <c r="U1120" i="1" s="1"/>
  <c r="W1120" i="1" s="1"/>
  <c r="Y1120" i="1" s="1"/>
  <c r="Q921" i="1" l="1"/>
  <c r="S921" i="1" s="1"/>
  <c r="U921" i="1" s="1"/>
  <c r="W921" i="1" s="1"/>
  <c r="Y921" i="1" s="1"/>
  <c r="AA921" i="1" s="1"/>
  <c r="Q923" i="1"/>
  <c r="S923" i="1" s="1"/>
  <c r="U923" i="1" s="1"/>
  <c r="W923" i="1" s="1"/>
  <c r="Y923" i="1" s="1"/>
  <c r="AA923" i="1" s="1"/>
  <c r="P922" i="1"/>
  <c r="Q922" i="1" s="1"/>
  <c r="S922" i="1" s="1"/>
  <c r="U922" i="1" s="1"/>
  <c r="W922" i="1" s="1"/>
  <c r="Y922" i="1" s="1"/>
  <c r="P920" i="1"/>
  <c r="Q920" i="1" s="1"/>
  <c r="S920" i="1" s="1"/>
  <c r="U920" i="1" s="1"/>
  <c r="W920" i="1" s="1"/>
  <c r="Y920" i="1" s="1"/>
  <c r="P917" i="1" l="1"/>
  <c r="Q917" i="1" l="1"/>
  <c r="S917" i="1" s="1"/>
  <c r="U917" i="1" s="1"/>
  <c r="W917" i="1" s="1"/>
  <c r="Y917" i="1" s="1"/>
  <c r="P916" i="1"/>
  <c r="Q916" i="1" s="1"/>
  <c r="S916" i="1" s="1"/>
  <c r="U916" i="1" s="1"/>
  <c r="W916" i="1" s="1"/>
  <c r="Y916" i="1" s="1"/>
  <c r="P1872" i="1"/>
  <c r="P1866" i="1" l="1"/>
  <c r="P1865" i="1" s="1"/>
  <c r="P1864" i="1" s="1"/>
  <c r="P1856" i="1"/>
  <c r="P1854" i="1"/>
  <c r="P1851" i="1"/>
  <c r="P1849" i="1"/>
  <c r="P1847" i="1"/>
  <c r="P1845" i="1"/>
  <c r="P1843" i="1"/>
  <c r="P1838" i="1"/>
  <c r="P1834" i="1"/>
  <c r="P1831" i="1"/>
  <c r="P1825" i="1"/>
  <c r="P1824" i="1" s="1"/>
  <c r="P1820" i="1"/>
  <c r="P1819" i="1" s="1"/>
  <c r="P1814" i="1"/>
  <c r="P1813" i="1" s="1"/>
  <c r="P1812" i="1" s="1"/>
  <c r="P1809" i="1"/>
  <c r="P1807" i="1"/>
  <c r="P1805" i="1"/>
  <c r="P1803" i="1"/>
  <c r="P1797" i="1"/>
  <c r="P1796" i="1" s="1"/>
  <c r="P1795" i="1" s="1"/>
  <c r="P1787" i="1"/>
  <c r="P1786" i="1" s="1"/>
  <c r="P1785" i="1" s="1"/>
  <c r="P1782" i="1"/>
  <c r="P1779" i="1"/>
  <c r="P1777" i="1"/>
  <c r="P1774" i="1"/>
  <c r="P1773" i="1" s="1"/>
  <c r="P1771" i="1"/>
  <c r="P1770" i="1" s="1"/>
  <c r="P1767" i="1"/>
  <c r="P1766" i="1" s="1"/>
  <c r="P1763" i="1"/>
  <c r="P1762" i="1" s="1"/>
  <c r="P1761" i="1" s="1"/>
  <c r="P1757" i="1"/>
  <c r="P1750" i="1"/>
  <c r="P1749" i="1" s="1"/>
  <c r="P1747" i="1"/>
  <c r="P1746" i="1" s="1"/>
  <c r="P1743" i="1"/>
  <c r="P1742" i="1" s="1"/>
  <c r="P1740" i="1"/>
  <c r="P1738" i="1"/>
  <c r="P1732" i="1"/>
  <c r="P1731" i="1" s="1"/>
  <c r="P1728" i="1"/>
  <c r="P1727" i="1" s="1"/>
  <c r="P1725" i="1"/>
  <c r="P1724" i="1" s="1"/>
  <c r="P1721" i="1"/>
  <c r="P1720" i="1" s="1"/>
  <c r="P1715" i="1"/>
  <c r="P1713" i="1"/>
  <c r="P1705" i="1"/>
  <c r="P1702" i="1"/>
  <c r="P1701" i="1" s="1"/>
  <c r="P1697" i="1"/>
  <c r="P1696" i="1" s="1"/>
  <c r="P1692" i="1"/>
  <c r="P1689" i="1"/>
  <c r="P1685" i="1"/>
  <c r="P1684" i="1" s="1"/>
  <c r="P1683" i="1" s="1"/>
  <c r="P1680" i="1"/>
  <c r="P1679" i="1" s="1"/>
  <c r="P1677" i="1"/>
  <c r="P1676" i="1" s="1"/>
  <c r="P1673" i="1"/>
  <c r="P1671" i="1"/>
  <c r="P1668" i="1"/>
  <c r="P1659" i="1"/>
  <c r="P1651" i="1"/>
  <c r="P1650" i="1" s="1"/>
  <c r="P1639" i="1"/>
  <c r="P1637" i="1"/>
  <c r="P1635" i="1"/>
  <c r="P1628" i="1"/>
  <c r="P1625" i="1"/>
  <c r="P1623" i="1"/>
  <c r="P1622" i="1" s="1"/>
  <c r="P1619" i="1"/>
  <c r="P1617" i="1"/>
  <c r="P1615" i="1"/>
  <c r="P1613" i="1"/>
  <c r="P1609" i="1"/>
  <c r="P1607" i="1"/>
  <c r="P1605" i="1"/>
  <c r="P1602" i="1"/>
  <c r="P1600" i="1"/>
  <c r="P1598" i="1"/>
  <c r="P1596" i="1"/>
  <c r="P1594" i="1"/>
  <c r="P1592" i="1"/>
  <c r="P1590" i="1"/>
  <c r="P1588" i="1"/>
  <c r="P1584" i="1"/>
  <c r="P1581" i="1"/>
  <c r="P1579" i="1"/>
  <c r="P1577" i="1"/>
  <c r="P1568" i="1"/>
  <c r="P1567" i="1" s="1"/>
  <c r="P1565" i="1"/>
  <c r="P1564" i="1" s="1"/>
  <c r="P1560" i="1"/>
  <c r="P1559" i="1" s="1"/>
  <c r="P1558" i="1" s="1"/>
  <c r="P1555" i="1"/>
  <c r="P1554" i="1" s="1"/>
  <c r="P1553" i="1" s="1"/>
  <c r="P1551" i="1"/>
  <c r="P1550" i="1" s="1"/>
  <c r="P1549" i="1" s="1"/>
  <c r="P1545" i="1"/>
  <c r="P1542" i="1"/>
  <c r="P1541" i="1" s="1"/>
  <c r="P1532" i="1"/>
  <c r="P1529" i="1"/>
  <c r="P1526" i="1"/>
  <c r="P1523" i="1"/>
  <c r="P1519" i="1"/>
  <c r="P1514" i="1" s="1"/>
  <c r="P1512" i="1"/>
  <c r="P1504" i="1"/>
  <c r="P1491" i="1"/>
  <c r="P1489" i="1"/>
  <c r="P1485" i="1"/>
  <c r="P1484" i="1" s="1"/>
  <c r="P1481" i="1"/>
  <c r="P1480" i="1" s="1"/>
  <c r="P1477" i="1"/>
  <c r="P1473" i="1"/>
  <c r="P1470" i="1"/>
  <c r="P1464" i="1"/>
  <c r="P1462" i="1"/>
  <c r="P1459" i="1"/>
  <c r="P1453" i="1"/>
  <c r="P1452" i="1" s="1"/>
  <c r="P1447" i="1"/>
  <c r="P1446" i="1" s="1"/>
  <c r="P1445" i="1" s="1"/>
  <c r="P1441" i="1"/>
  <c r="P1440" i="1" s="1"/>
  <c r="P1439" i="1" s="1"/>
  <c r="P1438" i="1" s="1"/>
  <c r="P1431" i="1"/>
  <c r="P1429" i="1"/>
  <c r="P1424" i="1"/>
  <c r="P1421" i="1" s="1"/>
  <c r="P1418" i="1"/>
  <c r="P1417" i="1" s="1"/>
  <c r="P1413" i="1"/>
  <c r="P1411" i="1"/>
  <c r="P1409" i="1"/>
  <c r="P1401" i="1"/>
  <c r="P1400" i="1" s="1"/>
  <c r="P1398" i="1"/>
  <c r="P1396" i="1"/>
  <c r="P1394" i="1"/>
  <c r="P1392" i="1"/>
  <c r="P1390" i="1"/>
  <c r="P1386" i="1"/>
  <c r="P1384" i="1"/>
  <c r="P1382" i="1"/>
  <c r="P1380" i="1"/>
  <c r="P1378" i="1"/>
  <c r="P1376" i="1"/>
  <c r="P1374" i="1"/>
  <c r="P1370" i="1"/>
  <c r="P1367" i="1"/>
  <c r="P1362" i="1"/>
  <c r="P1351" i="1"/>
  <c r="P1348" i="1"/>
  <c r="P1343" i="1"/>
  <c r="P1342" i="1" s="1"/>
  <c r="P1339" i="1"/>
  <c r="P1336" i="1"/>
  <c r="P1332" i="1"/>
  <c r="P1329" i="1"/>
  <c r="P1326" i="1"/>
  <c r="P1323" i="1"/>
  <c r="P1321" i="1"/>
  <c r="P1319" i="1"/>
  <c r="P1316" i="1"/>
  <c r="P1312" i="1"/>
  <c r="P1310" i="1"/>
  <c r="P1308" i="1"/>
  <c r="P1302" i="1"/>
  <c r="P1300" i="1"/>
  <c r="P1293" i="1"/>
  <c r="P1292" i="1" s="1"/>
  <c r="P1288" i="1"/>
  <c r="P1285" i="1"/>
  <c r="P1284" i="1" s="1"/>
  <c r="P1280" i="1"/>
  <c r="P1277" i="1"/>
  <c r="P1274" i="1"/>
  <c r="P1265" i="1"/>
  <c r="P1264" i="1" s="1"/>
  <c r="P1262" i="1"/>
  <c r="P1258" i="1"/>
  <c r="P1256" i="1"/>
  <c r="P1253" i="1"/>
  <c r="P1248" i="1"/>
  <c r="P1246" i="1"/>
  <c r="P1243" i="1"/>
  <c r="P1240" i="1"/>
  <c r="P1238" i="1"/>
  <c r="P1236" i="1"/>
  <c r="P1234" i="1"/>
  <c r="P1231" i="1"/>
  <c r="P1229" i="1"/>
  <c r="P1226" i="1"/>
  <c r="P1222" i="1"/>
  <c r="P1219" i="1"/>
  <c r="P1215" i="1"/>
  <c r="P1214" i="1" s="1"/>
  <c r="P1210" i="1"/>
  <c r="P1207" i="1"/>
  <c r="P1198" i="1"/>
  <c r="P1196" i="1"/>
  <c r="P1189" i="1"/>
  <c r="P1188" i="1" s="1"/>
  <c r="P1184" i="1"/>
  <c r="P1183" i="1" s="1"/>
  <c r="P1182" i="1" s="1"/>
  <c r="P1178" i="1"/>
  <c r="P1177" i="1" s="1"/>
  <c r="P1170" i="1"/>
  <c r="P1168" i="1"/>
  <c r="P1163" i="1"/>
  <c r="P1161" i="1"/>
  <c r="P1157" i="1"/>
  <c r="P1156" i="1" s="1"/>
  <c r="P1153" i="1"/>
  <c r="P1151" i="1"/>
  <c r="P1148" i="1"/>
  <c r="P1145" i="1"/>
  <c r="P1144" i="1" s="1"/>
  <c r="P1141" i="1"/>
  <c r="P1140" i="1" s="1"/>
  <c r="P1138" i="1"/>
  <c r="P1134" i="1"/>
  <c r="P1131" i="1"/>
  <c r="P1129" i="1"/>
  <c r="P1127" i="1"/>
  <c r="P1125" i="1"/>
  <c r="P1123" i="1"/>
  <c r="P1042" i="1"/>
  <c r="Q1042" i="1" s="1"/>
  <c r="S1042" i="1" s="1"/>
  <c r="U1042" i="1" s="1"/>
  <c r="W1042" i="1" s="1"/>
  <c r="Y1042" i="1" s="1"/>
  <c r="P1040" i="1"/>
  <c r="P1038" i="1"/>
  <c r="P1035" i="1"/>
  <c r="P1033" i="1"/>
  <c r="P1031" i="1"/>
  <c r="P1029" i="1"/>
  <c r="P1027" i="1"/>
  <c r="P1025" i="1"/>
  <c r="P1023" i="1"/>
  <c r="P1021" i="1"/>
  <c r="P1019" i="1"/>
  <c r="P1017" i="1"/>
  <c r="P1015" i="1"/>
  <c r="P1013" i="1"/>
  <c r="P1011" i="1"/>
  <c r="P1009" i="1"/>
  <c r="P1007" i="1"/>
  <c r="P1005" i="1"/>
  <c r="P1003" i="1"/>
  <c r="P1001" i="1"/>
  <c r="P999" i="1"/>
  <c r="P993" i="1"/>
  <c r="P989" i="1"/>
  <c r="P987" i="1"/>
  <c r="P985" i="1"/>
  <c r="P983" i="1"/>
  <c r="P979" i="1"/>
  <c r="P978" i="1" s="1"/>
  <c r="P973" i="1"/>
  <c r="P972" i="1" s="1"/>
  <c r="P970" i="1"/>
  <c r="P968" i="1"/>
  <c r="P963" i="1"/>
  <c r="P961" i="1"/>
  <c r="P957" i="1"/>
  <c r="P954" i="1" s="1"/>
  <c r="P951" i="1"/>
  <c r="P949" i="1"/>
  <c r="P946" i="1"/>
  <c r="P942" i="1"/>
  <c r="P939" i="1"/>
  <c r="P937" i="1"/>
  <c r="P934" i="1"/>
  <c r="P931" i="1"/>
  <c r="P929" i="1"/>
  <c r="P906" i="1"/>
  <c r="P904" i="1"/>
  <c r="P900" i="1"/>
  <c r="P898" i="1"/>
  <c r="P895" i="1"/>
  <c r="P889" i="1"/>
  <c r="P888" i="1" s="1"/>
  <c r="P882" i="1"/>
  <c r="P881" i="1" s="1"/>
  <c r="P879" i="1"/>
  <c r="P878" i="1" s="1"/>
  <c r="P874" i="1"/>
  <c r="P873" i="1" s="1"/>
  <c r="P863" i="1"/>
  <c r="P856" i="1" s="1"/>
  <c r="P851" i="1"/>
  <c r="P849" i="1"/>
  <c r="P847" i="1"/>
  <c r="P843" i="1"/>
  <c r="P831" i="1"/>
  <c r="P822" i="1"/>
  <c r="P820" i="1"/>
  <c r="P814" i="1"/>
  <c r="P813" i="1" s="1"/>
  <c r="P810" i="1"/>
  <c r="P809" i="1" s="1"/>
  <c r="P807" i="1"/>
  <c r="P804" i="1"/>
  <c r="P803" i="1" s="1"/>
  <c r="P801" i="1"/>
  <c r="P800" i="1" s="1"/>
  <c r="P796" i="1"/>
  <c r="P794" i="1"/>
  <c r="P792" i="1"/>
  <c r="P790" i="1"/>
  <c r="P788" i="1"/>
  <c r="P784" i="1"/>
  <c r="P782" i="1"/>
  <c r="P419" i="1"/>
  <c r="P418" i="1" s="1"/>
  <c r="P416" i="1"/>
  <c r="P415" i="1" s="1"/>
  <c r="P413" i="1"/>
  <c r="P411" i="1"/>
  <c r="P409" i="1"/>
  <c r="P407" i="1"/>
  <c r="P405" i="1"/>
  <c r="P403" i="1"/>
  <c r="P401" i="1"/>
  <c r="P399" i="1"/>
  <c r="P397" i="1"/>
  <c r="P395" i="1"/>
  <c r="P393" i="1"/>
  <c r="P391" i="1"/>
  <c r="P389" i="1"/>
  <c r="P387" i="1"/>
  <c r="P385" i="1"/>
  <c r="P383" i="1"/>
  <c r="P381" i="1"/>
  <c r="P379" i="1"/>
  <c r="P377" i="1"/>
  <c r="P373" i="1"/>
  <c r="P371" i="1"/>
  <c r="P359" i="1"/>
  <c r="P358" i="1" s="1"/>
  <c r="P357" i="1" s="1"/>
  <c r="P349" i="1"/>
  <c r="P347" i="1"/>
  <c r="P339" i="1"/>
  <c r="P338" i="1" s="1"/>
  <c r="P336" i="1"/>
  <c r="P335" i="1" s="1"/>
  <c r="P329" i="1"/>
  <c r="P326" i="1" s="1"/>
  <c r="P325" i="1" s="1"/>
  <c r="P303" i="1"/>
  <c r="P299" i="1"/>
  <c r="P297" i="1"/>
  <c r="P292" i="1"/>
  <c r="P291" i="1" s="1"/>
  <c r="P286" i="1"/>
  <c r="P285" i="1" s="1"/>
  <c r="P281" i="1"/>
  <c r="P280" i="1" s="1"/>
  <c r="P279" i="1" s="1"/>
  <c r="P276" i="1"/>
  <c r="P275" i="1" s="1"/>
  <c r="P274" i="1" s="1"/>
  <c r="P266" i="1"/>
  <c r="P265" i="1" s="1"/>
  <c r="P261" i="1"/>
  <c r="P259" i="1"/>
  <c r="P256" i="1"/>
  <c r="P251" i="1"/>
  <c r="P250" i="1" s="1"/>
  <c r="P249" i="1" s="1"/>
  <c r="P247" i="1"/>
  <c r="P239" i="1"/>
  <c r="P237" i="1"/>
  <c r="P234" i="1"/>
  <c r="P231" i="1"/>
  <c r="P227" i="1"/>
  <c r="P220" i="1" s="1"/>
  <c r="P218" i="1"/>
  <c r="P217" i="1" s="1"/>
  <c r="P215" i="1"/>
  <c r="P214" i="1" s="1"/>
  <c r="P206" i="1"/>
  <c r="P201" i="1"/>
  <c r="P194" i="1" s="1"/>
  <c r="P183" i="1"/>
  <c r="P175" i="1"/>
  <c r="P173" i="1"/>
  <c r="P165" i="1"/>
  <c r="P158" i="1" s="1"/>
  <c r="P153" i="1"/>
  <c r="P151" i="1"/>
  <c r="P145" i="1"/>
  <c r="P144" i="1" s="1"/>
  <c r="P137" i="1"/>
  <c r="P130" i="1" s="1"/>
  <c r="P120" i="1"/>
  <c r="P112" i="1"/>
  <c r="P111" i="1" s="1"/>
  <c r="P104" i="1"/>
  <c r="P101" i="1"/>
  <c r="P95" i="1"/>
  <c r="P90" i="1"/>
  <c r="P78" i="1"/>
  <c r="P67" i="1"/>
  <c r="P46" i="1"/>
  <c r="P45" i="1" s="1"/>
  <c r="P41" i="1"/>
  <c r="P40" i="1" s="1"/>
  <c r="P35" i="1"/>
  <c r="P21" i="1"/>
  <c r="P17" i="1" s="1"/>
  <c r="P1426" i="1" l="1"/>
  <c r="P1420" i="1" s="1"/>
  <c r="P779" i="1"/>
  <c r="P778" i="1" s="1"/>
  <c r="P1119" i="1"/>
  <c r="P1347" i="1"/>
  <c r="P1346" i="1" s="1"/>
  <c r="P1305" i="1"/>
  <c r="P1737" i="1"/>
  <c r="P1736" i="1" s="1"/>
  <c r="P1612" i="1"/>
  <c r="P296" i="1"/>
  <c r="P290" i="1" s="1"/>
  <c r="P1195" i="1"/>
  <c r="P1194" i="1" s="1"/>
  <c r="P1193" i="1" s="1"/>
  <c r="P1335" i="1"/>
  <c r="P1488" i="1"/>
  <c r="P1483" i="1" s="1"/>
  <c r="P172" i="1"/>
  <c r="P155" i="1" s="1"/>
  <c r="P1469" i="1"/>
  <c r="P1468" i="1" s="1"/>
  <c r="P827" i="1"/>
  <c r="P928" i="1"/>
  <c r="P982" i="1"/>
  <c r="P981" i="1" s="1"/>
  <c r="P1037" i="1"/>
  <c r="P150" i="1"/>
  <c r="P149" i="1" s="1"/>
  <c r="P148" i="1" s="1"/>
  <c r="P1522" i="1"/>
  <c r="P1655" i="1"/>
  <c r="P1654" i="1" s="1"/>
  <c r="P1299" i="1"/>
  <c r="P1500" i="1"/>
  <c r="P903" i="1"/>
  <c r="P1213" i="1"/>
  <c r="P1802" i="1"/>
  <c r="P1801" i="1" s="1"/>
  <c r="P894" i="1"/>
  <c r="P1574" i="1"/>
  <c r="P1634" i="1"/>
  <c r="P1776" i="1"/>
  <c r="P1769" i="1" s="1"/>
  <c r="P1373" i="1"/>
  <c r="P812" i="1"/>
  <c r="P376" i="1"/>
  <c r="P375" i="1" s="1"/>
  <c r="P806" i="1"/>
  <c r="P846" i="1"/>
  <c r="P60" i="1"/>
  <c r="P346" i="1"/>
  <c r="P345" i="1" s="1"/>
  <c r="P344" i="1" s="1"/>
  <c r="P877" i="1"/>
  <c r="P876" i="1" s="1"/>
  <c r="P1416" i="1"/>
  <c r="P967" i="1"/>
  <c r="P966" i="1" s="1"/>
  <c r="P1225" i="1"/>
  <c r="P258" i="1"/>
  <c r="P253" i="1" s="1"/>
  <c r="P998" i="1"/>
  <c r="P1458" i="1"/>
  <c r="P1204" i="1"/>
  <c r="P1203" i="1" s="1"/>
  <c r="P1544" i="1"/>
  <c r="P1691" i="1"/>
  <c r="P1160" i="1"/>
  <c r="P1159" i="1" s="1"/>
  <c r="P1167" i="1"/>
  <c r="P1166" i="1" s="1"/>
  <c r="P1406" i="1"/>
  <c r="P1405" i="1" s="1"/>
  <c r="P1719" i="1"/>
  <c r="P1756" i="1"/>
  <c r="P1755" i="1" s="1"/>
  <c r="P1754" i="1" s="1"/>
  <c r="P1563" i="1"/>
  <c r="P1723" i="1"/>
  <c r="P1830" i="1"/>
  <c r="P1829" i="1" s="1"/>
  <c r="P1828" i="1" s="1"/>
  <c r="P110" i="1"/>
  <c r="P16" i="1"/>
  <c r="P356" i="1"/>
  <c r="P44" i="1"/>
  <c r="P230" i="1"/>
  <c r="P264" i="1"/>
  <c r="P278" i="1"/>
  <c r="P334" i="1"/>
  <c r="P28" i="1"/>
  <c r="P39" i="1"/>
  <c r="P53" i="1"/>
  <c r="P103" i="1"/>
  <c r="P116" i="1"/>
  <c r="P143" i="1"/>
  <c r="P179" i="1"/>
  <c r="P284" i="1"/>
  <c r="P1255" i="1"/>
  <c r="P872" i="1"/>
  <c r="P977" i="1"/>
  <c r="P1147" i="1"/>
  <c r="P1181" i="1"/>
  <c r="P1155" i="1"/>
  <c r="P817" i="1"/>
  <c r="P960" i="1"/>
  <c r="P1218" i="1"/>
  <c r="P1270" i="1"/>
  <c r="P1291" i="1"/>
  <c r="P1587" i="1"/>
  <c r="P1745" i="1"/>
  <c r="P1794" i="1"/>
  <c r="P1823" i="1"/>
  <c r="P1557" i="1"/>
  <c r="P1863" i="1"/>
  <c r="P1444" i="1"/>
  <c r="P1548" i="1"/>
  <c r="P1682" i="1"/>
  <c r="P1366" i="1"/>
  <c r="P1675" i="1"/>
  <c r="P1730" i="1"/>
  <c r="P1765" i="1"/>
  <c r="P1388" i="1"/>
  <c r="P1451" i="1"/>
  <c r="P1461" i="1"/>
  <c r="P1688" i="1"/>
  <c r="P1695" i="1"/>
  <c r="P1704" i="1"/>
  <c r="P1818" i="1"/>
  <c r="O57" i="1"/>
  <c r="Q57" i="1" s="1"/>
  <c r="S57" i="1" s="1"/>
  <c r="U57" i="1" s="1"/>
  <c r="W57" i="1" s="1"/>
  <c r="Y57" i="1" s="1"/>
  <c r="AA57" i="1" s="1"/>
  <c r="O50" i="1"/>
  <c r="Q50" i="1" s="1"/>
  <c r="S50" i="1" s="1"/>
  <c r="U50" i="1" s="1"/>
  <c r="W50" i="1" s="1"/>
  <c r="Y50" i="1" s="1"/>
  <c r="AA50" i="1" s="1"/>
  <c r="P1118" i="1" l="1"/>
  <c r="P1117" i="1" s="1"/>
  <c r="P1499" i="1"/>
  <c r="P1467" i="1" s="1"/>
  <c r="P997" i="1"/>
  <c r="P992" i="1" s="1"/>
  <c r="P826" i="1"/>
  <c r="P825" i="1" s="1"/>
  <c r="P887" i="1"/>
  <c r="P886" i="1" s="1"/>
  <c r="P1735" i="1"/>
  <c r="P1734" i="1" s="1"/>
  <c r="P1573" i="1"/>
  <c r="P1572" i="1" s="1"/>
  <c r="P1404" i="1"/>
  <c r="P1403" i="1" s="1"/>
  <c r="P799" i="1"/>
  <c r="P1540" i="1"/>
  <c r="P1687" i="1"/>
  <c r="P1800" i="1"/>
  <c r="P816" i="1"/>
  <c r="P1165" i="1"/>
  <c r="P178" i="1"/>
  <c r="P52" i="1"/>
  <c r="P343" i="1"/>
  <c r="P273" i="1"/>
  <c r="P324" i="1"/>
  <c r="P311" i="1" s="1"/>
  <c r="P370" i="1"/>
  <c r="P1450" i="1"/>
  <c r="P1700" i="1"/>
  <c r="P1298" i="1"/>
  <c r="P1252" i="1"/>
  <c r="P142" i="1"/>
  <c r="P1827" i="1"/>
  <c r="P1753" i="1"/>
  <c r="P1365" i="1"/>
  <c r="P1437" i="1"/>
  <c r="P1269" i="1"/>
  <c r="P976" i="1"/>
  <c r="P1192" i="1"/>
  <c r="P927" i="1"/>
  <c r="P115" i="1"/>
  <c r="P27" i="1"/>
  <c r="P263" i="1"/>
  <c r="P773" i="1"/>
  <c r="P289" i="1"/>
  <c r="P1817" i="1"/>
  <c r="P1694" i="1"/>
  <c r="P1457" i="1"/>
  <c r="P1760" i="1"/>
  <c r="P1372" i="1"/>
  <c r="P1862" i="1"/>
  <c r="P1217" i="1"/>
  <c r="P1180" i="1"/>
  <c r="P213" i="1"/>
  <c r="P59" i="1"/>
  <c r="N1705" i="1"/>
  <c r="O1709" i="1"/>
  <c r="Q1709" i="1" s="1"/>
  <c r="S1709" i="1" s="1"/>
  <c r="U1709" i="1" s="1"/>
  <c r="W1709" i="1" s="1"/>
  <c r="Y1709" i="1" s="1"/>
  <c r="AA1709" i="1" s="1"/>
  <c r="N931" i="1"/>
  <c r="O933" i="1"/>
  <c r="Q933" i="1" s="1"/>
  <c r="S933" i="1" s="1"/>
  <c r="U933" i="1" s="1"/>
  <c r="W933" i="1" s="1"/>
  <c r="Y933" i="1" s="1"/>
  <c r="AA933" i="1" s="1"/>
  <c r="N1336" i="1"/>
  <c r="O1338" i="1"/>
  <c r="Q1338" i="1" s="1"/>
  <c r="S1338" i="1" s="1"/>
  <c r="U1338" i="1" s="1"/>
  <c r="W1338" i="1" s="1"/>
  <c r="Y1338" i="1" s="1"/>
  <c r="AA1338" i="1" s="1"/>
  <c r="N266" i="1"/>
  <c r="O267" i="1"/>
  <c r="Q267" i="1" s="1"/>
  <c r="S267" i="1" s="1"/>
  <c r="U267" i="1" s="1"/>
  <c r="W267" i="1" s="1"/>
  <c r="Y267" i="1" s="1"/>
  <c r="AA267" i="1" s="1"/>
  <c r="N55" i="1"/>
  <c r="N54" i="1"/>
  <c r="N48" i="1"/>
  <c r="N47" i="1"/>
  <c r="N1257" i="1"/>
  <c r="N1256" i="1" s="1"/>
  <c r="N53" i="1" l="1"/>
  <c r="P798" i="1"/>
  <c r="P212" i="1"/>
  <c r="P1202" i="1"/>
  <c r="P926" i="1"/>
  <c r="P915" i="1" s="1"/>
  <c r="P1466" i="1"/>
  <c r="P1699" i="1"/>
  <c r="P1653" i="1" s="1"/>
  <c r="P1449" i="1"/>
  <c r="P1369" i="1"/>
  <c r="P288" i="1"/>
  <c r="P369" i="1"/>
  <c r="P51" i="1"/>
  <c r="P1799" i="1"/>
  <c r="P1759" i="1"/>
  <c r="P1191" i="1"/>
  <c r="P1268" i="1"/>
  <c r="P58" i="1"/>
  <c r="P885" i="1"/>
  <c r="P114" i="1"/>
  <c r="P1251" i="1"/>
  <c r="N46" i="1"/>
  <c r="O1663" i="1"/>
  <c r="Q1663" i="1" s="1"/>
  <c r="S1663" i="1" s="1"/>
  <c r="U1663" i="1" s="1"/>
  <c r="W1663" i="1" s="1"/>
  <c r="Y1663" i="1" s="1"/>
  <c r="AA1663" i="1" s="1"/>
  <c r="O1250" i="1"/>
  <c r="Q1250" i="1" s="1"/>
  <c r="S1250" i="1" s="1"/>
  <c r="U1250" i="1" s="1"/>
  <c r="W1250" i="1" s="1"/>
  <c r="Y1250" i="1" s="1"/>
  <c r="AA1250" i="1" s="1"/>
  <c r="O242" i="1"/>
  <c r="Q242" i="1" s="1"/>
  <c r="S242" i="1" s="1"/>
  <c r="U242" i="1" s="1"/>
  <c r="W242" i="1" s="1"/>
  <c r="Y242" i="1" s="1"/>
  <c r="AA242" i="1" s="1"/>
  <c r="O244" i="1"/>
  <c r="Q244" i="1" s="1"/>
  <c r="S244" i="1" s="1"/>
  <c r="U244" i="1" s="1"/>
  <c r="W244" i="1" s="1"/>
  <c r="Y244" i="1" s="1"/>
  <c r="AA244" i="1" s="1"/>
  <c r="O245" i="1"/>
  <c r="Q245" i="1" s="1"/>
  <c r="S245" i="1" s="1"/>
  <c r="U245" i="1" s="1"/>
  <c r="W245" i="1" s="1"/>
  <c r="Y245" i="1" s="1"/>
  <c r="AA245" i="1" s="1"/>
  <c r="O246" i="1"/>
  <c r="Q246" i="1" s="1"/>
  <c r="S246" i="1" s="1"/>
  <c r="U246" i="1" s="1"/>
  <c r="W246" i="1" s="1"/>
  <c r="Y246" i="1" s="1"/>
  <c r="AA246" i="1" s="1"/>
  <c r="P43" i="1" l="1"/>
  <c r="P1571" i="1"/>
  <c r="P272" i="1"/>
  <c r="P975" i="1"/>
  <c r="P1201" i="1"/>
  <c r="P368" i="1"/>
  <c r="P364" i="1" s="1"/>
  <c r="P1267" i="1"/>
  <c r="P1752" i="1"/>
  <c r="P147" i="1"/>
  <c r="N1262" i="1"/>
  <c r="O1262" i="1" s="1"/>
  <c r="Q1262" i="1" s="1"/>
  <c r="S1262" i="1" s="1"/>
  <c r="U1262" i="1" s="1"/>
  <c r="W1262" i="1" s="1"/>
  <c r="Y1262" i="1" s="1"/>
  <c r="O1263" i="1"/>
  <c r="Q1263" i="1" s="1"/>
  <c r="S1263" i="1" s="1"/>
  <c r="U1263" i="1" s="1"/>
  <c r="W1263" i="1" s="1"/>
  <c r="Y1263" i="1" s="1"/>
  <c r="AA1263" i="1" s="1"/>
  <c r="P884" i="1" l="1"/>
  <c r="P1200" i="1"/>
  <c r="P342" i="1"/>
  <c r="P38" i="1"/>
  <c r="N1232" i="1"/>
  <c r="P15" i="1" l="1"/>
  <c r="P1870" i="1" s="1"/>
  <c r="N1135" i="1"/>
  <c r="N1879" i="1" s="1"/>
  <c r="N177" i="1"/>
  <c r="P1868" i="1" l="1"/>
  <c r="N137" i="1"/>
  <c r="N1851" i="1"/>
  <c r="N1844" i="1"/>
  <c r="N1595" i="1"/>
  <c r="N1137" i="1"/>
  <c r="N1527" i="1"/>
  <c r="N1526" i="1" s="1"/>
  <c r="O1142" i="1"/>
  <c r="Q1142" i="1" s="1"/>
  <c r="S1142" i="1" s="1"/>
  <c r="U1142" i="1" s="1"/>
  <c r="W1142" i="1" s="1"/>
  <c r="Y1142" i="1" s="1"/>
  <c r="AA1142" i="1" s="1"/>
  <c r="N1141" i="1"/>
  <c r="N963" i="1"/>
  <c r="O964" i="1"/>
  <c r="Q964" i="1" s="1"/>
  <c r="S964" i="1" s="1"/>
  <c r="U964" i="1" s="1"/>
  <c r="W964" i="1" s="1"/>
  <c r="Y964" i="1" s="1"/>
  <c r="AA964" i="1" s="1"/>
  <c r="N957" i="1"/>
  <c r="O958" i="1"/>
  <c r="Q958" i="1" s="1"/>
  <c r="S958" i="1" s="1"/>
  <c r="U958" i="1" s="1"/>
  <c r="W958" i="1" s="1"/>
  <c r="Y958" i="1" s="1"/>
  <c r="AA958" i="1" s="1"/>
  <c r="N945" i="1"/>
  <c r="N843" i="1"/>
  <c r="O845" i="1"/>
  <c r="Q845" i="1" s="1"/>
  <c r="S845" i="1" s="1"/>
  <c r="U845" i="1" s="1"/>
  <c r="W845" i="1" s="1"/>
  <c r="Y845" i="1" s="1"/>
  <c r="AA845" i="1" s="1"/>
  <c r="N795" i="1"/>
  <c r="N1152" i="1"/>
  <c r="N248" i="1"/>
  <c r="N241" i="1"/>
  <c r="N239" i="1" s="1"/>
  <c r="N83" i="1"/>
  <c r="N72" i="1"/>
  <c r="N1659" i="1"/>
  <c r="O1530" i="1"/>
  <c r="Q1530" i="1" s="1"/>
  <c r="S1530" i="1" s="1"/>
  <c r="U1530" i="1" s="1"/>
  <c r="W1530" i="1" s="1"/>
  <c r="Y1530" i="1" s="1"/>
  <c r="AA1530" i="1" s="1"/>
  <c r="N1529" i="1"/>
  <c r="O1528" i="1"/>
  <c r="Q1528" i="1" s="1"/>
  <c r="S1528" i="1" s="1"/>
  <c r="U1528" i="1" s="1"/>
  <c r="W1528" i="1" s="1"/>
  <c r="Y1528" i="1" s="1"/>
  <c r="AA1528" i="1" s="1"/>
  <c r="N1398" i="1"/>
  <c r="O1398" i="1" s="1"/>
  <c r="Q1398" i="1" s="1"/>
  <c r="S1398" i="1" s="1"/>
  <c r="U1398" i="1" s="1"/>
  <c r="W1398" i="1" s="1"/>
  <c r="Y1398" i="1" s="1"/>
  <c r="N1396" i="1"/>
  <c r="O1396" i="1" s="1"/>
  <c r="Q1396" i="1" s="1"/>
  <c r="S1396" i="1" s="1"/>
  <c r="U1396" i="1" s="1"/>
  <c r="W1396" i="1" s="1"/>
  <c r="Y1396" i="1" s="1"/>
  <c r="O1397" i="1"/>
  <c r="Q1397" i="1" s="1"/>
  <c r="S1397" i="1" s="1"/>
  <c r="U1397" i="1" s="1"/>
  <c r="W1397" i="1" s="1"/>
  <c r="Y1397" i="1" s="1"/>
  <c r="AA1397" i="1" s="1"/>
  <c r="O1399" i="1"/>
  <c r="Q1399" i="1" s="1"/>
  <c r="S1399" i="1" s="1"/>
  <c r="U1399" i="1" s="1"/>
  <c r="W1399" i="1" s="1"/>
  <c r="Y1399" i="1" s="1"/>
  <c r="AA1399" i="1" s="1"/>
  <c r="N1240" i="1"/>
  <c r="O1242" i="1"/>
  <c r="Q1242" i="1" s="1"/>
  <c r="S1242" i="1" s="1"/>
  <c r="U1242" i="1" s="1"/>
  <c r="W1242" i="1" s="1"/>
  <c r="Y1242" i="1" s="1"/>
  <c r="AA1242" i="1" s="1"/>
  <c r="O867" i="1"/>
  <c r="Q867" i="1" s="1"/>
  <c r="S867" i="1" s="1"/>
  <c r="U867" i="1" s="1"/>
  <c r="W867" i="1" s="1"/>
  <c r="Y867" i="1" s="1"/>
  <c r="AA867" i="1" s="1"/>
  <c r="N863" i="1"/>
  <c r="N1874" i="1" l="1"/>
  <c r="N1877" i="1"/>
  <c r="O865" i="1"/>
  <c r="Q865" i="1" s="1"/>
  <c r="S865" i="1" s="1"/>
  <c r="U865" i="1" s="1"/>
  <c r="W865" i="1" s="1"/>
  <c r="Y865" i="1" s="1"/>
  <c r="AA865" i="1" s="1"/>
  <c r="N831" i="1"/>
  <c r="O839" i="1"/>
  <c r="Q839" i="1" s="1"/>
  <c r="S839" i="1" s="1"/>
  <c r="U839" i="1" s="1"/>
  <c r="W839" i="1" s="1"/>
  <c r="Y839" i="1" s="1"/>
  <c r="AA839" i="1" s="1"/>
  <c r="N1163" i="1"/>
  <c r="O1163" i="1" s="1"/>
  <c r="Q1163" i="1" s="1"/>
  <c r="S1163" i="1" s="1"/>
  <c r="U1163" i="1" s="1"/>
  <c r="W1163" i="1" s="1"/>
  <c r="Y1163" i="1" s="1"/>
  <c r="O1164" i="1"/>
  <c r="Q1164" i="1" s="1"/>
  <c r="S1164" i="1" s="1"/>
  <c r="U1164" i="1" s="1"/>
  <c r="W1164" i="1" s="1"/>
  <c r="Y1164" i="1" s="1"/>
  <c r="AA1164" i="1" s="1"/>
  <c r="N1157" i="1"/>
  <c r="O1157" i="1" s="1"/>
  <c r="Q1157" i="1" s="1"/>
  <c r="S1157" i="1" s="1"/>
  <c r="U1157" i="1" s="1"/>
  <c r="W1157" i="1" s="1"/>
  <c r="Y1157" i="1" s="1"/>
  <c r="O1158" i="1"/>
  <c r="Q1158" i="1" s="1"/>
  <c r="S1158" i="1" s="1"/>
  <c r="U1158" i="1" s="1"/>
  <c r="W1158" i="1" s="1"/>
  <c r="Y1158" i="1" s="1"/>
  <c r="AA1158" i="1" s="1"/>
  <c r="N1153" i="1"/>
  <c r="O1153" i="1" s="1"/>
  <c r="Q1153" i="1" s="1"/>
  <c r="S1153" i="1" s="1"/>
  <c r="U1153" i="1" s="1"/>
  <c r="W1153" i="1" s="1"/>
  <c r="Y1153" i="1" s="1"/>
  <c r="O1154" i="1"/>
  <c r="Q1154" i="1" s="1"/>
  <c r="S1154" i="1" s="1"/>
  <c r="U1154" i="1" s="1"/>
  <c r="W1154" i="1" s="1"/>
  <c r="Y1154" i="1" s="1"/>
  <c r="AA1154" i="1" s="1"/>
  <c r="N371" i="1"/>
  <c r="O371" i="1" s="1"/>
  <c r="Q371" i="1" s="1"/>
  <c r="S371" i="1" s="1"/>
  <c r="U371" i="1" s="1"/>
  <c r="W371" i="1" s="1"/>
  <c r="Y371" i="1" s="1"/>
  <c r="O372" i="1"/>
  <c r="Q372" i="1" s="1"/>
  <c r="S372" i="1" s="1"/>
  <c r="U372" i="1" s="1"/>
  <c r="W372" i="1" s="1"/>
  <c r="Y372" i="1" s="1"/>
  <c r="AA372" i="1" s="1"/>
  <c r="N1156" i="1" l="1"/>
  <c r="N1155" i="1" s="1"/>
  <c r="O1155" i="1" s="1"/>
  <c r="Q1155" i="1" s="1"/>
  <c r="S1155" i="1" s="1"/>
  <c r="U1155" i="1" s="1"/>
  <c r="W1155" i="1" s="1"/>
  <c r="Y1155" i="1" s="1"/>
  <c r="O240" i="1"/>
  <c r="Q240" i="1" s="1"/>
  <c r="S240" i="1" s="1"/>
  <c r="U240" i="1" s="1"/>
  <c r="W240" i="1" s="1"/>
  <c r="Y240" i="1" s="1"/>
  <c r="AA240" i="1" s="1"/>
  <c r="O1156" i="1" l="1"/>
  <c r="Q1156" i="1" s="1"/>
  <c r="S1156" i="1" s="1"/>
  <c r="U1156" i="1" s="1"/>
  <c r="W1156" i="1" s="1"/>
  <c r="Y1156" i="1" s="1"/>
  <c r="N1248" i="1"/>
  <c r="O1248" i="1" s="1"/>
  <c r="Q1248" i="1" s="1"/>
  <c r="S1248" i="1" s="1"/>
  <c r="U1248" i="1" s="1"/>
  <c r="W1248" i="1" s="1"/>
  <c r="Y1248" i="1" s="1"/>
  <c r="N349" i="1" l="1"/>
  <c r="O349" i="1" s="1"/>
  <c r="Q349" i="1" s="1"/>
  <c r="S349" i="1" s="1"/>
  <c r="U349" i="1" s="1"/>
  <c r="W349" i="1" s="1"/>
  <c r="Y349" i="1" s="1"/>
  <c r="O350" i="1"/>
  <c r="Q350" i="1" s="1"/>
  <c r="S350" i="1" s="1"/>
  <c r="U350" i="1" s="1"/>
  <c r="W350" i="1" s="1"/>
  <c r="Y350" i="1" s="1"/>
  <c r="AA350" i="1" s="1"/>
  <c r="N293" i="1" l="1"/>
  <c r="N1875" i="1" s="1"/>
  <c r="O1257" i="1" l="1"/>
  <c r="Q1257" i="1" s="1"/>
  <c r="S1257" i="1" s="1"/>
  <c r="U1257" i="1" s="1"/>
  <c r="W1257" i="1" s="1"/>
  <c r="Y1257" i="1" s="1"/>
  <c r="AA1257" i="1" s="1"/>
  <c r="O1256" i="1"/>
  <c r="Q1256" i="1" s="1"/>
  <c r="S1256" i="1" s="1"/>
  <c r="U1256" i="1" s="1"/>
  <c r="W1256" i="1" s="1"/>
  <c r="Y1256" i="1" s="1"/>
  <c r="O238" i="1" l="1"/>
  <c r="Q238" i="1" s="1"/>
  <c r="S238" i="1" s="1"/>
  <c r="U238" i="1" s="1"/>
  <c r="W238" i="1" s="1"/>
  <c r="Y238" i="1" s="1"/>
  <c r="AA238" i="1" s="1"/>
  <c r="O241" i="1"/>
  <c r="Q241" i="1" s="1"/>
  <c r="S241" i="1" s="1"/>
  <c r="U241" i="1" s="1"/>
  <c r="W241" i="1" s="1"/>
  <c r="Y241" i="1" s="1"/>
  <c r="AA241" i="1" s="1"/>
  <c r="N247" i="1"/>
  <c r="O239" i="1"/>
  <c r="Q239" i="1" s="1"/>
  <c r="S239" i="1" s="1"/>
  <c r="U239" i="1" s="1"/>
  <c r="W239" i="1" s="1"/>
  <c r="Y239" i="1" s="1"/>
  <c r="N237" i="1"/>
  <c r="O237" i="1" s="1"/>
  <c r="Q237" i="1" s="1"/>
  <c r="S237" i="1" s="1"/>
  <c r="U237" i="1" s="1"/>
  <c r="W237" i="1" s="1"/>
  <c r="Y237" i="1" s="1"/>
  <c r="O374" i="1" l="1"/>
  <c r="Q374" i="1" s="1"/>
  <c r="S374" i="1" s="1"/>
  <c r="U374" i="1" s="1"/>
  <c r="W374" i="1" s="1"/>
  <c r="Y374" i="1" s="1"/>
  <c r="AA374" i="1" s="1"/>
  <c r="N373" i="1"/>
  <c r="O373" i="1" s="1"/>
  <c r="Q373" i="1" s="1"/>
  <c r="S373" i="1" s="1"/>
  <c r="U373" i="1" s="1"/>
  <c r="W373" i="1" s="1"/>
  <c r="Y373" i="1" s="1"/>
  <c r="L1318" i="1" l="1"/>
  <c r="N256" i="1" l="1"/>
  <c r="O256" i="1" s="1"/>
  <c r="Q256" i="1" s="1"/>
  <c r="S256" i="1" s="1"/>
  <c r="U256" i="1" s="1"/>
  <c r="W256" i="1" s="1"/>
  <c r="Y256" i="1" s="1"/>
  <c r="O257" i="1"/>
  <c r="Q257" i="1" s="1"/>
  <c r="S257" i="1" s="1"/>
  <c r="U257" i="1" s="1"/>
  <c r="W257" i="1" s="1"/>
  <c r="Y257" i="1" s="1"/>
  <c r="AA257" i="1" s="1"/>
  <c r="N1462" i="1" l="1"/>
  <c r="O1462" i="1" s="1"/>
  <c r="Q1462" i="1" s="1"/>
  <c r="S1462" i="1" s="1"/>
  <c r="U1462" i="1" s="1"/>
  <c r="W1462" i="1" s="1"/>
  <c r="Y1462" i="1" s="1"/>
  <c r="O1463" i="1"/>
  <c r="Q1463" i="1" s="1"/>
  <c r="S1463" i="1" s="1"/>
  <c r="U1463" i="1" s="1"/>
  <c r="W1463" i="1" s="1"/>
  <c r="Y1463" i="1" s="1"/>
  <c r="AA1463" i="1" s="1"/>
  <c r="N1161" i="1" l="1"/>
  <c r="O1162" i="1"/>
  <c r="Q1162" i="1" s="1"/>
  <c r="S1162" i="1" s="1"/>
  <c r="U1162" i="1" s="1"/>
  <c r="W1162" i="1" s="1"/>
  <c r="Y1162" i="1" s="1"/>
  <c r="AA1162" i="1" s="1"/>
  <c r="O1161" i="1" l="1"/>
  <c r="Q1161" i="1" s="1"/>
  <c r="S1161" i="1" s="1"/>
  <c r="U1161" i="1" s="1"/>
  <c r="W1161" i="1" s="1"/>
  <c r="Y1161" i="1" s="1"/>
  <c r="N1160" i="1"/>
  <c r="N1370" i="1"/>
  <c r="O1370" i="1" s="1"/>
  <c r="Q1370" i="1" s="1"/>
  <c r="S1370" i="1" s="1"/>
  <c r="U1370" i="1" s="1"/>
  <c r="W1370" i="1" s="1"/>
  <c r="Y1370" i="1" s="1"/>
  <c r="O1371" i="1"/>
  <c r="Q1371" i="1" s="1"/>
  <c r="S1371" i="1" s="1"/>
  <c r="U1371" i="1" s="1"/>
  <c r="W1371" i="1" s="1"/>
  <c r="Y1371" i="1" s="1"/>
  <c r="AA1371" i="1" s="1"/>
  <c r="N1253" i="1"/>
  <c r="O1253" i="1" s="1"/>
  <c r="Q1253" i="1" s="1"/>
  <c r="S1253" i="1" s="1"/>
  <c r="U1253" i="1" s="1"/>
  <c r="W1253" i="1" s="1"/>
  <c r="Y1253" i="1" s="1"/>
  <c r="O1254" i="1"/>
  <c r="Q1254" i="1" s="1"/>
  <c r="S1254" i="1" s="1"/>
  <c r="U1254" i="1" s="1"/>
  <c r="W1254" i="1" s="1"/>
  <c r="Y1254" i="1" s="1"/>
  <c r="AA1254" i="1" s="1"/>
  <c r="O1160" i="1" l="1"/>
  <c r="Q1160" i="1" s="1"/>
  <c r="S1160" i="1" s="1"/>
  <c r="U1160" i="1" s="1"/>
  <c r="W1160" i="1" s="1"/>
  <c r="Y1160" i="1" s="1"/>
  <c r="N1159" i="1"/>
  <c r="O1159" i="1" l="1"/>
  <c r="Q1159" i="1" s="1"/>
  <c r="S1159" i="1" s="1"/>
  <c r="U1159" i="1" s="1"/>
  <c r="W1159" i="1" s="1"/>
  <c r="Y1159" i="1" s="1"/>
  <c r="N337" i="1"/>
  <c r="N1878" i="1" l="1"/>
  <c r="N1876" i="1" l="1"/>
  <c r="N1872" i="1" l="1"/>
  <c r="O1490" i="1" l="1"/>
  <c r="Q1490" i="1" s="1"/>
  <c r="S1490" i="1" s="1"/>
  <c r="U1490" i="1" s="1"/>
  <c r="W1490" i="1" s="1"/>
  <c r="Y1490" i="1" s="1"/>
  <c r="AA1490" i="1" s="1"/>
  <c r="N1489" i="1"/>
  <c r="O1489" i="1" s="1"/>
  <c r="Q1489" i="1" s="1"/>
  <c r="S1489" i="1" s="1"/>
  <c r="U1489" i="1" s="1"/>
  <c r="W1489" i="1" s="1"/>
  <c r="Y1489" i="1" s="1"/>
  <c r="N1866" i="1" l="1"/>
  <c r="N1856" i="1"/>
  <c r="N1854" i="1"/>
  <c r="N1849" i="1"/>
  <c r="N1847" i="1"/>
  <c r="N1845" i="1"/>
  <c r="N1843" i="1"/>
  <c r="N1838" i="1"/>
  <c r="N1834" i="1"/>
  <c r="N1831" i="1"/>
  <c r="N1825" i="1"/>
  <c r="N1824" i="1" s="1"/>
  <c r="N1823" i="1" s="1"/>
  <c r="N1820" i="1"/>
  <c r="N1819" i="1" s="1"/>
  <c r="N1818" i="1" s="1"/>
  <c r="N1814" i="1"/>
  <c r="N1813" i="1" s="1"/>
  <c r="N1809" i="1"/>
  <c r="N1807" i="1"/>
  <c r="N1805" i="1"/>
  <c r="N1803" i="1"/>
  <c r="N1797" i="1"/>
  <c r="N1796" i="1" s="1"/>
  <c r="N1795" i="1" s="1"/>
  <c r="N1787" i="1"/>
  <c r="N1786" i="1" s="1"/>
  <c r="N1785" i="1" s="1"/>
  <c r="N1782" i="1"/>
  <c r="N1779" i="1"/>
  <c r="N1777" i="1"/>
  <c r="N1774" i="1"/>
  <c r="N1773" i="1" s="1"/>
  <c r="N1771" i="1"/>
  <c r="N1770" i="1" s="1"/>
  <c r="N1767" i="1"/>
  <c r="N1766" i="1" s="1"/>
  <c r="N1763" i="1"/>
  <c r="N1762" i="1" s="1"/>
  <c r="N1761" i="1" s="1"/>
  <c r="N1757" i="1"/>
  <c r="N1756" i="1" s="1"/>
  <c r="N1755" i="1" s="1"/>
  <c r="N1750" i="1"/>
  <c r="N1749" i="1" s="1"/>
  <c r="N1747" i="1"/>
  <c r="N1746" i="1" s="1"/>
  <c r="N1743" i="1"/>
  <c r="N1742" i="1" s="1"/>
  <c r="N1740" i="1"/>
  <c r="N1738" i="1"/>
  <c r="N1732" i="1"/>
  <c r="N1731" i="1" s="1"/>
  <c r="N1728" i="1"/>
  <c r="N1727" i="1" s="1"/>
  <c r="N1725" i="1"/>
  <c r="N1724" i="1" s="1"/>
  <c r="N1721" i="1"/>
  <c r="N1720" i="1" s="1"/>
  <c r="N1715" i="1"/>
  <c r="N1713" i="1"/>
  <c r="N1702" i="1"/>
  <c r="N1701" i="1" s="1"/>
  <c r="N1697" i="1"/>
  <c r="N1692" i="1"/>
  <c r="N1691" i="1" s="1"/>
  <c r="N1689" i="1"/>
  <c r="N1688" i="1" s="1"/>
  <c r="N1685" i="1"/>
  <c r="N1684" i="1" s="1"/>
  <c r="N1683" i="1" s="1"/>
  <c r="N1682" i="1" s="1"/>
  <c r="N1680" i="1"/>
  <c r="N1677" i="1"/>
  <c r="N1676" i="1" s="1"/>
  <c r="N1673" i="1"/>
  <c r="N1671" i="1"/>
  <c r="N1668" i="1"/>
  <c r="N1651" i="1"/>
  <c r="N1639" i="1"/>
  <c r="N1635" i="1"/>
  <c r="N1628" i="1"/>
  <c r="N1625" i="1"/>
  <c r="N1623" i="1"/>
  <c r="N1622" i="1" s="1"/>
  <c r="N1619" i="1"/>
  <c r="N1617" i="1"/>
  <c r="N1615" i="1"/>
  <c r="N1613" i="1"/>
  <c r="N1609" i="1"/>
  <c r="N1607" i="1"/>
  <c r="N1605" i="1"/>
  <c r="N1602" i="1"/>
  <c r="N1600" i="1"/>
  <c r="N1598" i="1"/>
  <c r="N1596" i="1"/>
  <c r="N1592" i="1"/>
  <c r="N1588" i="1"/>
  <c r="N1584" i="1"/>
  <c r="N1581" i="1"/>
  <c r="N1579" i="1"/>
  <c r="N1577" i="1"/>
  <c r="N1568" i="1"/>
  <c r="N1565" i="1"/>
  <c r="N1564" i="1" s="1"/>
  <c r="N1560" i="1"/>
  <c r="N1559" i="1" s="1"/>
  <c r="N1558" i="1" s="1"/>
  <c r="N1557" i="1" s="1"/>
  <c r="N1555" i="1"/>
  <c r="N1551" i="1"/>
  <c r="N1550" i="1" s="1"/>
  <c r="N1549" i="1" s="1"/>
  <c r="N1548" i="1" s="1"/>
  <c r="N1545" i="1"/>
  <c r="N1542" i="1"/>
  <c r="N1541" i="1" s="1"/>
  <c r="N1532" i="1"/>
  <c r="N1523" i="1"/>
  <c r="N1519" i="1"/>
  <c r="N1514" i="1" s="1"/>
  <c r="N1512" i="1"/>
  <c r="N1504" i="1"/>
  <c r="N1491" i="1"/>
  <c r="N1488" i="1" s="1"/>
  <c r="N1485" i="1"/>
  <c r="N1484" i="1" s="1"/>
  <c r="N1481" i="1"/>
  <c r="N1480" i="1" s="1"/>
  <c r="N1477" i="1"/>
  <c r="N1473" i="1"/>
  <c r="N1470" i="1"/>
  <c r="N1464" i="1"/>
  <c r="N1461" i="1" s="1"/>
  <c r="N1459" i="1"/>
  <c r="N1458" i="1" s="1"/>
  <c r="N1453" i="1"/>
  <c r="N1452" i="1" s="1"/>
  <c r="N1451" i="1" s="1"/>
  <c r="N1450" i="1" s="1"/>
  <c r="N1447" i="1"/>
  <c r="N1441" i="1"/>
  <c r="N1440" i="1" s="1"/>
  <c r="N1431" i="1"/>
  <c r="N1429" i="1"/>
  <c r="N1424" i="1"/>
  <c r="N1421" i="1" s="1"/>
  <c r="N1418" i="1"/>
  <c r="N1417" i="1" s="1"/>
  <c r="N1416" i="1" s="1"/>
  <c r="N1413" i="1"/>
  <c r="N1411" i="1"/>
  <c r="N1409" i="1"/>
  <c r="N1401" i="1"/>
  <c r="N1400" i="1" s="1"/>
  <c r="N1394" i="1"/>
  <c r="N1392" i="1"/>
  <c r="N1390" i="1"/>
  <c r="N1386" i="1"/>
  <c r="N1384" i="1"/>
  <c r="N1382" i="1"/>
  <c r="N1380" i="1"/>
  <c r="N1378" i="1"/>
  <c r="N1376" i="1"/>
  <c r="N1374" i="1"/>
  <c r="N1367" i="1"/>
  <c r="N1366" i="1" s="1"/>
  <c r="N1365" i="1" s="1"/>
  <c r="N1362" i="1"/>
  <c r="N1351" i="1"/>
  <c r="N1348" i="1"/>
  <c r="N1343" i="1"/>
  <c r="N1342" i="1" s="1"/>
  <c r="N1339" i="1"/>
  <c r="N1332" i="1"/>
  <c r="N1329" i="1"/>
  <c r="N1326" i="1"/>
  <c r="N1323" i="1"/>
  <c r="N1321" i="1"/>
  <c r="N1319" i="1"/>
  <c r="N1312" i="1"/>
  <c r="N1310" i="1"/>
  <c r="N1308" i="1"/>
  <c r="N1302" i="1"/>
  <c r="N1300" i="1"/>
  <c r="N1293" i="1"/>
  <c r="N1292" i="1" s="1"/>
  <c r="N1288" i="1"/>
  <c r="N1285" i="1"/>
  <c r="N1284" i="1" s="1"/>
  <c r="N1280" i="1"/>
  <c r="N1277" i="1"/>
  <c r="N1274" i="1"/>
  <c r="N1265" i="1"/>
  <c r="N1264" i="1" s="1"/>
  <c r="N1258" i="1"/>
  <c r="N1246" i="1"/>
  <c r="N1243" i="1"/>
  <c r="N1238" i="1"/>
  <c r="N1236" i="1"/>
  <c r="N1234" i="1"/>
  <c r="N1231" i="1"/>
  <c r="N1229" i="1"/>
  <c r="N1226" i="1"/>
  <c r="N1222" i="1"/>
  <c r="N1219" i="1"/>
  <c r="N1215" i="1"/>
  <c r="N1214" i="1" s="1"/>
  <c r="N1213" i="1" s="1"/>
  <c r="N1210" i="1"/>
  <c r="N1207" i="1"/>
  <c r="N1198" i="1"/>
  <c r="N1196" i="1"/>
  <c r="N1189" i="1"/>
  <c r="N1188" i="1" s="1"/>
  <c r="N1184" i="1"/>
  <c r="N1183" i="1" s="1"/>
  <c r="N1178" i="1"/>
  <c r="N1170" i="1"/>
  <c r="N1168" i="1"/>
  <c r="N1151" i="1"/>
  <c r="N1148" i="1"/>
  <c r="N1145" i="1"/>
  <c r="N1144" i="1" s="1"/>
  <c r="N1140" i="1"/>
  <c r="N1138" i="1"/>
  <c r="N1131" i="1"/>
  <c r="N1129" i="1"/>
  <c r="N1127" i="1"/>
  <c r="N1125" i="1"/>
  <c r="N1123" i="1"/>
  <c r="N1043" i="1"/>
  <c r="N1040" i="1"/>
  <c r="N1038" i="1"/>
  <c r="N1035" i="1"/>
  <c r="N1033" i="1"/>
  <c r="N1031" i="1"/>
  <c r="N1029" i="1"/>
  <c r="N1027" i="1"/>
  <c r="N1025" i="1"/>
  <c r="N1023" i="1"/>
  <c r="N1021" i="1"/>
  <c r="N1019" i="1"/>
  <c r="N1017" i="1"/>
  <c r="N1015" i="1"/>
  <c r="N1013" i="1"/>
  <c r="N1011" i="1"/>
  <c r="N1009" i="1"/>
  <c r="N1007" i="1"/>
  <c r="N1005" i="1"/>
  <c r="N1003" i="1"/>
  <c r="N1001" i="1"/>
  <c r="N999" i="1"/>
  <c r="N993" i="1"/>
  <c r="N989" i="1"/>
  <c r="N987" i="1"/>
  <c r="N985" i="1"/>
  <c r="N983" i="1"/>
  <c r="N979" i="1"/>
  <c r="N978" i="1" s="1"/>
  <c r="N977" i="1" s="1"/>
  <c r="N973" i="1"/>
  <c r="N972" i="1" s="1"/>
  <c r="N970" i="1"/>
  <c r="N968" i="1"/>
  <c r="N961" i="1"/>
  <c r="N954" i="1"/>
  <c r="N951" i="1"/>
  <c r="N949" i="1"/>
  <c r="N946" i="1"/>
  <c r="N942" i="1"/>
  <c r="N939" i="1"/>
  <c r="N937" i="1"/>
  <c r="N934" i="1"/>
  <c r="N929" i="1"/>
  <c r="N906" i="1"/>
  <c r="N904" i="1"/>
  <c r="N900" i="1"/>
  <c r="N898" i="1"/>
  <c r="N895" i="1"/>
  <c r="N889" i="1"/>
  <c r="N888" i="1" s="1"/>
  <c r="N882" i="1"/>
  <c r="N881" i="1" s="1"/>
  <c r="N879" i="1"/>
  <c r="N878" i="1" s="1"/>
  <c r="N874" i="1"/>
  <c r="N873" i="1" s="1"/>
  <c r="N872" i="1" s="1"/>
  <c r="N856" i="1"/>
  <c r="N851" i="1"/>
  <c r="N849" i="1"/>
  <c r="N847" i="1"/>
  <c r="N822" i="1"/>
  <c r="N820" i="1"/>
  <c r="N814" i="1"/>
  <c r="N813" i="1" s="1"/>
  <c r="N812" i="1" s="1"/>
  <c r="N810" i="1"/>
  <c r="N809" i="1" s="1"/>
  <c r="N807" i="1"/>
  <c r="N806" i="1" s="1"/>
  <c r="N804" i="1"/>
  <c r="N803" i="1" s="1"/>
  <c r="N801" i="1"/>
  <c r="N800" i="1" s="1"/>
  <c r="N796" i="1"/>
  <c r="N794" i="1"/>
  <c r="N792" i="1"/>
  <c r="N790" i="1"/>
  <c r="N788" i="1"/>
  <c r="N784" i="1"/>
  <c r="N782" i="1"/>
  <c r="N416" i="1"/>
  <c r="N413" i="1"/>
  <c r="N411" i="1"/>
  <c r="N409" i="1"/>
  <c r="N407" i="1"/>
  <c r="N405" i="1"/>
  <c r="N403" i="1"/>
  <c r="N401" i="1"/>
  <c r="N399" i="1"/>
  <c r="N395" i="1"/>
  <c r="N393" i="1"/>
  <c r="N391" i="1"/>
  <c r="N389" i="1"/>
  <c r="N387" i="1"/>
  <c r="N385" i="1"/>
  <c r="N383" i="1"/>
  <c r="N381" i="1"/>
  <c r="N379" i="1"/>
  <c r="N377" i="1"/>
  <c r="N359" i="1"/>
  <c r="N358" i="1" s="1"/>
  <c r="N347" i="1"/>
  <c r="N346" i="1" s="1"/>
  <c r="N339" i="1"/>
  <c r="N338" i="1" s="1"/>
  <c r="N336" i="1"/>
  <c r="N335" i="1" s="1"/>
  <c r="N329" i="1"/>
  <c r="N326" i="1" s="1"/>
  <c r="N325" i="1" s="1"/>
  <c r="N303" i="1"/>
  <c r="N299" i="1"/>
  <c r="N297" i="1"/>
  <c r="N292" i="1"/>
  <c r="N291" i="1" s="1"/>
  <c r="N286" i="1"/>
  <c r="N285" i="1" s="1"/>
  <c r="N284" i="1" s="1"/>
  <c r="N281" i="1"/>
  <c r="N280" i="1" s="1"/>
  <c r="N279" i="1" s="1"/>
  <c r="N276" i="1"/>
  <c r="N265" i="1"/>
  <c r="N261" i="1"/>
  <c r="N259" i="1"/>
  <c r="N251" i="1"/>
  <c r="N250" i="1" s="1"/>
  <c r="N234" i="1"/>
  <c r="N231" i="1"/>
  <c r="N227" i="1"/>
  <c r="N220" i="1" s="1"/>
  <c r="N218" i="1"/>
  <c r="N217" i="1" s="1"/>
  <c r="N215" i="1"/>
  <c r="N206" i="1"/>
  <c r="N201" i="1"/>
  <c r="N194" i="1" s="1"/>
  <c r="N183" i="1"/>
  <c r="N179" i="1" s="1"/>
  <c r="N173" i="1"/>
  <c r="N165" i="1"/>
  <c r="N158" i="1" s="1"/>
  <c r="N153" i="1"/>
  <c r="N151" i="1"/>
  <c r="N145" i="1"/>
  <c r="N144" i="1" s="1"/>
  <c r="N120" i="1"/>
  <c r="N116" i="1" s="1"/>
  <c r="N112" i="1"/>
  <c r="N111" i="1" s="1"/>
  <c r="N104" i="1"/>
  <c r="N103" i="1" s="1"/>
  <c r="N101" i="1"/>
  <c r="N95" i="1"/>
  <c r="N90" i="1"/>
  <c r="N78" i="1"/>
  <c r="N67" i="1"/>
  <c r="N52" i="1"/>
  <c r="N51" i="1" s="1"/>
  <c r="N45" i="1"/>
  <c r="N44" i="1" s="1"/>
  <c r="N41" i="1"/>
  <c r="N40" i="1" s="1"/>
  <c r="N39" i="1" s="1"/>
  <c r="N35" i="1"/>
  <c r="N28" i="1" s="1"/>
  <c r="N21" i="1"/>
  <c r="N17" i="1" s="1"/>
  <c r="N1255" i="1" l="1"/>
  <c r="N1252" i="1" s="1"/>
  <c r="N1147" i="1"/>
  <c r="N1218" i="1"/>
  <c r="N1745" i="1"/>
  <c r="N230" i="1"/>
  <c r="N1500" i="1"/>
  <c r="N1373" i="1"/>
  <c r="N1469" i="1"/>
  <c r="N1468" i="1" s="1"/>
  <c r="N1195" i="1"/>
  <c r="N1194" i="1" s="1"/>
  <c r="N1193" i="1" s="1"/>
  <c r="N1192" i="1" s="1"/>
  <c r="N1655" i="1"/>
  <c r="N1654" i="1" s="1"/>
  <c r="N827" i="1"/>
  <c r="N1204" i="1"/>
  <c r="N1203" i="1" s="1"/>
  <c r="N1704" i="1"/>
  <c r="N1700" i="1" s="1"/>
  <c r="N296" i="1"/>
  <c r="N290" i="1" s="1"/>
  <c r="N178" i="1"/>
  <c r="N960" i="1"/>
  <c r="N817" i="1"/>
  <c r="N816" i="1" s="1"/>
  <c r="N1776" i="1"/>
  <c r="N1769" i="1" s="1"/>
  <c r="N1426" i="1"/>
  <c r="N1420" i="1" s="1"/>
  <c r="N1406" i="1"/>
  <c r="N1405" i="1" s="1"/>
  <c r="N1612" i="1"/>
  <c r="N846" i="1"/>
  <c r="N60" i="1"/>
  <c r="N59" i="1" s="1"/>
  <c r="N275" i="1"/>
  <c r="N274" i="1" s="1"/>
  <c r="N903" i="1"/>
  <c r="N1299" i="1"/>
  <c r="N967" i="1"/>
  <c r="N966" i="1" s="1"/>
  <c r="N998" i="1"/>
  <c r="N1737" i="1"/>
  <c r="N1736" i="1" s="1"/>
  <c r="N1687" i="1"/>
  <c r="N27" i="1"/>
  <c r="N16" i="1"/>
  <c r="N115" i="1"/>
  <c r="N249" i="1"/>
  <c r="N278" i="1"/>
  <c r="N894" i="1"/>
  <c r="N150" i="1"/>
  <c r="N43" i="1"/>
  <c r="N143" i="1"/>
  <c r="N264" i="1"/>
  <c r="N110" i="1"/>
  <c r="N928" i="1"/>
  <c r="N345" i="1"/>
  <c r="N799" i="1"/>
  <c r="N877" i="1"/>
  <c r="N130" i="1"/>
  <c r="N175" i="1"/>
  <c r="N214" i="1"/>
  <c r="N258" i="1"/>
  <c r="N253" i="1" s="1"/>
  <c r="N334" i="1"/>
  <c r="N357" i="1"/>
  <c r="N397" i="1"/>
  <c r="N415" i="1"/>
  <c r="N419" i="1"/>
  <c r="N779" i="1"/>
  <c r="N1134" i="1"/>
  <c r="N1291" i="1"/>
  <c r="N1037" i="1"/>
  <c r="N1177" i="1"/>
  <c r="N1182" i="1"/>
  <c r="N1225" i="1"/>
  <c r="N1270" i="1"/>
  <c r="N1316" i="1"/>
  <c r="N1388" i="1"/>
  <c r="N1439" i="1"/>
  <c r="N982" i="1"/>
  <c r="N1167" i="1"/>
  <c r="N1335" i="1"/>
  <c r="N1347" i="1"/>
  <c r="N1574" i="1"/>
  <c r="N1679" i="1"/>
  <c r="N1675" i="1" s="1"/>
  <c r="N1730" i="1"/>
  <c r="N1754" i="1"/>
  <c r="N1765" i="1"/>
  <c r="N1817" i="1"/>
  <c r="N1554" i="1"/>
  <c r="N1637" i="1"/>
  <c r="N1650" i="1"/>
  <c r="N1696" i="1"/>
  <c r="N1723" i="1"/>
  <c r="N1812" i="1"/>
  <c r="N1446" i="1"/>
  <c r="N1457" i="1"/>
  <c r="N1483" i="1"/>
  <c r="N1544" i="1"/>
  <c r="N1540" i="1" s="1"/>
  <c r="N1567" i="1"/>
  <c r="N1563" i="1" s="1"/>
  <c r="N1590" i="1"/>
  <c r="N1594" i="1"/>
  <c r="N1719" i="1"/>
  <c r="N1865" i="1"/>
  <c r="N1522" i="1"/>
  <c r="N1794" i="1"/>
  <c r="N1830" i="1"/>
  <c r="N1802" i="1"/>
  <c r="L83" i="1"/>
  <c r="L1135" i="1"/>
  <c r="L896" i="1"/>
  <c r="L1844" i="1"/>
  <c r="L1603" i="1"/>
  <c r="L1595" i="1"/>
  <c r="L1593" i="1"/>
  <c r="L1591" i="1"/>
  <c r="L1333" i="1"/>
  <c r="L1228" i="1"/>
  <c r="L1132" i="1"/>
  <c r="L943" i="1"/>
  <c r="L795" i="1"/>
  <c r="L262" i="1"/>
  <c r="L248" i="1"/>
  <c r="L235" i="1"/>
  <c r="N1217" i="1" l="1"/>
  <c r="N1202" i="1" s="1"/>
  <c r="N826" i="1"/>
  <c r="N825" i="1" s="1"/>
  <c r="N887" i="1"/>
  <c r="N886" i="1" s="1"/>
  <c r="N1372" i="1"/>
  <c r="N1369" i="1" s="1"/>
  <c r="N997" i="1"/>
  <c r="N992" i="1" s="1"/>
  <c r="N1829" i="1"/>
  <c r="N1760" i="1"/>
  <c r="N1864" i="1"/>
  <c r="N1445" i="1"/>
  <c r="N1553" i="1"/>
  <c r="N981" i="1"/>
  <c r="N1191" i="1"/>
  <c r="N418" i="1"/>
  <c r="N172" i="1"/>
  <c r="N927" i="1"/>
  <c r="N1801" i="1"/>
  <c r="N1699" i="1"/>
  <c r="N1634" i="1"/>
  <c r="N1499" i="1"/>
  <c r="N1467" i="1" s="1"/>
  <c r="N1753" i="1"/>
  <c r="N1346" i="1"/>
  <c r="N1404" i="1"/>
  <c r="N1305" i="1"/>
  <c r="N1298" i="1" s="1"/>
  <c r="N1119" i="1"/>
  <c r="N1118" i="1" s="1"/>
  <c r="N1117" i="1" s="1"/>
  <c r="N213" i="1"/>
  <c r="N58" i="1"/>
  <c r="N38" i="1" s="1"/>
  <c r="N324" i="1"/>
  <c r="N142" i="1"/>
  <c r="N149" i="1"/>
  <c r="N1166" i="1"/>
  <c r="N1438" i="1"/>
  <c r="N1269" i="1"/>
  <c r="N876" i="1"/>
  <c r="N1735" i="1"/>
  <c r="N1695" i="1"/>
  <c r="N1449" i="1"/>
  <c r="N1587" i="1"/>
  <c r="N1181" i="1"/>
  <c r="N778" i="1"/>
  <c r="N356" i="1"/>
  <c r="N289" i="1"/>
  <c r="N344" i="1"/>
  <c r="N376" i="1"/>
  <c r="N263" i="1"/>
  <c r="N273" i="1"/>
  <c r="N114" i="1"/>
  <c r="L1316" i="1"/>
  <c r="M1317" i="1"/>
  <c r="O1317" i="1" l="1"/>
  <c r="Q1317" i="1" s="1"/>
  <c r="S1317" i="1" s="1"/>
  <c r="U1317" i="1" s="1"/>
  <c r="W1317" i="1" s="1"/>
  <c r="Y1317" i="1" s="1"/>
  <c r="AA1317" i="1" s="1"/>
  <c r="N885" i="1"/>
  <c r="N976" i="1"/>
  <c r="N1863" i="1"/>
  <c r="N1828" i="1"/>
  <c r="N375" i="1"/>
  <c r="N370" i="1" s="1"/>
  <c r="N288" i="1"/>
  <c r="N773" i="1"/>
  <c r="N1180" i="1"/>
  <c r="N1734" i="1"/>
  <c r="N1165" i="1"/>
  <c r="N1466" i="1"/>
  <c r="N311" i="1"/>
  <c r="N798" i="1"/>
  <c r="N1403" i="1"/>
  <c r="N926" i="1"/>
  <c r="N1694" i="1"/>
  <c r="N148" i="1"/>
  <c r="N1573" i="1"/>
  <c r="N1800" i="1"/>
  <c r="N155" i="1"/>
  <c r="N1251" i="1"/>
  <c r="N1444" i="1"/>
  <c r="N1759" i="1"/>
  <c r="N343" i="1"/>
  <c r="N212" i="1"/>
  <c r="M1616" i="1"/>
  <c r="L1615" i="1"/>
  <c r="M1615" i="1" s="1"/>
  <c r="O1615" i="1" s="1"/>
  <c r="Q1615" i="1" s="1"/>
  <c r="S1615" i="1" s="1"/>
  <c r="U1615" i="1" s="1"/>
  <c r="W1615" i="1" s="1"/>
  <c r="Y1615" i="1" s="1"/>
  <c r="M1402" i="1"/>
  <c r="L1401" i="1"/>
  <c r="L1400" i="1" s="1"/>
  <c r="M1400" i="1" s="1"/>
  <c r="O1400" i="1" s="1"/>
  <c r="Q1400" i="1" s="1"/>
  <c r="S1400" i="1" s="1"/>
  <c r="U1400" i="1" s="1"/>
  <c r="W1400" i="1" s="1"/>
  <c r="Y1400" i="1" s="1"/>
  <c r="M1389" i="1"/>
  <c r="M1266" i="1"/>
  <c r="L1265" i="1"/>
  <c r="L1264" i="1" s="1"/>
  <c r="M1264" i="1" s="1"/>
  <c r="O1264" i="1" s="1"/>
  <c r="Q1264" i="1" s="1"/>
  <c r="S1264" i="1" s="1"/>
  <c r="U1264" i="1" s="1"/>
  <c r="W1264" i="1" s="1"/>
  <c r="Y1264" i="1" s="1"/>
  <c r="M126" i="1"/>
  <c r="M947" i="1"/>
  <c r="L946" i="1"/>
  <c r="M946" i="1" s="1"/>
  <c r="O946" i="1" s="1"/>
  <c r="Q946" i="1" s="1"/>
  <c r="S946" i="1" s="1"/>
  <c r="U946" i="1" s="1"/>
  <c r="W946" i="1" s="1"/>
  <c r="Y946" i="1" s="1"/>
  <c r="M1179" i="1"/>
  <c r="L1178" i="1"/>
  <c r="L1177" i="1" s="1"/>
  <c r="M1177" i="1" s="1"/>
  <c r="O1177" i="1" s="1"/>
  <c r="Q1177" i="1" s="1"/>
  <c r="S1177" i="1" s="1"/>
  <c r="U1177" i="1" s="1"/>
  <c r="W1177" i="1" s="1"/>
  <c r="Y1177" i="1" s="1"/>
  <c r="M994" i="1"/>
  <c r="L993" i="1"/>
  <c r="M993" i="1" s="1"/>
  <c r="O993" i="1" s="1"/>
  <c r="Q993" i="1" s="1"/>
  <c r="S993" i="1" s="1"/>
  <c r="U993" i="1" s="1"/>
  <c r="W993" i="1" s="1"/>
  <c r="Y993" i="1" s="1"/>
  <c r="O994" i="1" l="1"/>
  <c r="Q994" i="1" s="1"/>
  <c r="S994" i="1" s="1"/>
  <c r="U994" i="1" s="1"/>
  <c r="W994" i="1" s="1"/>
  <c r="Y994" i="1" s="1"/>
  <c r="AA994" i="1" s="1"/>
  <c r="O947" i="1"/>
  <c r="Q947" i="1" s="1"/>
  <c r="S947" i="1" s="1"/>
  <c r="U947" i="1" s="1"/>
  <c r="W947" i="1" s="1"/>
  <c r="Y947" i="1" s="1"/>
  <c r="AA947" i="1" s="1"/>
  <c r="O1616" i="1"/>
  <c r="Q1616" i="1" s="1"/>
  <c r="S1616" i="1" s="1"/>
  <c r="U1616" i="1" s="1"/>
  <c r="W1616" i="1" s="1"/>
  <c r="Y1616" i="1" s="1"/>
  <c r="AA1616" i="1" s="1"/>
  <c r="O126" i="1"/>
  <c r="Q126" i="1" s="1"/>
  <c r="S126" i="1" s="1"/>
  <c r="U126" i="1" s="1"/>
  <c r="W126" i="1" s="1"/>
  <c r="Y126" i="1" s="1"/>
  <c r="AA126" i="1" s="1"/>
  <c r="O1179" i="1"/>
  <c r="Q1179" i="1" s="1"/>
  <c r="S1179" i="1" s="1"/>
  <c r="U1179" i="1" s="1"/>
  <c r="W1179" i="1" s="1"/>
  <c r="Y1179" i="1" s="1"/>
  <c r="AA1179" i="1" s="1"/>
  <c r="O1402" i="1"/>
  <c r="Q1402" i="1" s="1"/>
  <c r="S1402" i="1" s="1"/>
  <c r="U1402" i="1" s="1"/>
  <c r="W1402" i="1" s="1"/>
  <c r="Y1402" i="1" s="1"/>
  <c r="AA1402" i="1" s="1"/>
  <c r="O1389" i="1"/>
  <c r="Q1389" i="1" s="1"/>
  <c r="S1389" i="1" s="1"/>
  <c r="U1389" i="1" s="1"/>
  <c r="W1389" i="1" s="1"/>
  <c r="Y1389" i="1" s="1"/>
  <c r="AA1389" i="1" s="1"/>
  <c r="O1266" i="1"/>
  <c r="Q1266" i="1" s="1"/>
  <c r="S1266" i="1" s="1"/>
  <c r="U1266" i="1" s="1"/>
  <c r="W1266" i="1" s="1"/>
  <c r="Y1266" i="1" s="1"/>
  <c r="AA1266" i="1" s="1"/>
  <c r="N272" i="1"/>
  <c r="N1437" i="1"/>
  <c r="N1201" i="1"/>
  <c r="N975" i="1"/>
  <c r="N1268" i="1"/>
  <c r="N1799" i="1"/>
  <c r="N1653" i="1"/>
  <c r="N1862" i="1"/>
  <c r="N1572" i="1"/>
  <c r="N147" i="1"/>
  <c r="N915" i="1"/>
  <c r="N1827" i="1"/>
  <c r="M1265" i="1"/>
  <c r="O1265" i="1" s="1"/>
  <c r="Q1265" i="1" s="1"/>
  <c r="S1265" i="1" s="1"/>
  <c r="U1265" i="1" s="1"/>
  <c r="W1265" i="1" s="1"/>
  <c r="Y1265" i="1" s="1"/>
  <c r="M1178" i="1"/>
  <c r="O1178" i="1" s="1"/>
  <c r="Q1178" i="1" s="1"/>
  <c r="S1178" i="1" s="1"/>
  <c r="U1178" i="1" s="1"/>
  <c r="W1178" i="1" s="1"/>
  <c r="Y1178" i="1" s="1"/>
  <c r="M1401" i="1"/>
  <c r="O1401" i="1" s="1"/>
  <c r="Q1401" i="1" s="1"/>
  <c r="S1401" i="1" s="1"/>
  <c r="U1401" i="1" s="1"/>
  <c r="W1401" i="1" s="1"/>
  <c r="Y1401" i="1" s="1"/>
  <c r="L303" i="1"/>
  <c r="M310" i="1"/>
  <c r="M232" i="1"/>
  <c r="L231" i="1"/>
  <c r="O232" i="1" l="1"/>
  <c r="Q232" i="1" s="1"/>
  <c r="S232" i="1" s="1"/>
  <c r="U232" i="1" s="1"/>
  <c r="W232" i="1" s="1"/>
  <c r="Y232" i="1" s="1"/>
  <c r="AA232" i="1" s="1"/>
  <c r="O310" i="1"/>
  <c r="Q310" i="1" s="1"/>
  <c r="S310" i="1" s="1"/>
  <c r="U310" i="1" s="1"/>
  <c r="W310" i="1" s="1"/>
  <c r="Y310" i="1" s="1"/>
  <c r="AA310" i="1" s="1"/>
  <c r="N884" i="1"/>
  <c r="N15" i="1"/>
  <c r="N369" i="1"/>
  <c r="N1267" i="1"/>
  <c r="N1200" i="1" s="1"/>
  <c r="N1571" i="1"/>
  <c r="N1752" i="1"/>
  <c r="M42" i="1"/>
  <c r="L41" i="1"/>
  <c r="L40" i="1" s="1"/>
  <c r="L39" i="1" s="1"/>
  <c r="M39" i="1" s="1"/>
  <c r="O39" i="1" s="1"/>
  <c r="Q39" i="1" s="1"/>
  <c r="S39" i="1" s="1"/>
  <c r="U39" i="1" s="1"/>
  <c r="W39" i="1" s="1"/>
  <c r="Y39" i="1" s="1"/>
  <c r="O42" i="1" l="1"/>
  <c r="Q42" i="1" s="1"/>
  <c r="S42" i="1" s="1"/>
  <c r="U42" i="1" s="1"/>
  <c r="W42" i="1" s="1"/>
  <c r="Y42" i="1" s="1"/>
  <c r="AA42" i="1" s="1"/>
  <c r="N368" i="1"/>
  <c r="N364" i="1" s="1"/>
  <c r="M41" i="1"/>
  <c r="O41" i="1" s="1"/>
  <c r="Q41" i="1" s="1"/>
  <c r="S41" i="1" s="1"/>
  <c r="U41" i="1" s="1"/>
  <c r="W41" i="1" s="1"/>
  <c r="Y41" i="1" s="1"/>
  <c r="M40" i="1"/>
  <c r="O40" i="1" s="1"/>
  <c r="Q40" i="1" s="1"/>
  <c r="S40" i="1" s="1"/>
  <c r="U40" i="1" s="1"/>
  <c r="W40" i="1" s="1"/>
  <c r="Y40" i="1" s="1"/>
  <c r="M1309" i="1"/>
  <c r="O1309" i="1" l="1"/>
  <c r="Q1309" i="1" s="1"/>
  <c r="S1309" i="1" s="1"/>
  <c r="U1309" i="1" s="1"/>
  <c r="W1309" i="1" s="1"/>
  <c r="Y1309" i="1" s="1"/>
  <c r="AA1309" i="1" s="1"/>
  <c r="N342" i="1"/>
  <c r="N1870" i="1" s="1"/>
  <c r="L177" i="1"/>
  <c r="N1868" i="1" l="1"/>
  <c r="L1124" i="1"/>
  <c r="M899" i="1"/>
  <c r="L898" i="1"/>
  <c r="M898" i="1" s="1"/>
  <c r="O898" i="1" s="1"/>
  <c r="Q898" i="1" s="1"/>
  <c r="S898" i="1" s="1"/>
  <c r="U898" i="1" s="1"/>
  <c r="W898" i="1" s="1"/>
  <c r="Y898" i="1" s="1"/>
  <c r="L900" i="1"/>
  <c r="M901" i="1"/>
  <c r="L1781" i="1"/>
  <c r="O899" i="1" l="1"/>
  <c r="Q899" i="1" s="1"/>
  <c r="S899" i="1" s="1"/>
  <c r="U899" i="1" s="1"/>
  <c r="W899" i="1" s="1"/>
  <c r="Y899" i="1" s="1"/>
  <c r="AA899" i="1" s="1"/>
  <c r="O901" i="1"/>
  <c r="Q901" i="1" s="1"/>
  <c r="S901" i="1" s="1"/>
  <c r="U901" i="1" s="1"/>
  <c r="W901" i="1" s="1"/>
  <c r="Y901" i="1" s="1"/>
  <c r="AA901" i="1" s="1"/>
  <c r="L1308" i="1"/>
  <c r="M1308" i="1" s="1"/>
  <c r="O1308" i="1" s="1"/>
  <c r="Q1308" i="1" s="1"/>
  <c r="S1308" i="1" s="1"/>
  <c r="U1308" i="1" s="1"/>
  <c r="W1308" i="1" s="1"/>
  <c r="Y1308" i="1" s="1"/>
  <c r="M91" i="1" l="1"/>
  <c r="L90" i="1"/>
  <c r="M90" i="1" s="1"/>
  <c r="O90" i="1" s="1"/>
  <c r="Q90" i="1" s="1"/>
  <c r="S90" i="1" s="1"/>
  <c r="U90" i="1" s="1"/>
  <c r="W90" i="1" s="1"/>
  <c r="Y90" i="1" s="1"/>
  <c r="O91" i="1" l="1"/>
  <c r="Q91" i="1" s="1"/>
  <c r="S91" i="1" s="1"/>
  <c r="U91" i="1" s="1"/>
  <c r="W91" i="1" s="1"/>
  <c r="Y91" i="1" s="1"/>
  <c r="AA91" i="1" s="1"/>
  <c r="L152" i="1"/>
  <c r="L1877" i="1" s="1"/>
  <c r="L1876" i="1" l="1"/>
  <c r="M152" i="1"/>
  <c r="L151" i="1"/>
  <c r="M151" i="1" s="1"/>
  <c r="O151" i="1" s="1"/>
  <c r="Q151" i="1" s="1"/>
  <c r="S151" i="1" s="1"/>
  <c r="U151" i="1" s="1"/>
  <c r="W151" i="1" s="1"/>
  <c r="Y151" i="1" s="1"/>
  <c r="O152" i="1" l="1"/>
  <c r="Q152" i="1" s="1"/>
  <c r="S152" i="1" s="1"/>
  <c r="U152" i="1" s="1"/>
  <c r="W152" i="1" s="1"/>
  <c r="Y152" i="1" s="1"/>
  <c r="AA152" i="1" s="1"/>
  <c r="L1395" i="1"/>
  <c r="L1640" i="1"/>
  <c r="L1041" i="1"/>
  <c r="L1039" i="1"/>
  <c r="L1638" i="1"/>
  <c r="L1393" i="1"/>
  <c r="L1391" i="1"/>
  <c r="L1636" i="1"/>
  <c r="L417" i="1" l="1"/>
  <c r="L416" i="1" s="1"/>
  <c r="L415" i="1" s="1"/>
  <c r="M415" i="1" s="1"/>
  <c r="O415" i="1" s="1"/>
  <c r="Q415" i="1" s="1"/>
  <c r="S415" i="1" s="1"/>
  <c r="U415" i="1" s="1"/>
  <c r="W415" i="1" s="1"/>
  <c r="Y415" i="1" s="1"/>
  <c r="L1867" i="1"/>
  <c r="M177" i="1"/>
  <c r="M1835" i="1"/>
  <c r="L1834" i="1"/>
  <c r="M1834" i="1" s="1"/>
  <c r="O1834" i="1" s="1"/>
  <c r="Q1834" i="1" s="1"/>
  <c r="S1834" i="1" s="1"/>
  <c r="U1834" i="1" s="1"/>
  <c r="W1834" i="1" s="1"/>
  <c r="Y1834" i="1" s="1"/>
  <c r="O1835" i="1" l="1"/>
  <c r="Q1835" i="1" s="1"/>
  <c r="S1835" i="1" s="1"/>
  <c r="U1835" i="1" s="1"/>
  <c r="W1835" i="1" s="1"/>
  <c r="Y1835" i="1" s="1"/>
  <c r="AA1835" i="1" s="1"/>
  <c r="O177" i="1"/>
  <c r="Q177" i="1" s="1"/>
  <c r="S177" i="1" s="1"/>
  <c r="U177" i="1" s="1"/>
  <c r="W177" i="1" s="1"/>
  <c r="Y177" i="1" s="1"/>
  <c r="AA177" i="1" s="1"/>
  <c r="M417" i="1"/>
  <c r="L175" i="1"/>
  <c r="M416" i="1"/>
  <c r="O416" i="1" s="1"/>
  <c r="Q416" i="1" s="1"/>
  <c r="S416" i="1" s="1"/>
  <c r="U416" i="1" s="1"/>
  <c r="W416" i="1" s="1"/>
  <c r="Y416" i="1" s="1"/>
  <c r="O417" i="1" l="1"/>
  <c r="Q417" i="1" s="1"/>
  <c r="S417" i="1" s="1"/>
  <c r="U417" i="1" s="1"/>
  <c r="W417" i="1" s="1"/>
  <c r="Y417" i="1" s="1"/>
  <c r="AA417" i="1" s="1"/>
  <c r="M902" i="1"/>
  <c r="M900" i="1"/>
  <c r="O900" i="1" s="1"/>
  <c r="Q900" i="1" s="1"/>
  <c r="S900" i="1" s="1"/>
  <c r="U900" i="1" s="1"/>
  <c r="W900" i="1" s="1"/>
  <c r="Y900" i="1" s="1"/>
  <c r="O902" i="1" l="1"/>
  <c r="Q902" i="1" s="1"/>
  <c r="S902" i="1" s="1"/>
  <c r="U902" i="1" s="1"/>
  <c r="W902" i="1" s="1"/>
  <c r="Y902" i="1" s="1"/>
  <c r="AA902" i="1" s="1"/>
  <c r="M1640" i="1"/>
  <c r="L1639" i="1"/>
  <c r="M1639" i="1" s="1"/>
  <c r="O1639" i="1" s="1"/>
  <c r="Q1639" i="1" s="1"/>
  <c r="S1639" i="1" s="1"/>
  <c r="U1639" i="1" s="1"/>
  <c r="W1639" i="1" s="1"/>
  <c r="Y1639" i="1" s="1"/>
  <c r="L1637" i="1"/>
  <c r="M1637" i="1" s="1"/>
  <c r="O1637" i="1" s="1"/>
  <c r="Q1637" i="1" s="1"/>
  <c r="S1637" i="1" s="1"/>
  <c r="U1637" i="1" s="1"/>
  <c r="W1637" i="1" s="1"/>
  <c r="Y1637" i="1" s="1"/>
  <c r="M1636" i="1"/>
  <c r="L1635" i="1"/>
  <c r="L1394" i="1"/>
  <c r="M1394" i="1" s="1"/>
  <c r="O1394" i="1" s="1"/>
  <c r="Q1394" i="1" s="1"/>
  <c r="S1394" i="1" s="1"/>
  <c r="U1394" i="1" s="1"/>
  <c r="W1394" i="1" s="1"/>
  <c r="Y1394" i="1" s="1"/>
  <c r="M1395" i="1"/>
  <c r="L1392" i="1"/>
  <c r="M1392" i="1" s="1"/>
  <c r="O1392" i="1" s="1"/>
  <c r="Q1392" i="1" s="1"/>
  <c r="S1392" i="1" s="1"/>
  <c r="U1392" i="1" s="1"/>
  <c r="W1392" i="1" s="1"/>
  <c r="Y1392" i="1" s="1"/>
  <c r="L1390" i="1"/>
  <c r="L1040" i="1"/>
  <c r="M1040" i="1" s="1"/>
  <c r="O1040" i="1" s="1"/>
  <c r="Q1040" i="1" s="1"/>
  <c r="S1040" i="1" s="1"/>
  <c r="U1040" i="1" s="1"/>
  <c r="W1040" i="1" s="1"/>
  <c r="Y1040" i="1" s="1"/>
  <c r="L1038" i="1"/>
  <c r="M1038" i="1" s="1"/>
  <c r="O1038" i="1" s="1"/>
  <c r="Q1038" i="1" s="1"/>
  <c r="S1038" i="1" s="1"/>
  <c r="U1038" i="1" s="1"/>
  <c r="W1038" i="1" s="1"/>
  <c r="Y1038" i="1" s="1"/>
  <c r="O1640" i="1" l="1"/>
  <c r="Q1640" i="1" s="1"/>
  <c r="S1640" i="1" s="1"/>
  <c r="U1640" i="1" s="1"/>
  <c r="W1640" i="1" s="1"/>
  <c r="Y1640" i="1" s="1"/>
  <c r="AA1640" i="1" s="1"/>
  <c r="O1636" i="1"/>
  <c r="Q1636" i="1" s="1"/>
  <c r="S1636" i="1" s="1"/>
  <c r="U1636" i="1" s="1"/>
  <c r="W1636" i="1" s="1"/>
  <c r="Y1636" i="1" s="1"/>
  <c r="AA1636" i="1" s="1"/>
  <c r="O1395" i="1"/>
  <c r="Q1395" i="1" s="1"/>
  <c r="S1395" i="1" s="1"/>
  <c r="U1395" i="1" s="1"/>
  <c r="W1395" i="1" s="1"/>
  <c r="Y1395" i="1" s="1"/>
  <c r="AA1395" i="1" s="1"/>
  <c r="L1388" i="1"/>
  <c r="M1388" i="1" s="1"/>
  <c r="O1388" i="1" s="1"/>
  <c r="Q1388" i="1" s="1"/>
  <c r="S1388" i="1" s="1"/>
  <c r="U1388" i="1" s="1"/>
  <c r="W1388" i="1" s="1"/>
  <c r="Y1388" i="1" s="1"/>
  <c r="L1634" i="1"/>
  <c r="M1634" i="1" s="1"/>
  <c r="O1634" i="1" s="1"/>
  <c r="Q1634" i="1" s="1"/>
  <c r="M1393" i="1"/>
  <c r="M1638" i="1"/>
  <c r="M1391" i="1"/>
  <c r="M1635" i="1"/>
  <c r="O1635" i="1" s="1"/>
  <c r="Q1635" i="1" s="1"/>
  <c r="S1635" i="1" s="1"/>
  <c r="U1635" i="1" s="1"/>
  <c r="W1635" i="1" s="1"/>
  <c r="Y1635" i="1" s="1"/>
  <c r="M1390" i="1"/>
  <c r="O1390" i="1" s="1"/>
  <c r="Q1390" i="1" s="1"/>
  <c r="S1390" i="1" s="1"/>
  <c r="U1390" i="1" s="1"/>
  <c r="W1390" i="1" s="1"/>
  <c r="Y1390" i="1" s="1"/>
  <c r="M1041" i="1"/>
  <c r="L1037" i="1"/>
  <c r="M1037" i="1" s="1"/>
  <c r="O1037" i="1" s="1"/>
  <c r="Q1037" i="1" s="1"/>
  <c r="S1037" i="1" s="1"/>
  <c r="U1037" i="1" s="1"/>
  <c r="W1037" i="1" s="1"/>
  <c r="Y1037" i="1" s="1"/>
  <c r="M1039" i="1"/>
  <c r="L420" i="1"/>
  <c r="S1634" i="1" l="1"/>
  <c r="U1634" i="1" s="1"/>
  <c r="W1634" i="1" s="1"/>
  <c r="Y1634" i="1" s="1"/>
  <c r="Q1631" i="1"/>
  <c r="S1631" i="1" s="1"/>
  <c r="U1631" i="1" s="1"/>
  <c r="W1631" i="1" s="1"/>
  <c r="Y1631" i="1" s="1"/>
  <c r="O1039" i="1"/>
  <c r="Q1039" i="1" s="1"/>
  <c r="S1039" i="1" s="1"/>
  <c r="U1039" i="1" s="1"/>
  <c r="W1039" i="1" s="1"/>
  <c r="Y1039" i="1" s="1"/>
  <c r="AA1039" i="1" s="1"/>
  <c r="O1391" i="1"/>
  <c r="Q1391" i="1" s="1"/>
  <c r="S1391" i="1" s="1"/>
  <c r="U1391" i="1" s="1"/>
  <c r="W1391" i="1" s="1"/>
  <c r="Y1391" i="1" s="1"/>
  <c r="AA1391" i="1" s="1"/>
  <c r="O1041" i="1"/>
  <c r="Q1041" i="1" s="1"/>
  <c r="S1041" i="1" s="1"/>
  <c r="U1041" i="1" s="1"/>
  <c r="W1041" i="1" s="1"/>
  <c r="Y1041" i="1" s="1"/>
  <c r="AA1041" i="1" s="1"/>
  <c r="O1638" i="1"/>
  <c r="Q1638" i="1" s="1"/>
  <c r="S1638" i="1" s="1"/>
  <c r="U1638" i="1" s="1"/>
  <c r="W1638" i="1" s="1"/>
  <c r="Y1638" i="1" s="1"/>
  <c r="AA1638" i="1" s="1"/>
  <c r="O1393" i="1"/>
  <c r="Q1393" i="1" s="1"/>
  <c r="S1393" i="1" s="1"/>
  <c r="U1393" i="1" s="1"/>
  <c r="W1393" i="1" s="1"/>
  <c r="Y1393" i="1" s="1"/>
  <c r="AA1393" i="1" s="1"/>
  <c r="L789" i="1"/>
  <c r="M1531" i="1"/>
  <c r="L1529" i="1"/>
  <c r="M1529" i="1" s="1"/>
  <c r="O1529" i="1" s="1"/>
  <c r="Q1529" i="1" s="1"/>
  <c r="S1529" i="1" s="1"/>
  <c r="U1529" i="1" s="1"/>
  <c r="W1529" i="1" s="1"/>
  <c r="Y1529" i="1" s="1"/>
  <c r="M1430" i="1"/>
  <c r="L1429" i="1"/>
  <c r="M1429" i="1" s="1"/>
  <c r="O1429" i="1" s="1"/>
  <c r="Q1429" i="1" s="1"/>
  <c r="S1429" i="1" s="1"/>
  <c r="U1429" i="1" s="1"/>
  <c r="W1429" i="1" s="1"/>
  <c r="Y1429" i="1" s="1"/>
  <c r="L1322" i="1"/>
  <c r="M1235" i="1"/>
  <c r="L1234" i="1"/>
  <c r="M1234" i="1" s="1"/>
  <c r="O1234" i="1" s="1"/>
  <c r="Q1234" i="1" s="1"/>
  <c r="S1234" i="1" s="1"/>
  <c r="U1234" i="1" s="1"/>
  <c r="W1234" i="1" s="1"/>
  <c r="Y1234" i="1" s="1"/>
  <c r="O1531" i="1" l="1"/>
  <c r="Q1531" i="1" s="1"/>
  <c r="S1531" i="1" s="1"/>
  <c r="U1531" i="1" s="1"/>
  <c r="W1531" i="1" s="1"/>
  <c r="Y1531" i="1" s="1"/>
  <c r="AA1531" i="1" s="1"/>
  <c r="O1430" i="1"/>
  <c r="Q1430" i="1" s="1"/>
  <c r="S1430" i="1" s="1"/>
  <c r="U1430" i="1" s="1"/>
  <c r="W1430" i="1" s="1"/>
  <c r="Y1430" i="1" s="1"/>
  <c r="AA1430" i="1" s="1"/>
  <c r="O1235" i="1"/>
  <c r="Q1235" i="1" s="1"/>
  <c r="S1235" i="1" s="1"/>
  <c r="U1235" i="1" s="1"/>
  <c r="W1235" i="1" s="1"/>
  <c r="Y1235" i="1" s="1"/>
  <c r="AA1235" i="1" s="1"/>
  <c r="M952" i="1"/>
  <c r="L951" i="1"/>
  <c r="M951" i="1" s="1"/>
  <c r="O951" i="1" s="1"/>
  <c r="Q951" i="1" s="1"/>
  <c r="S951" i="1" s="1"/>
  <c r="U951" i="1" s="1"/>
  <c r="W951" i="1" s="1"/>
  <c r="Y951" i="1" s="1"/>
  <c r="O952" i="1" l="1"/>
  <c r="Q952" i="1" s="1"/>
  <c r="S952" i="1" s="1"/>
  <c r="U952" i="1" s="1"/>
  <c r="W952" i="1" s="1"/>
  <c r="Y952" i="1" s="1"/>
  <c r="AA952" i="1" s="1"/>
  <c r="M302" i="1"/>
  <c r="L299" i="1"/>
  <c r="O302" i="1" l="1"/>
  <c r="Q302" i="1" s="1"/>
  <c r="S302" i="1" s="1"/>
  <c r="U302" i="1" s="1"/>
  <c r="W302" i="1" s="1"/>
  <c r="Y302" i="1" s="1"/>
  <c r="AA302" i="1" s="1"/>
  <c r="L1620" i="1"/>
  <c r="M1591" i="1" l="1"/>
  <c r="L1590" i="1"/>
  <c r="M1590" i="1" s="1"/>
  <c r="O1590" i="1" s="1"/>
  <c r="Q1590" i="1" s="1"/>
  <c r="S1590" i="1" s="1"/>
  <c r="U1590" i="1" s="1"/>
  <c r="W1590" i="1" s="1"/>
  <c r="Y1590" i="1" s="1"/>
  <c r="L124" i="1"/>
  <c r="L120" i="1" s="1"/>
  <c r="O1591" i="1" l="1"/>
  <c r="Q1591" i="1" s="1"/>
  <c r="S1591" i="1" s="1"/>
  <c r="U1591" i="1" s="1"/>
  <c r="W1591" i="1" s="1"/>
  <c r="Y1591" i="1" s="1"/>
  <c r="AA1591" i="1" s="1"/>
  <c r="M789" i="1"/>
  <c r="L788" i="1"/>
  <c r="M788" i="1" s="1"/>
  <c r="O788" i="1" s="1"/>
  <c r="Q788" i="1" s="1"/>
  <c r="S788" i="1" s="1"/>
  <c r="U788" i="1" s="1"/>
  <c r="W788" i="1" s="1"/>
  <c r="Y788" i="1" s="1"/>
  <c r="M1124" i="1"/>
  <c r="L1123" i="1"/>
  <c r="M1123" i="1" s="1"/>
  <c r="O1123" i="1" s="1"/>
  <c r="Q1123" i="1" s="1"/>
  <c r="S1123" i="1" s="1"/>
  <c r="U1123" i="1" s="1"/>
  <c r="W1123" i="1" s="1"/>
  <c r="Y1123" i="1" s="1"/>
  <c r="O789" i="1" l="1"/>
  <c r="Q789" i="1" s="1"/>
  <c r="S789" i="1" s="1"/>
  <c r="U789" i="1" s="1"/>
  <c r="W789" i="1" s="1"/>
  <c r="Y789" i="1" s="1"/>
  <c r="AA789" i="1" s="1"/>
  <c r="O1124" i="1"/>
  <c r="Q1124" i="1" s="1"/>
  <c r="S1124" i="1" s="1"/>
  <c r="U1124" i="1" s="1"/>
  <c r="W1124" i="1" s="1"/>
  <c r="Y1124" i="1" s="1"/>
  <c r="AA1124" i="1" s="1"/>
  <c r="M1322" i="1"/>
  <c r="L1321" i="1"/>
  <c r="M1321" i="1" s="1"/>
  <c r="O1321" i="1" s="1"/>
  <c r="Q1321" i="1" s="1"/>
  <c r="S1321" i="1" s="1"/>
  <c r="U1321" i="1" s="1"/>
  <c r="W1321" i="1" s="1"/>
  <c r="Y1321" i="1" s="1"/>
  <c r="M1595" i="1"/>
  <c r="L1594" i="1"/>
  <c r="M1594" i="1" s="1"/>
  <c r="O1594" i="1" s="1"/>
  <c r="Q1594" i="1" s="1"/>
  <c r="S1594" i="1" s="1"/>
  <c r="U1594" i="1" s="1"/>
  <c r="W1594" i="1" s="1"/>
  <c r="Y1594" i="1" s="1"/>
  <c r="O1595" i="1" l="1"/>
  <c r="Q1595" i="1" s="1"/>
  <c r="S1595" i="1" s="1"/>
  <c r="U1595" i="1" s="1"/>
  <c r="W1595" i="1" s="1"/>
  <c r="Y1595" i="1" s="1"/>
  <c r="AA1595" i="1" s="1"/>
  <c r="O1322" i="1"/>
  <c r="Q1322" i="1" s="1"/>
  <c r="S1322" i="1" s="1"/>
  <c r="U1322" i="1" s="1"/>
  <c r="W1322" i="1" s="1"/>
  <c r="Y1322" i="1" s="1"/>
  <c r="AA1322" i="1" s="1"/>
  <c r="L1843" i="1"/>
  <c r="M1843" i="1" s="1"/>
  <c r="O1843" i="1" s="1"/>
  <c r="Q1843" i="1" s="1"/>
  <c r="S1843" i="1" s="1"/>
  <c r="U1843" i="1" s="1"/>
  <c r="W1843" i="1" s="1"/>
  <c r="Y1843" i="1" s="1"/>
  <c r="M1844" i="1"/>
  <c r="L1000" i="1"/>
  <c r="L398" i="1"/>
  <c r="O1844" i="1" l="1"/>
  <c r="Q1844" i="1" s="1"/>
  <c r="S1844" i="1" s="1"/>
  <c r="U1844" i="1" s="1"/>
  <c r="W1844" i="1" s="1"/>
  <c r="Y1844" i="1" s="1"/>
  <c r="AA1844" i="1" s="1"/>
  <c r="M1000" i="1"/>
  <c r="L999" i="1"/>
  <c r="M999" i="1" s="1"/>
  <c r="O999" i="1" s="1"/>
  <c r="Q999" i="1" s="1"/>
  <c r="S999" i="1" s="1"/>
  <c r="U999" i="1" s="1"/>
  <c r="W999" i="1" s="1"/>
  <c r="Y999" i="1" s="1"/>
  <c r="O1000" i="1" l="1"/>
  <c r="Q1000" i="1" s="1"/>
  <c r="S1000" i="1" s="1"/>
  <c r="U1000" i="1" s="1"/>
  <c r="W1000" i="1" s="1"/>
  <c r="Y1000" i="1" s="1"/>
  <c r="AA1000" i="1" s="1"/>
  <c r="L984" i="1"/>
  <c r="M1629" i="1" l="1"/>
  <c r="M1630" i="1"/>
  <c r="L1628" i="1"/>
  <c r="M1628" i="1" s="1"/>
  <c r="O1628" i="1" s="1"/>
  <c r="Q1628" i="1" s="1"/>
  <c r="S1628" i="1" s="1"/>
  <c r="U1628" i="1" s="1"/>
  <c r="W1628" i="1" s="1"/>
  <c r="Y1628" i="1" s="1"/>
  <c r="M988" i="1"/>
  <c r="M990" i="1"/>
  <c r="M991" i="1"/>
  <c r="L989" i="1"/>
  <c r="M989" i="1" s="1"/>
  <c r="O989" i="1" s="1"/>
  <c r="Q989" i="1" s="1"/>
  <c r="S989" i="1" s="1"/>
  <c r="U989" i="1" s="1"/>
  <c r="W989" i="1" s="1"/>
  <c r="Y989" i="1" s="1"/>
  <c r="L987" i="1"/>
  <c r="M987" i="1" s="1"/>
  <c r="O987" i="1" s="1"/>
  <c r="Q987" i="1" s="1"/>
  <c r="S987" i="1" s="1"/>
  <c r="U987" i="1" s="1"/>
  <c r="W987" i="1" s="1"/>
  <c r="Y987" i="1" s="1"/>
  <c r="O988" i="1" l="1"/>
  <c r="Q988" i="1" s="1"/>
  <c r="S988" i="1" s="1"/>
  <c r="U988" i="1" s="1"/>
  <c r="W988" i="1" s="1"/>
  <c r="Y988" i="1" s="1"/>
  <c r="AA988" i="1" s="1"/>
  <c r="O991" i="1"/>
  <c r="Q991" i="1" s="1"/>
  <c r="S991" i="1" s="1"/>
  <c r="U991" i="1" s="1"/>
  <c r="W991" i="1" s="1"/>
  <c r="Y991" i="1" s="1"/>
  <c r="AA991" i="1" s="1"/>
  <c r="O1630" i="1"/>
  <c r="Q1630" i="1" s="1"/>
  <c r="S1630" i="1" s="1"/>
  <c r="U1630" i="1" s="1"/>
  <c r="W1630" i="1" s="1"/>
  <c r="Y1630" i="1" s="1"/>
  <c r="AA1630" i="1" s="1"/>
  <c r="O990" i="1"/>
  <c r="Q990" i="1" s="1"/>
  <c r="S990" i="1" s="1"/>
  <c r="U990" i="1" s="1"/>
  <c r="W990" i="1" s="1"/>
  <c r="Y990" i="1" s="1"/>
  <c r="AA990" i="1" s="1"/>
  <c r="O1629" i="1"/>
  <c r="Q1629" i="1" s="1"/>
  <c r="S1629" i="1" s="1"/>
  <c r="U1629" i="1" s="1"/>
  <c r="W1629" i="1" s="1"/>
  <c r="Y1629" i="1" s="1"/>
  <c r="AA1629" i="1" s="1"/>
  <c r="M1471" i="1"/>
  <c r="L1470" i="1"/>
  <c r="M1470" i="1" s="1"/>
  <c r="O1470" i="1" s="1"/>
  <c r="Q1470" i="1" s="1"/>
  <c r="S1470" i="1" s="1"/>
  <c r="U1470" i="1" s="1"/>
  <c r="W1470" i="1" s="1"/>
  <c r="Y1470" i="1" s="1"/>
  <c r="L1831" i="1"/>
  <c r="M1832" i="1"/>
  <c r="M1652" i="1"/>
  <c r="L1651" i="1"/>
  <c r="L1650" i="1" s="1"/>
  <c r="M1650" i="1" s="1"/>
  <c r="O1650" i="1" s="1"/>
  <c r="Q1650" i="1" s="1"/>
  <c r="S1650" i="1" s="1"/>
  <c r="U1650" i="1" s="1"/>
  <c r="W1650" i="1" s="1"/>
  <c r="Y1650" i="1" s="1"/>
  <c r="O1652" i="1" l="1"/>
  <c r="Q1652" i="1" s="1"/>
  <c r="S1652" i="1" s="1"/>
  <c r="U1652" i="1" s="1"/>
  <c r="W1652" i="1" s="1"/>
  <c r="Y1652" i="1" s="1"/>
  <c r="AA1652" i="1" s="1"/>
  <c r="O1471" i="1"/>
  <c r="Q1471" i="1" s="1"/>
  <c r="S1471" i="1" s="1"/>
  <c r="U1471" i="1" s="1"/>
  <c r="W1471" i="1" s="1"/>
  <c r="Y1471" i="1" s="1"/>
  <c r="AA1471" i="1" s="1"/>
  <c r="O1832" i="1"/>
  <c r="Q1832" i="1" s="1"/>
  <c r="S1832" i="1" s="1"/>
  <c r="U1832" i="1" s="1"/>
  <c r="W1832" i="1" s="1"/>
  <c r="Y1832" i="1" s="1"/>
  <c r="AA1832" i="1" s="1"/>
  <c r="M1651" i="1"/>
  <c r="O1651" i="1" s="1"/>
  <c r="Q1651" i="1" s="1"/>
  <c r="S1651" i="1" s="1"/>
  <c r="U1651" i="1" s="1"/>
  <c r="W1651" i="1" s="1"/>
  <c r="Y1651" i="1" s="1"/>
  <c r="M932" i="1"/>
  <c r="L931" i="1"/>
  <c r="M931" i="1" s="1"/>
  <c r="O931" i="1" s="1"/>
  <c r="Q931" i="1" s="1"/>
  <c r="S931" i="1" s="1"/>
  <c r="U931" i="1" s="1"/>
  <c r="W931" i="1" s="1"/>
  <c r="Y931" i="1" s="1"/>
  <c r="L930" i="1"/>
  <c r="O932" i="1" l="1"/>
  <c r="Q932" i="1" s="1"/>
  <c r="S932" i="1" s="1"/>
  <c r="U932" i="1" s="1"/>
  <c r="W932" i="1" s="1"/>
  <c r="Y932" i="1" s="1"/>
  <c r="AA932" i="1" s="1"/>
  <c r="M299" i="1"/>
  <c r="O299" i="1" s="1"/>
  <c r="Q299" i="1" s="1"/>
  <c r="S299" i="1" s="1"/>
  <c r="U299" i="1" s="1"/>
  <c r="W299" i="1" s="1"/>
  <c r="Y299" i="1" s="1"/>
  <c r="M300" i="1"/>
  <c r="M301" i="1"/>
  <c r="O300" i="1" l="1"/>
  <c r="Q300" i="1" s="1"/>
  <c r="S300" i="1" s="1"/>
  <c r="U300" i="1" s="1"/>
  <c r="W300" i="1" s="1"/>
  <c r="Y300" i="1" s="1"/>
  <c r="AA300" i="1" s="1"/>
  <c r="O301" i="1"/>
  <c r="Q301" i="1" s="1"/>
  <c r="S301" i="1" s="1"/>
  <c r="U301" i="1" s="1"/>
  <c r="W301" i="1" s="1"/>
  <c r="Y301" i="1" s="1"/>
  <c r="AA301" i="1" s="1"/>
  <c r="L1874" i="1"/>
  <c r="L1872" i="1" s="1"/>
  <c r="M1626" i="1"/>
  <c r="M1627" i="1"/>
  <c r="L1625" i="1"/>
  <c r="M1625" i="1" s="1"/>
  <c r="O1625" i="1" s="1"/>
  <c r="Q1625" i="1" s="1"/>
  <c r="S1625" i="1" s="1"/>
  <c r="U1625" i="1" s="1"/>
  <c r="W1625" i="1" s="1"/>
  <c r="Y1625" i="1" s="1"/>
  <c r="M974" i="1"/>
  <c r="L973" i="1"/>
  <c r="L972" i="1" s="1"/>
  <c r="M972" i="1" s="1"/>
  <c r="O972" i="1" s="1"/>
  <c r="Q972" i="1" s="1"/>
  <c r="S972" i="1" s="1"/>
  <c r="U972" i="1" s="1"/>
  <c r="W972" i="1" s="1"/>
  <c r="Y972" i="1" s="1"/>
  <c r="L1866" i="1"/>
  <c r="L1865" i="1" s="1"/>
  <c r="L1856" i="1"/>
  <c r="L1854" i="1"/>
  <c r="L1851" i="1"/>
  <c r="L1849" i="1"/>
  <c r="L1847" i="1"/>
  <c r="L1845" i="1"/>
  <c r="L1838" i="1"/>
  <c r="L1825" i="1"/>
  <c r="L1824" i="1" s="1"/>
  <c r="L1820" i="1"/>
  <c r="L1819" i="1" s="1"/>
  <c r="L1814" i="1"/>
  <c r="L1809" i="1"/>
  <c r="L1807" i="1"/>
  <c r="L1805" i="1"/>
  <c r="L1803" i="1"/>
  <c r="L1797" i="1"/>
  <c r="L1787" i="1"/>
  <c r="L1786" i="1" s="1"/>
  <c r="L1782" i="1"/>
  <c r="L1779" i="1"/>
  <c r="L1777" i="1"/>
  <c r="L1774" i="1"/>
  <c r="L1773" i="1" s="1"/>
  <c r="L1771" i="1"/>
  <c r="L1770" i="1" s="1"/>
  <c r="L1767" i="1"/>
  <c r="L1766" i="1" s="1"/>
  <c r="L1763" i="1"/>
  <c r="L1757" i="1"/>
  <c r="L1756" i="1" s="1"/>
  <c r="L1755" i="1" s="1"/>
  <c r="L1750" i="1"/>
  <c r="L1747" i="1"/>
  <c r="L1746" i="1" s="1"/>
  <c r="L1743" i="1"/>
  <c r="L1740" i="1"/>
  <c r="L1738" i="1"/>
  <c r="L1732" i="1"/>
  <c r="L1731" i="1" s="1"/>
  <c r="L1730" i="1" s="1"/>
  <c r="L1728" i="1"/>
  <c r="L1727" i="1" s="1"/>
  <c r="L1725" i="1"/>
  <c r="L1724" i="1" s="1"/>
  <c r="L1721" i="1"/>
  <c r="L1720" i="1" s="1"/>
  <c r="L1715" i="1"/>
  <c r="L1713" i="1"/>
  <c r="L1705" i="1"/>
  <c r="L1702" i="1"/>
  <c r="L1697" i="1"/>
  <c r="L1696" i="1" s="1"/>
  <c r="L1692" i="1"/>
  <c r="L1691" i="1" s="1"/>
  <c r="L1689" i="1"/>
  <c r="L1688" i="1" s="1"/>
  <c r="L1685" i="1"/>
  <c r="L1684" i="1" s="1"/>
  <c r="L1680" i="1"/>
  <c r="L1679" i="1" s="1"/>
  <c r="L1677" i="1"/>
  <c r="L1673" i="1"/>
  <c r="L1671" i="1"/>
  <c r="L1668" i="1"/>
  <c r="L1659" i="1"/>
  <c r="L1623" i="1"/>
  <c r="L1622" i="1" s="1"/>
  <c r="L1619" i="1"/>
  <c r="L1617" i="1"/>
  <c r="L1613" i="1"/>
  <c r="L1609" i="1"/>
  <c r="L1607" i="1"/>
  <c r="L1605" i="1"/>
  <c r="L1602" i="1"/>
  <c r="L1600" i="1"/>
  <c r="L1598" i="1"/>
  <c r="L1596" i="1"/>
  <c r="L1592" i="1"/>
  <c r="L1588" i="1"/>
  <c r="L1584" i="1"/>
  <c r="L1581" i="1"/>
  <c r="L1579" i="1"/>
  <c r="L1577" i="1"/>
  <c r="L1568" i="1"/>
  <c r="L1565" i="1"/>
  <c r="L1564" i="1" s="1"/>
  <c r="L1560" i="1"/>
  <c r="L1559" i="1" s="1"/>
  <c r="L1555" i="1"/>
  <c r="L1554" i="1" s="1"/>
  <c r="L1551" i="1"/>
  <c r="L1550" i="1" s="1"/>
  <c r="L1549" i="1" s="1"/>
  <c r="L1548" i="1" s="1"/>
  <c r="L1545" i="1"/>
  <c r="L1544" i="1" s="1"/>
  <c r="L1542" i="1"/>
  <c r="L1541" i="1" s="1"/>
  <c r="L1532" i="1"/>
  <c r="L1526" i="1"/>
  <c r="L1523" i="1"/>
  <c r="L1519" i="1"/>
  <c r="L1514" i="1" s="1"/>
  <c r="L1512" i="1"/>
  <c r="L1504" i="1"/>
  <c r="L1491" i="1"/>
  <c r="L1488" i="1" s="1"/>
  <c r="L1485" i="1"/>
  <c r="L1484" i="1" s="1"/>
  <c r="L1481" i="1"/>
  <c r="L1480" i="1" s="1"/>
  <c r="L1477" i="1"/>
  <c r="L1473" i="1"/>
  <c r="L1464" i="1"/>
  <c r="L1461" i="1" s="1"/>
  <c r="L1459" i="1"/>
  <c r="L1458" i="1" s="1"/>
  <c r="L1453" i="1"/>
  <c r="L1452" i="1" s="1"/>
  <c r="L1451" i="1" s="1"/>
  <c r="L1450" i="1" s="1"/>
  <c r="L1447" i="1"/>
  <c r="L1441" i="1"/>
  <c r="L1431" i="1"/>
  <c r="L1426" i="1" s="1"/>
  <c r="L1424" i="1"/>
  <c r="L1421" i="1" s="1"/>
  <c r="L1418" i="1"/>
  <c r="L1417" i="1" s="1"/>
  <c r="L1416" i="1" s="1"/>
  <c r="L1413" i="1"/>
  <c r="L1411" i="1"/>
  <c r="L1409" i="1"/>
  <c r="L1386" i="1"/>
  <c r="L1384" i="1"/>
  <c r="L1382" i="1"/>
  <c r="L1380" i="1"/>
  <c r="L1378" i="1"/>
  <c r="L1376" i="1"/>
  <c r="L1374" i="1"/>
  <c r="L1367" i="1"/>
  <c r="L1366" i="1" s="1"/>
  <c r="L1362" i="1"/>
  <c r="L1351" i="1"/>
  <c r="L1348" i="1"/>
  <c r="L1343" i="1"/>
  <c r="L1342" i="1" s="1"/>
  <c r="L1339" i="1"/>
  <c r="L1336" i="1"/>
  <c r="L1332" i="1"/>
  <c r="L1329" i="1"/>
  <c r="L1326" i="1"/>
  <c r="L1323" i="1"/>
  <c r="L1319" i="1"/>
  <c r="L1312" i="1"/>
  <c r="L1310" i="1"/>
  <c r="L1302" i="1"/>
  <c r="L1300" i="1"/>
  <c r="L1293" i="1"/>
  <c r="L1292" i="1" s="1"/>
  <c r="L1288" i="1"/>
  <c r="L1285" i="1"/>
  <c r="L1284" i="1" s="1"/>
  <c r="L1280" i="1"/>
  <c r="L1277" i="1"/>
  <c r="L1274" i="1"/>
  <c r="L1258" i="1"/>
  <c r="L1255" i="1" s="1"/>
  <c r="L1252" i="1" s="1"/>
  <c r="L1246" i="1"/>
  <c r="L1243" i="1"/>
  <c r="L1240" i="1"/>
  <c r="L1238" i="1"/>
  <c r="L1236" i="1"/>
  <c r="L1231" i="1"/>
  <c r="L1229" i="1"/>
  <c r="L1226" i="1"/>
  <c r="L1222" i="1"/>
  <c r="L1219" i="1"/>
  <c r="L1215" i="1"/>
  <c r="L1214" i="1" s="1"/>
  <c r="L1213" i="1" s="1"/>
  <c r="L1210" i="1"/>
  <c r="L1207" i="1"/>
  <c r="L1198" i="1"/>
  <c r="L1196" i="1"/>
  <c r="L1189" i="1"/>
  <c r="L1188" i="1" s="1"/>
  <c r="L1184" i="1"/>
  <c r="L1183" i="1" s="1"/>
  <c r="L1182" i="1" s="1"/>
  <c r="L1181" i="1" s="1"/>
  <c r="L1170" i="1"/>
  <c r="L1168" i="1"/>
  <c r="L1151" i="1"/>
  <c r="L1148" i="1"/>
  <c r="L1145" i="1"/>
  <c r="L1144" i="1" s="1"/>
  <c r="L1141" i="1"/>
  <c r="L1140" i="1" s="1"/>
  <c r="L1138" i="1"/>
  <c r="L1134" i="1"/>
  <c r="L1131" i="1"/>
  <c r="L1129" i="1"/>
  <c r="L1127" i="1"/>
  <c r="L1125" i="1"/>
  <c r="L1043" i="1"/>
  <c r="L1035" i="1"/>
  <c r="L1033" i="1"/>
  <c r="L1031" i="1"/>
  <c r="L1029" i="1"/>
  <c r="L1027" i="1"/>
  <c r="L1025" i="1"/>
  <c r="L1023" i="1"/>
  <c r="L1021" i="1"/>
  <c r="L1019" i="1"/>
  <c r="L1017" i="1"/>
  <c r="L1015" i="1"/>
  <c r="L1013" i="1"/>
  <c r="L1011" i="1"/>
  <c r="L1009" i="1"/>
  <c r="L1007" i="1"/>
  <c r="L1005" i="1"/>
  <c r="L1003" i="1"/>
  <c r="L1001" i="1"/>
  <c r="L985" i="1"/>
  <c r="L983" i="1"/>
  <c r="L979" i="1"/>
  <c r="L978" i="1" s="1"/>
  <c r="L970" i="1"/>
  <c r="L968" i="1"/>
  <c r="L963" i="1"/>
  <c r="L961" i="1"/>
  <c r="L957" i="1"/>
  <c r="L954" i="1" s="1"/>
  <c r="L949" i="1"/>
  <c r="L942" i="1"/>
  <c r="L939" i="1"/>
  <c r="L937" i="1"/>
  <c r="L934" i="1"/>
  <c r="L929" i="1"/>
  <c r="L906" i="1"/>
  <c r="L904" i="1"/>
  <c r="L895" i="1"/>
  <c r="L894" i="1" s="1"/>
  <c r="L889" i="1"/>
  <c r="L888" i="1" s="1"/>
  <c r="L882" i="1"/>
  <c r="L879" i="1"/>
  <c r="L878" i="1" s="1"/>
  <c r="L874" i="1"/>
  <c r="L873" i="1" s="1"/>
  <c r="L863" i="1"/>
  <c r="L856" i="1" s="1"/>
  <c r="L851" i="1"/>
  <c r="L849" i="1"/>
  <c r="L847" i="1"/>
  <c r="L843" i="1"/>
  <c r="L831" i="1"/>
  <c r="L822" i="1"/>
  <c r="L820" i="1"/>
  <c r="L814" i="1"/>
  <c r="L810" i="1"/>
  <c r="L809" i="1" s="1"/>
  <c r="L807" i="1"/>
  <c r="L806" i="1" s="1"/>
  <c r="L804" i="1"/>
  <c r="L803" i="1" s="1"/>
  <c r="L801" i="1"/>
  <c r="L800" i="1" s="1"/>
  <c r="L796" i="1"/>
  <c r="L794" i="1"/>
  <c r="L792" i="1"/>
  <c r="L790" i="1"/>
  <c r="L784" i="1"/>
  <c r="L782" i="1"/>
  <c r="L419" i="1"/>
  <c r="L418" i="1" s="1"/>
  <c r="L413" i="1"/>
  <c r="L411" i="1"/>
  <c r="L409" i="1"/>
  <c r="L407" i="1"/>
  <c r="L405" i="1"/>
  <c r="L403" i="1"/>
  <c r="L401" i="1"/>
  <c r="L399" i="1"/>
  <c r="L397" i="1"/>
  <c r="L395" i="1"/>
  <c r="L393" i="1"/>
  <c r="L391" i="1"/>
  <c r="L389" i="1"/>
  <c r="L387" i="1"/>
  <c r="L385" i="1"/>
  <c r="L383" i="1"/>
  <c r="L381" i="1"/>
  <c r="L379" i="1"/>
  <c r="L377" i="1"/>
  <c r="L359" i="1"/>
  <c r="L358" i="1" s="1"/>
  <c r="L347" i="1"/>
  <c r="L346" i="1" s="1"/>
  <c r="L345" i="1" s="1"/>
  <c r="L339" i="1"/>
  <c r="L338" i="1" s="1"/>
  <c r="L336" i="1"/>
  <c r="L335" i="1" s="1"/>
  <c r="L329" i="1"/>
  <c r="L326" i="1" s="1"/>
  <c r="L325" i="1" s="1"/>
  <c r="L297" i="1"/>
  <c r="L292" i="1"/>
  <c r="L291" i="1" s="1"/>
  <c r="L286" i="1"/>
  <c r="L285" i="1" s="1"/>
  <c r="L281" i="1"/>
  <c r="L280" i="1" s="1"/>
  <c r="L279" i="1" s="1"/>
  <c r="L276" i="1"/>
  <c r="L266" i="1"/>
  <c r="L265" i="1" s="1"/>
  <c r="L261" i="1"/>
  <c r="L259" i="1"/>
  <c r="L251" i="1"/>
  <c r="L250" i="1" s="1"/>
  <c r="L249" i="1" s="1"/>
  <c r="L247" i="1"/>
  <c r="L234" i="1"/>
  <c r="L227" i="1"/>
  <c r="L218" i="1"/>
  <c r="L217" i="1" s="1"/>
  <c r="L215" i="1"/>
  <c r="L214" i="1" s="1"/>
  <c r="L206" i="1"/>
  <c r="L201" i="1"/>
  <c r="L183" i="1"/>
  <c r="L179" i="1" s="1"/>
  <c r="L173" i="1"/>
  <c r="L165" i="1"/>
  <c r="L158" i="1" s="1"/>
  <c r="L153" i="1"/>
  <c r="L150" i="1" s="1"/>
  <c r="L145" i="1"/>
  <c r="L144" i="1" s="1"/>
  <c r="L143" i="1" s="1"/>
  <c r="L137" i="1"/>
  <c r="L130" i="1" s="1"/>
  <c r="L116" i="1"/>
  <c r="L112" i="1"/>
  <c r="L111" i="1" s="1"/>
  <c r="L110" i="1" s="1"/>
  <c r="L104" i="1"/>
  <c r="L103" i="1" s="1"/>
  <c r="L101" i="1"/>
  <c r="L95" i="1"/>
  <c r="L78" i="1"/>
  <c r="L67" i="1"/>
  <c r="L53" i="1"/>
  <c r="L52" i="1" s="1"/>
  <c r="L51" i="1" s="1"/>
  <c r="L46" i="1"/>
  <c r="L45" i="1" s="1"/>
  <c r="L44" i="1" s="1"/>
  <c r="L35" i="1"/>
  <c r="L28" i="1" s="1"/>
  <c r="L27" i="1" s="1"/>
  <c r="L21" i="1"/>
  <c r="L17" i="1" s="1"/>
  <c r="L16" i="1" s="1"/>
  <c r="O1627" i="1" l="1"/>
  <c r="Q1627" i="1" s="1"/>
  <c r="S1627" i="1" s="1"/>
  <c r="U1627" i="1" s="1"/>
  <c r="W1627" i="1" s="1"/>
  <c r="Y1627" i="1" s="1"/>
  <c r="AA1627" i="1" s="1"/>
  <c r="O1626" i="1"/>
  <c r="Q1626" i="1" s="1"/>
  <c r="S1626" i="1" s="1"/>
  <c r="U1626" i="1" s="1"/>
  <c r="W1626" i="1" s="1"/>
  <c r="Y1626" i="1" s="1"/>
  <c r="AA1626" i="1" s="1"/>
  <c r="O974" i="1"/>
  <c r="Q974" i="1" s="1"/>
  <c r="S974" i="1" s="1"/>
  <c r="U974" i="1" s="1"/>
  <c r="W974" i="1" s="1"/>
  <c r="Y974" i="1" s="1"/>
  <c r="AA974" i="1" s="1"/>
  <c r="L1180" i="1"/>
  <c r="L928" i="1"/>
  <c r="L1612" i="1"/>
  <c r="L1305" i="1"/>
  <c r="L1365" i="1"/>
  <c r="L60" i="1"/>
  <c r="L1522" i="1"/>
  <c r="L1830" i="1"/>
  <c r="L376" i="1"/>
  <c r="L375" i="1" s="1"/>
  <c r="L998" i="1"/>
  <c r="L997" i="1" s="1"/>
  <c r="L992" i="1" s="1"/>
  <c r="L1225" i="1"/>
  <c r="L1587" i="1"/>
  <c r="L779" i="1"/>
  <c r="L1119" i="1"/>
  <c r="L1500" i="1"/>
  <c r="L982" i="1"/>
  <c r="L981" i="1" s="1"/>
  <c r="L1204" i="1"/>
  <c r="L1203" i="1" s="1"/>
  <c r="L1167" i="1"/>
  <c r="L1166" i="1" s="1"/>
  <c r="L1165" i="1" s="1"/>
  <c r="L1195" i="1"/>
  <c r="L1194" i="1" s="1"/>
  <c r="L1193" i="1" s="1"/>
  <c r="L1270" i="1"/>
  <c r="L1269" i="1" s="1"/>
  <c r="L799" i="1"/>
  <c r="L296" i="1"/>
  <c r="L290" i="1" s="1"/>
  <c r="L967" i="1"/>
  <c r="L966" i="1" s="1"/>
  <c r="L1406" i="1"/>
  <c r="L1405" i="1" s="1"/>
  <c r="L1469" i="1"/>
  <c r="L1723" i="1"/>
  <c r="L817" i="1"/>
  <c r="L816" i="1" s="1"/>
  <c r="L1687" i="1"/>
  <c r="L1802" i="1"/>
  <c r="L1801" i="1" s="1"/>
  <c r="L1299" i="1"/>
  <c r="L1457" i="1"/>
  <c r="L1449" i="1" s="1"/>
  <c r="L960" i="1"/>
  <c r="L1347" i="1"/>
  <c r="L1346" i="1" s="1"/>
  <c r="L1704" i="1"/>
  <c r="L1218" i="1"/>
  <c r="M973" i="1"/>
  <c r="O973" i="1" s="1"/>
  <c r="Q973" i="1" s="1"/>
  <c r="S973" i="1" s="1"/>
  <c r="U973" i="1" s="1"/>
  <c r="W973" i="1" s="1"/>
  <c r="Y973" i="1" s="1"/>
  <c r="L1420" i="1"/>
  <c r="L1335" i="1"/>
  <c r="L1147" i="1"/>
  <c r="L813" i="1"/>
  <c r="L812" i="1" s="1"/>
  <c r="L357" i="1"/>
  <c r="L356" i="1" s="1"/>
  <c r="L258" i="1"/>
  <c r="L253" i="1" s="1"/>
  <c r="L230" i="1"/>
  <c r="L194" i="1"/>
  <c r="L178" i="1" s="1"/>
  <c r="L142" i="1"/>
  <c r="L172" i="1"/>
  <c r="L155" i="1" s="1"/>
  <c r="L334" i="1"/>
  <c r="L115" i="1"/>
  <c r="L278" i="1"/>
  <c r="L284" i="1"/>
  <c r="L43" i="1"/>
  <c r="L264" i="1"/>
  <c r="L344" i="1"/>
  <c r="L149" i="1"/>
  <c r="L220" i="1"/>
  <c r="L275" i="1"/>
  <c r="L846" i="1"/>
  <c r="L872" i="1"/>
  <c r="L881" i="1"/>
  <c r="L1251" i="1"/>
  <c r="L977" i="1"/>
  <c r="L827" i="1"/>
  <c r="L1291" i="1"/>
  <c r="L1373" i="1"/>
  <c r="L1372" i="1" s="1"/>
  <c r="L1440" i="1"/>
  <c r="L1446" i="1"/>
  <c r="L1558" i="1"/>
  <c r="L1676" i="1"/>
  <c r="L1695" i="1"/>
  <c r="L1701" i="1"/>
  <c r="L1776" i="1"/>
  <c r="L1823" i="1"/>
  <c r="L1864" i="1"/>
  <c r="L903" i="1"/>
  <c r="L1540" i="1"/>
  <c r="L1553" i="1"/>
  <c r="L1567" i="1"/>
  <c r="L1655" i="1"/>
  <c r="L1737" i="1"/>
  <c r="L1749" i="1"/>
  <c r="L1765" i="1"/>
  <c r="L1483" i="1"/>
  <c r="L1574" i="1"/>
  <c r="L1742" i="1"/>
  <c r="L1754" i="1"/>
  <c r="L1762" i="1"/>
  <c r="L1683" i="1"/>
  <c r="L1719" i="1"/>
  <c r="L1785" i="1"/>
  <c r="L1796" i="1"/>
  <c r="L1813" i="1"/>
  <c r="L1818" i="1"/>
  <c r="J1312" i="1"/>
  <c r="J1779" i="1"/>
  <c r="K1718" i="1"/>
  <c r="J1715" i="1"/>
  <c r="J1609" i="1"/>
  <c r="K1611" i="1"/>
  <c r="J1593" i="1"/>
  <c r="J1592" i="1" s="1"/>
  <c r="K1592" i="1" s="1"/>
  <c r="M1592" i="1" s="1"/>
  <c r="O1592" i="1" s="1"/>
  <c r="Q1592" i="1" s="1"/>
  <c r="S1592" i="1" s="1"/>
  <c r="U1592" i="1" s="1"/>
  <c r="W1592" i="1" s="1"/>
  <c r="Y1592" i="1" s="1"/>
  <c r="K207" i="1"/>
  <c r="K208" i="1"/>
  <c r="K209" i="1"/>
  <c r="K211" i="1"/>
  <c r="J206" i="1"/>
  <c r="K206" i="1" s="1"/>
  <c r="M206" i="1" s="1"/>
  <c r="O206" i="1" s="1"/>
  <c r="Q206" i="1" s="1"/>
  <c r="S206" i="1" s="1"/>
  <c r="U206" i="1" s="1"/>
  <c r="W206" i="1" s="1"/>
  <c r="Y206" i="1" s="1"/>
  <c r="K1432" i="1"/>
  <c r="J1431" i="1"/>
  <c r="J1426" i="1" s="1"/>
  <c r="K1426" i="1" s="1"/>
  <c r="M1426" i="1" s="1"/>
  <c r="O1426" i="1" s="1"/>
  <c r="Q1426" i="1" s="1"/>
  <c r="S1426" i="1" s="1"/>
  <c r="U1426" i="1" s="1"/>
  <c r="W1426" i="1" s="1"/>
  <c r="Y1426" i="1" s="1"/>
  <c r="K1375" i="1"/>
  <c r="J1374" i="1"/>
  <c r="K1374" i="1" s="1"/>
  <c r="M1374" i="1" s="1"/>
  <c r="O1374" i="1" s="1"/>
  <c r="Q1374" i="1" s="1"/>
  <c r="S1374" i="1" s="1"/>
  <c r="U1374" i="1" s="1"/>
  <c r="W1374" i="1" s="1"/>
  <c r="Y1374" i="1" s="1"/>
  <c r="K1781" i="1"/>
  <c r="J1339" i="1"/>
  <c r="K1341" i="1"/>
  <c r="K1314" i="1"/>
  <c r="K1227" i="1"/>
  <c r="J1226" i="1"/>
  <c r="J1190" i="1"/>
  <c r="K1190" i="1" s="1"/>
  <c r="K1788" i="1"/>
  <c r="J1787" i="1"/>
  <c r="J1786" i="1" s="1"/>
  <c r="J1785" i="1" s="1"/>
  <c r="K1785" i="1" s="1"/>
  <c r="J1148" i="1"/>
  <c r="K1150" i="1"/>
  <c r="K815" i="1"/>
  <c r="J814" i="1"/>
  <c r="J813" i="1" s="1"/>
  <c r="J812" i="1" s="1"/>
  <c r="K812" i="1" s="1"/>
  <c r="J359" i="1"/>
  <c r="K361" i="1"/>
  <c r="K277" i="1"/>
  <c r="J276" i="1"/>
  <c r="J275" i="1" s="1"/>
  <c r="J274" i="1" s="1"/>
  <c r="K274" i="1" s="1"/>
  <c r="K96" i="1"/>
  <c r="J95" i="1"/>
  <c r="K95" i="1" s="1"/>
  <c r="M95" i="1" s="1"/>
  <c r="O95" i="1" s="1"/>
  <c r="Q95" i="1" s="1"/>
  <c r="S95" i="1" s="1"/>
  <c r="U95" i="1" s="1"/>
  <c r="W95" i="1" s="1"/>
  <c r="Y95" i="1" s="1"/>
  <c r="J78" i="1"/>
  <c r="K86" i="1"/>
  <c r="J67" i="1"/>
  <c r="K77" i="1"/>
  <c r="J176" i="1"/>
  <c r="M86" i="1" l="1"/>
  <c r="M1781" i="1"/>
  <c r="M208" i="1"/>
  <c r="M277" i="1"/>
  <c r="M815" i="1"/>
  <c r="M1788" i="1"/>
  <c r="M1314" i="1"/>
  <c r="M207" i="1"/>
  <c r="M1227" i="1"/>
  <c r="M1432" i="1"/>
  <c r="M77" i="1"/>
  <c r="M361" i="1"/>
  <c r="M1150" i="1"/>
  <c r="M1190" i="1"/>
  <c r="M1341" i="1"/>
  <c r="M1375" i="1"/>
  <c r="M211" i="1"/>
  <c r="M1718" i="1"/>
  <c r="M96" i="1"/>
  <c r="M209" i="1"/>
  <c r="M1611" i="1"/>
  <c r="J1189" i="1"/>
  <c r="J1188" i="1" s="1"/>
  <c r="K1188" i="1" s="1"/>
  <c r="M1188" i="1" s="1"/>
  <c r="O1188" i="1" s="1"/>
  <c r="Q1188" i="1" s="1"/>
  <c r="S1188" i="1" s="1"/>
  <c r="U1188" i="1" s="1"/>
  <c r="W1188" i="1" s="1"/>
  <c r="Y1188" i="1" s="1"/>
  <c r="L1404" i="1"/>
  <c r="L1403" i="1" s="1"/>
  <c r="L1573" i="1"/>
  <c r="L1572" i="1" s="1"/>
  <c r="L927" i="1"/>
  <c r="L926" i="1" s="1"/>
  <c r="L915" i="1" s="1"/>
  <c r="M1785" i="1"/>
  <c r="O1785" i="1" s="1"/>
  <c r="Q1785" i="1" s="1"/>
  <c r="S1785" i="1" s="1"/>
  <c r="U1785" i="1" s="1"/>
  <c r="W1785" i="1" s="1"/>
  <c r="Y1785" i="1" s="1"/>
  <c r="L1745" i="1"/>
  <c r="L1769" i="1"/>
  <c r="M812" i="1"/>
  <c r="O812" i="1" s="1"/>
  <c r="Q812" i="1" s="1"/>
  <c r="S812" i="1" s="1"/>
  <c r="U812" i="1" s="1"/>
  <c r="W812" i="1" s="1"/>
  <c r="Y812" i="1" s="1"/>
  <c r="L1217" i="1"/>
  <c r="L1118" i="1"/>
  <c r="L59" i="1"/>
  <c r="L58" i="1" s="1"/>
  <c r="L38" i="1" s="1"/>
  <c r="L1817" i="1"/>
  <c r="L1682" i="1"/>
  <c r="L1736" i="1"/>
  <c r="L1468" i="1"/>
  <c r="L1863" i="1"/>
  <c r="L1694" i="1"/>
  <c r="L1557" i="1"/>
  <c r="L1439" i="1"/>
  <c r="L887" i="1"/>
  <c r="L826" i="1"/>
  <c r="L1298" i="1"/>
  <c r="L343" i="1"/>
  <c r="L1753" i="1"/>
  <c r="L1563" i="1"/>
  <c r="L1829" i="1"/>
  <c r="L1700" i="1"/>
  <c r="L1675" i="1"/>
  <c r="L976" i="1"/>
  <c r="L1192" i="1"/>
  <c r="L778" i="1"/>
  <c r="L148" i="1"/>
  <c r="L1812" i="1"/>
  <c r="L1795" i="1"/>
  <c r="L1761" i="1"/>
  <c r="L1654" i="1"/>
  <c r="L1499" i="1"/>
  <c r="L213" i="1"/>
  <c r="L263" i="1"/>
  <c r="L877" i="1"/>
  <c r="L289" i="1"/>
  <c r="L1445" i="1"/>
  <c r="L370" i="1"/>
  <c r="L274" i="1"/>
  <c r="M274" i="1" s="1"/>
  <c r="O274" i="1" s="1"/>
  <c r="Q274" i="1" s="1"/>
  <c r="S274" i="1" s="1"/>
  <c r="U274" i="1" s="1"/>
  <c r="W274" i="1" s="1"/>
  <c r="Y274" i="1" s="1"/>
  <c r="L114" i="1"/>
  <c r="L324" i="1"/>
  <c r="J1874" i="1"/>
  <c r="K1593" i="1"/>
  <c r="K1787" i="1"/>
  <c r="M1787" i="1" s="1"/>
  <c r="O1787" i="1" s="1"/>
  <c r="Q1787" i="1" s="1"/>
  <c r="S1787" i="1" s="1"/>
  <c r="U1787" i="1" s="1"/>
  <c r="W1787" i="1" s="1"/>
  <c r="Y1787" i="1" s="1"/>
  <c r="K1431" i="1"/>
  <c r="M1431" i="1" s="1"/>
  <c r="O1431" i="1" s="1"/>
  <c r="Q1431" i="1" s="1"/>
  <c r="S1431" i="1" s="1"/>
  <c r="U1431" i="1" s="1"/>
  <c r="W1431" i="1" s="1"/>
  <c r="Y1431" i="1" s="1"/>
  <c r="K1786" i="1"/>
  <c r="M1786" i="1" s="1"/>
  <c r="O1786" i="1" s="1"/>
  <c r="Q1786" i="1" s="1"/>
  <c r="S1786" i="1" s="1"/>
  <c r="U1786" i="1" s="1"/>
  <c r="W1786" i="1" s="1"/>
  <c r="Y1786" i="1" s="1"/>
  <c r="K814" i="1"/>
  <c r="M814" i="1" s="1"/>
  <c r="O814" i="1" s="1"/>
  <c r="Q814" i="1" s="1"/>
  <c r="S814" i="1" s="1"/>
  <c r="U814" i="1" s="1"/>
  <c r="W814" i="1" s="1"/>
  <c r="Y814" i="1" s="1"/>
  <c r="K276" i="1"/>
  <c r="M276" i="1" s="1"/>
  <c r="O276" i="1" s="1"/>
  <c r="Q276" i="1" s="1"/>
  <c r="S276" i="1" s="1"/>
  <c r="U276" i="1" s="1"/>
  <c r="W276" i="1" s="1"/>
  <c r="Y276" i="1" s="1"/>
  <c r="K813" i="1"/>
  <c r="M813" i="1" s="1"/>
  <c r="O813" i="1" s="1"/>
  <c r="Q813" i="1" s="1"/>
  <c r="S813" i="1" s="1"/>
  <c r="U813" i="1" s="1"/>
  <c r="W813" i="1" s="1"/>
  <c r="Y813" i="1" s="1"/>
  <c r="K275" i="1"/>
  <c r="M275" i="1" s="1"/>
  <c r="O275" i="1" s="1"/>
  <c r="Q275" i="1" s="1"/>
  <c r="S275" i="1" s="1"/>
  <c r="U275" i="1" s="1"/>
  <c r="W275" i="1" s="1"/>
  <c r="Y275" i="1" s="1"/>
  <c r="J935" i="1"/>
  <c r="J969" i="1"/>
  <c r="K969" i="1" s="1"/>
  <c r="K1442" i="1"/>
  <c r="K1443" i="1"/>
  <c r="J1441" i="1"/>
  <c r="J1440" i="1" s="1"/>
  <c r="J1439" i="1" s="1"/>
  <c r="J1438" i="1" s="1"/>
  <c r="K1438" i="1" s="1"/>
  <c r="K1289" i="1"/>
  <c r="K1290" i="1"/>
  <c r="J1288" i="1"/>
  <c r="K1288" i="1" s="1"/>
  <c r="M1288" i="1" s="1"/>
  <c r="O1288" i="1" s="1"/>
  <c r="Q1288" i="1" s="1"/>
  <c r="S1288" i="1" s="1"/>
  <c r="U1288" i="1" s="1"/>
  <c r="W1288" i="1" s="1"/>
  <c r="Y1288" i="1" s="1"/>
  <c r="J968" i="1" l="1"/>
  <c r="K968" i="1" s="1"/>
  <c r="M968" i="1" s="1"/>
  <c r="O968" i="1" s="1"/>
  <c r="Q968" i="1" s="1"/>
  <c r="S968" i="1" s="1"/>
  <c r="U968" i="1" s="1"/>
  <c r="W968" i="1" s="1"/>
  <c r="Y968" i="1" s="1"/>
  <c r="O209" i="1"/>
  <c r="Q209" i="1" s="1"/>
  <c r="S209" i="1" s="1"/>
  <c r="U209" i="1" s="1"/>
  <c r="W209" i="1" s="1"/>
  <c r="Y209" i="1" s="1"/>
  <c r="AA209" i="1" s="1"/>
  <c r="O1375" i="1"/>
  <c r="Q1375" i="1" s="1"/>
  <c r="S1375" i="1" s="1"/>
  <c r="U1375" i="1" s="1"/>
  <c r="W1375" i="1" s="1"/>
  <c r="Y1375" i="1" s="1"/>
  <c r="AA1375" i="1" s="1"/>
  <c r="O361" i="1"/>
  <c r="Q361" i="1" s="1"/>
  <c r="S361" i="1" s="1"/>
  <c r="U361" i="1" s="1"/>
  <c r="W361" i="1" s="1"/>
  <c r="Y361" i="1" s="1"/>
  <c r="AA361" i="1" s="1"/>
  <c r="O207" i="1"/>
  <c r="Q207" i="1" s="1"/>
  <c r="S207" i="1" s="1"/>
  <c r="U207" i="1" s="1"/>
  <c r="W207" i="1" s="1"/>
  <c r="Y207" i="1" s="1"/>
  <c r="AA207" i="1" s="1"/>
  <c r="O277" i="1"/>
  <c r="Q277" i="1" s="1"/>
  <c r="S277" i="1" s="1"/>
  <c r="U277" i="1" s="1"/>
  <c r="W277" i="1" s="1"/>
  <c r="Y277" i="1" s="1"/>
  <c r="AA277" i="1" s="1"/>
  <c r="O96" i="1"/>
  <c r="Q96" i="1" s="1"/>
  <c r="S96" i="1" s="1"/>
  <c r="U96" i="1" s="1"/>
  <c r="W96" i="1" s="1"/>
  <c r="Y96" i="1" s="1"/>
  <c r="AA96" i="1" s="1"/>
  <c r="O1341" i="1"/>
  <c r="Q1341" i="1" s="1"/>
  <c r="S1341" i="1" s="1"/>
  <c r="U1341" i="1" s="1"/>
  <c r="W1341" i="1" s="1"/>
  <c r="Y1341" i="1" s="1"/>
  <c r="AA1341" i="1" s="1"/>
  <c r="O77" i="1"/>
  <c r="Q77" i="1" s="1"/>
  <c r="S77" i="1" s="1"/>
  <c r="U77" i="1" s="1"/>
  <c r="W77" i="1" s="1"/>
  <c r="Y77" i="1" s="1"/>
  <c r="AA77" i="1" s="1"/>
  <c r="O1314" i="1"/>
  <c r="Q1314" i="1" s="1"/>
  <c r="S1314" i="1" s="1"/>
  <c r="U1314" i="1" s="1"/>
  <c r="W1314" i="1" s="1"/>
  <c r="Y1314" i="1" s="1"/>
  <c r="AA1314" i="1" s="1"/>
  <c r="O208" i="1"/>
  <c r="Q208" i="1" s="1"/>
  <c r="S208" i="1" s="1"/>
  <c r="U208" i="1" s="1"/>
  <c r="W208" i="1" s="1"/>
  <c r="Y208" i="1" s="1"/>
  <c r="AA208" i="1" s="1"/>
  <c r="O1718" i="1"/>
  <c r="Q1718" i="1" s="1"/>
  <c r="S1718" i="1" s="1"/>
  <c r="U1718" i="1" s="1"/>
  <c r="W1718" i="1" s="1"/>
  <c r="Y1718" i="1" s="1"/>
  <c r="AA1718" i="1" s="1"/>
  <c r="O1190" i="1"/>
  <c r="Q1190" i="1" s="1"/>
  <c r="S1190" i="1" s="1"/>
  <c r="U1190" i="1" s="1"/>
  <c r="W1190" i="1" s="1"/>
  <c r="Y1190" i="1" s="1"/>
  <c r="AA1190" i="1" s="1"/>
  <c r="O1432" i="1"/>
  <c r="Q1432" i="1" s="1"/>
  <c r="S1432" i="1" s="1"/>
  <c r="U1432" i="1" s="1"/>
  <c r="W1432" i="1" s="1"/>
  <c r="Y1432" i="1" s="1"/>
  <c r="AA1432" i="1" s="1"/>
  <c r="O1788" i="1"/>
  <c r="Q1788" i="1" s="1"/>
  <c r="S1788" i="1" s="1"/>
  <c r="U1788" i="1" s="1"/>
  <c r="W1788" i="1" s="1"/>
  <c r="Y1788" i="1" s="1"/>
  <c r="AA1788" i="1" s="1"/>
  <c r="O1781" i="1"/>
  <c r="Q1781" i="1" s="1"/>
  <c r="S1781" i="1" s="1"/>
  <c r="U1781" i="1" s="1"/>
  <c r="W1781" i="1" s="1"/>
  <c r="Y1781" i="1" s="1"/>
  <c r="AA1781" i="1" s="1"/>
  <c r="O1611" i="1"/>
  <c r="Q1611" i="1" s="1"/>
  <c r="S1611" i="1" s="1"/>
  <c r="U1611" i="1" s="1"/>
  <c r="W1611" i="1" s="1"/>
  <c r="Y1611" i="1" s="1"/>
  <c r="AA1611" i="1" s="1"/>
  <c r="O211" i="1"/>
  <c r="Q211" i="1" s="1"/>
  <c r="S211" i="1" s="1"/>
  <c r="U211" i="1" s="1"/>
  <c r="W211" i="1" s="1"/>
  <c r="Y211" i="1" s="1"/>
  <c r="AA211" i="1" s="1"/>
  <c r="O1150" i="1"/>
  <c r="Q1150" i="1" s="1"/>
  <c r="S1150" i="1" s="1"/>
  <c r="U1150" i="1" s="1"/>
  <c r="W1150" i="1" s="1"/>
  <c r="Y1150" i="1" s="1"/>
  <c r="AA1150" i="1" s="1"/>
  <c r="O1227" i="1"/>
  <c r="Q1227" i="1" s="1"/>
  <c r="S1227" i="1" s="1"/>
  <c r="U1227" i="1" s="1"/>
  <c r="W1227" i="1" s="1"/>
  <c r="Y1227" i="1" s="1"/>
  <c r="AA1227" i="1" s="1"/>
  <c r="O815" i="1"/>
  <c r="Q815" i="1" s="1"/>
  <c r="S815" i="1" s="1"/>
  <c r="U815" i="1" s="1"/>
  <c r="W815" i="1" s="1"/>
  <c r="Y815" i="1" s="1"/>
  <c r="AA815" i="1" s="1"/>
  <c r="O86" i="1"/>
  <c r="Q86" i="1" s="1"/>
  <c r="S86" i="1" s="1"/>
  <c r="U86" i="1" s="1"/>
  <c r="W86" i="1" s="1"/>
  <c r="Y86" i="1" s="1"/>
  <c r="AA86" i="1" s="1"/>
  <c r="K1189" i="1"/>
  <c r="M1189" i="1" s="1"/>
  <c r="O1189" i="1" s="1"/>
  <c r="Q1189" i="1" s="1"/>
  <c r="S1189" i="1" s="1"/>
  <c r="U1189" i="1" s="1"/>
  <c r="W1189" i="1" s="1"/>
  <c r="Y1189" i="1" s="1"/>
  <c r="M1443" i="1"/>
  <c r="M969" i="1"/>
  <c r="M1290" i="1"/>
  <c r="M1442" i="1"/>
  <c r="M1593" i="1"/>
  <c r="M1289" i="1"/>
  <c r="L273" i="1"/>
  <c r="L1268" i="1"/>
  <c r="L1202" i="1"/>
  <c r="L1201" i="1" s="1"/>
  <c r="L1117" i="1"/>
  <c r="L975" i="1" s="1"/>
  <c r="L1760" i="1"/>
  <c r="L1828" i="1"/>
  <c r="L1735" i="1"/>
  <c r="L369" i="1"/>
  <c r="L288" i="1"/>
  <c r="L1369" i="1"/>
  <c r="L1191" i="1"/>
  <c r="L1699" i="1"/>
  <c r="L1653" i="1" s="1"/>
  <c r="L886" i="1"/>
  <c r="L1862" i="1"/>
  <c r="L311" i="1"/>
  <c r="L1444" i="1"/>
  <c r="L212" i="1"/>
  <c r="L1794" i="1"/>
  <c r="L1800" i="1"/>
  <c r="L1438" i="1"/>
  <c r="M1438" i="1" s="1"/>
  <c r="O1438" i="1" s="1"/>
  <c r="Q1438" i="1" s="1"/>
  <c r="S1438" i="1" s="1"/>
  <c r="U1438" i="1" s="1"/>
  <c r="W1438" i="1" s="1"/>
  <c r="Y1438" i="1" s="1"/>
  <c r="L1467" i="1"/>
  <c r="L876" i="1"/>
  <c r="L773" i="1"/>
  <c r="L825" i="1"/>
  <c r="K1441" i="1"/>
  <c r="M1441" i="1" s="1"/>
  <c r="O1441" i="1" s="1"/>
  <c r="Q1441" i="1" s="1"/>
  <c r="S1441" i="1" s="1"/>
  <c r="U1441" i="1" s="1"/>
  <c r="W1441" i="1" s="1"/>
  <c r="Y1441" i="1" s="1"/>
  <c r="K1439" i="1"/>
  <c r="M1439" i="1" s="1"/>
  <c r="O1439" i="1" s="1"/>
  <c r="Q1439" i="1" s="1"/>
  <c r="S1439" i="1" s="1"/>
  <c r="U1439" i="1" s="1"/>
  <c r="W1439" i="1" s="1"/>
  <c r="Y1439" i="1" s="1"/>
  <c r="K1440" i="1"/>
  <c r="M1440" i="1" s="1"/>
  <c r="O1440" i="1" s="1"/>
  <c r="Q1440" i="1" s="1"/>
  <c r="S1440" i="1" s="1"/>
  <c r="U1440" i="1" s="1"/>
  <c r="W1440" i="1" s="1"/>
  <c r="Y1440" i="1" s="1"/>
  <c r="K420" i="1"/>
  <c r="J419" i="1"/>
  <c r="K1044" i="1"/>
  <c r="J1043" i="1"/>
  <c r="K1043" i="1" s="1"/>
  <c r="M1043" i="1" s="1"/>
  <c r="O1043" i="1" s="1"/>
  <c r="Q1043" i="1" s="1"/>
  <c r="S1043" i="1" s="1"/>
  <c r="U1043" i="1" s="1"/>
  <c r="W1043" i="1" s="1"/>
  <c r="Y1043" i="1" s="1"/>
  <c r="O1290" i="1" l="1"/>
  <c r="Q1290" i="1" s="1"/>
  <c r="S1290" i="1" s="1"/>
  <c r="U1290" i="1" s="1"/>
  <c r="W1290" i="1" s="1"/>
  <c r="Y1290" i="1" s="1"/>
  <c r="AA1290" i="1" s="1"/>
  <c r="O1442" i="1"/>
  <c r="Q1442" i="1" s="1"/>
  <c r="S1442" i="1" s="1"/>
  <c r="U1442" i="1" s="1"/>
  <c r="W1442" i="1" s="1"/>
  <c r="Y1442" i="1" s="1"/>
  <c r="AA1442" i="1" s="1"/>
  <c r="O1289" i="1"/>
  <c r="Q1289" i="1" s="1"/>
  <c r="S1289" i="1" s="1"/>
  <c r="U1289" i="1" s="1"/>
  <c r="W1289" i="1" s="1"/>
  <c r="Y1289" i="1" s="1"/>
  <c r="AA1289" i="1" s="1"/>
  <c r="O969" i="1"/>
  <c r="Q969" i="1" s="1"/>
  <c r="S969" i="1" s="1"/>
  <c r="U969" i="1" s="1"/>
  <c r="W969" i="1" s="1"/>
  <c r="Y969" i="1" s="1"/>
  <c r="AA969" i="1" s="1"/>
  <c r="O1593" i="1"/>
  <c r="Q1593" i="1" s="1"/>
  <c r="S1593" i="1" s="1"/>
  <c r="U1593" i="1" s="1"/>
  <c r="W1593" i="1" s="1"/>
  <c r="Y1593" i="1" s="1"/>
  <c r="AA1593" i="1" s="1"/>
  <c r="O1443" i="1"/>
  <c r="Q1443" i="1" s="1"/>
  <c r="S1443" i="1" s="1"/>
  <c r="U1443" i="1" s="1"/>
  <c r="W1443" i="1" s="1"/>
  <c r="Y1443" i="1" s="1"/>
  <c r="AA1443" i="1" s="1"/>
  <c r="M1044" i="1"/>
  <c r="M420" i="1"/>
  <c r="L1267" i="1"/>
  <c r="K419" i="1"/>
  <c r="M419" i="1" s="1"/>
  <c r="O419" i="1" s="1"/>
  <c r="Q419" i="1" s="1"/>
  <c r="S419" i="1" s="1"/>
  <c r="U419" i="1" s="1"/>
  <c r="W419" i="1" s="1"/>
  <c r="Y419" i="1" s="1"/>
  <c r="J418" i="1"/>
  <c r="L272" i="1"/>
  <c r="L798" i="1"/>
  <c r="L147" i="1"/>
  <c r="L1734" i="1"/>
  <c r="L1799" i="1"/>
  <c r="L1571" i="1"/>
  <c r="L1437" i="1"/>
  <c r="L1759" i="1"/>
  <c r="L368" i="1"/>
  <c r="L364" i="1" s="1"/>
  <c r="L1466" i="1"/>
  <c r="L885" i="1"/>
  <c r="L1827" i="1"/>
  <c r="K1850" i="1"/>
  <c r="J1849" i="1"/>
  <c r="K1849" i="1" s="1"/>
  <c r="M1849" i="1" s="1"/>
  <c r="O1849" i="1" s="1"/>
  <c r="Q1849" i="1" s="1"/>
  <c r="S1849" i="1" s="1"/>
  <c r="U1849" i="1" s="1"/>
  <c r="W1849" i="1" s="1"/>
  <c r="Y1849" i="1" s="1"/>
  <c r="K1247" i="1"/>
  <c r="J1246" i="1"/>
  <c r="K1246" i="1" s="1"/>
  <c r="M1246" i="1" s="1"/>
  <c r="O1246" i="1" s="1"/>
  <c r="Q1246" i="1" s="1"/>
  <c r="S1246" i="1" s="1"/>
  <c r="U1246" i="1" s="1"/>
  <c r="W1246" i="1" s="1"/>
  <c r="Y1246" i="1" s="1"/>
  <c r="O420" i="1" l="1"/>
  <c r="Q420" i="1" s="1"/>
  <c r="S420" i="1" s="1"/>
  <c r="U420" i="1" s="1"/>
  <c r="W420" i="1" s="1"/>
  <c r="Y420" i="1" s="1"/>
  <c r="AA420" i="1" s="1"/>
  <c r="O1044" i="1"/>
  <c r="Q1044" i="1" s="1"/>
  <c r="S1044" i="1" s="1"/>
  <c r="U1044" i="1" s="1"/>
  <c r="W1044" i="1" s="1"/>
  <c r="Y1044" i="1" s="1"/>
  <c r="AA1044" i="1" s="1"/>
  <c r="M1247" i="1"/>
  <c r="M1850" i="1"/>
  <c r="K418" i="1"/>
  <c r="M418" i="1" s="1"/>
  <c r="O418" i="1" s="1"/>
  <c r="Q418" i="1" s="1"/>
  <c r="S418" i="1" s="1"/>
  <c r="U418" i="1" s="1"/>
  <c r="W418" i="1" s="1"/>
  <c r="Y418" i="1" s="1"/>
  <c r="J375" i="1"/>
  <c r="L1200" i="1"/>
  <c r="L342" i="1"/>
  <c r="L884" i="1"/>
  <c r="L1752" i="1"/>
  <c r="L15" i="1"/>
  <c r="K1589" i="1"/>
  <c r="J1588" i="1"/>
  <c r="K1588" i="1" s="1"/>
  <c r="M1588" i="1" s="1"/>
  <c r="O1588" i="1" s="1"/>
  <c r="Q1588" i="1" s="1"/>
  <c r="S1588" i="1" s="1"/>
  <c r="U1588" i="1" s="1"/>
  <c r="W1588" i="1" s="1"/>
  <c r="Y1588" i="1" s="1"/>
  <c r="J1584" i="1"/>
  <c r="K1584" i="1" s="1"/>
  <c r="M1584" i="1" s="1"/>
  <c r="O1584" i="1" s="1"/>
  <c r="Q1584" i="1" s="1"/>
  <c r="S1584" i="1" s="1"/>
  <c r="U1584" i="1" s="1"/>
  <c r="W1584" i="1" s="1"/>
  <c r="Y1584" i="1" s="1"/>
  <c r="K1585" i="1"/>
  <c r="K1586" i="1"/>
  <c r="O1850" i="1" l="1"/>
  <c r="Q1850" i="1" s="1"/>
  <c r="S1850" i="1" s="1"/>
  <c r="U1850" i="1" s="1"/>
  <c r="W1850" i="1" s="1"/>
  <c r="Y1850" i="1" s="1"/>
  <c r="AA1850" i="1" s="1"/>
  <c r="O1247" i="1"/>
  <c r="Q1247" i="1" s="1"/>
  <c r="S1247" i="1" s="1"/>
  <c r="U1247" i="1" s="1"/>
  <c r="W1247" i="1" s="1"/>
  <c r="Y1247" i="1" s="1"/>
  <c r="AA1247" i="1" s="1"/>
  <c r="M1586" i="1"/>
  <c r="M1589" i="1"/>
  <c r="M1585" i="1"/>
  <c r="L1868" i="1"/>
  <c r="L1870" i="1"/>
  <c r="K1524" i="1"/>
  <c r="K1525" i="1"/>
  <c r="J1523" i="1"/>
  <c r="K1523" i="1" s="1"/>
  <c r="M1523" i="1" s="1"/>
  <c r="O1523" i="1" s="1"/>
  <c r="Q1523" i="1" s="1"/>
  <c r="S1523" i="1" s="1"/>
  <c r="U1523" i="1" s="1"/>
  <c r="W1523" i="1" s="1"/>
  <c r="Y1523" i="1" s="1"/>
  <c r="J937" i="1"/>
  <c r="K937" i="1" s="1"/>
  <c r="M937" i="1" s="1"/>
  <c r="O937" i="1" s="1"/>
  <c r="Q937" i="1" s="1"/>
  <c r="S937" i="1" s="1"/>
  <c r="U937" i="1" s="1"/>
  <c r="W937" i="1" s="1"/>
  <c r="Y937" i="1" s="1"/>
  <c r="K938" i="1"/>
  <c r="O1585" i="1" l="1"/>
  <c r="Q1585" i="1" s="1"/>
  <c r="S1585" i="1" s="1"/>
  <c r="U1585" i="1" s="1"/>
  <c r="W1585" i="1" s="1"/>
  <c r="Y1585" i="1" s="1"/>
  <c r="AA1585" i="1" s="1"/>
  <c r="O1589" i="1"/>
  <c r="Q1589" i="1" s="1"/>
  <c r="S1589" i="1" s="1"/>
  <c r="U1589" i="1" s="1"/>
  <c r="W1589" i="1" s="1"/>
  <c r="Y1589" i="1" s="1"/>
  <c r="AA1589" i="1" s="1"/>
  <c r="O1586" i="1"/>
  <c r="Q1586" i="1" s="1"/>
  <c r="S1586" i="1" s="1"/>
  <c r="U1586" i="1" s="1"/>
  <c r="W1586" i="1" s="1"/>
  <c r="Y1586" i="1" s="1"/>
  <c r="AA1586" i="1" s="1"/>
  <c r="M1525" i="1"/>
  <c r="M938" i="1"/>
  <c r="M1524" i="1"/>
  <c r="J1782" i="1"/>
  <c r="K1783" i="1"/>
  <c r="O938" i="1" l="1"/>
  <c r="Q938" i="1" s="1"/>
  <c r="S938" i="1" s="1"/>
  <c r="U938" i="1" s="1"/>
  <c r="W938" i="1" s="1"/>
  <c r="Y938" i="1" s="1"/>
  <c r="AA938" i="1" s="1"/>
  <c r="O1525" i="1"/>
  <c r="Q1525" i="1" s="1"/>
  <c r="S1525" i="1" s="1"/>
  <c r="U1525" i="1" s="1"/>
  <c r="W1525" i="1" s="1"/>
  <c r="Y1525" i="1" s="1"/>
  <c r="AA1525" i="1" s="1"/>
  <c r="O1524" i="1"/>
  <c r="Q1524" i="1" s="1"/>
  <c r="S1524" i="1" s="1"/>
  <c r="U1524" i="1" s="1"/>
  <c r="W1524" i="1" s="1"/>
  <c r="Y1524" i="1" s="1"/>
  <c r="AA1524" i="1" s="1"/>
  <c r="M1783" i="1"/>
  <c r="J1875" i="1"/>
  <c r="J1872" i="1" s="1"/>
  <c r="O1783" i="1" l="1"/>
  <c r="Q1783" i="1" s="1"/>
  <c r="S1783" i="1" s="1"/>
  <c r="U1783" i="1" s="1"/>
  <c r="W1783" i="1" s="1"/>
  <c r="Y1783" i="1" s="1"/>
  <c r="AA1783" i="1" s="1"/>
  <c r="K945" i="1"/>
  <c r="J942" i="1"/>
  <c r="M945" i="1" l="1"/>
  <c r="J1866" i="1"/>
  <c r="J1865" i="1" s="1"/>
  <c r="J1856" i="1"/>
  <c r="J1854" i="1"/>
  <c r="J1851" i="1"/>
  <c r="J1847" i="1"/>
  <c r="J1845" i="1"/>
  <c r="J1838" i="1"/>
  <c r="J1831" i="1"/>
  <c r="J1825" i="1"/>
  <c r="J1820" i="1"/>
  <c r="J1814" i="1"/>
  <c r="J1813" i="1" s="1"/>
  <c r="J1809" i="1"/>
  <c r="J1807" i="1"/>
  <c r="J1805" i="1"/>
  <c r="J1803" i="1"/>
  <c r="J1797" i="1"/>
  <c r="J1796" i="1" s="1"/>
  <c r="J1777" i="1"/>
  <c r="J1774" i="1"/>
  <c r="J1773" i="1" s="1"/>
  <c r="J1771" i="1"/>
  <c r="J1767" i="1"/>
  <c r="J1766" i="1" s="1"/>
  <c r="J1765" i="1" s="1"/>
  <c r="J1763" i="1"/>
  <c r="J1762" i="1" s="1"/>
  <c r="J1757" i="1"/>
  <c r="J1756" i="1" s="1"/>
  <c r="J1750" i="1"/>
  <c r="J1749" i="1" s="1"/>
  <c r="J1747" i="1"/>
  <c r="J1746" i="1" s="1"/>
  <c r="J1743" i="1"/>
  <c r="J1742" i="1" s="1"/>
  <c r="J1740" i="1"/>
  <c r="J1738" i="1"/>
  <c r="J1732" i="1"/>
  <c r="J1731" i="1" s="1"/>
  <c r="J1728" i="1"/>
  <c r="J1725" i="1"/>
  <c r="J1724" i="1" s="1"/>
  <c r="J1721" i="1"/>
  <c r="J1713" i="1"/>
  <c r="J1705" i="1"/>
  <c r="J1702" i="1"/>
  <c r="J1701" i="1" s="1"/>
  <c r="J1697" i="1"/>
  <c r="J1696" i="1" s="1"/>
  <c r="J1692" i="1"/>
  <c r="J1691" i="1" s="1"/>
  <c r="J1689" i="1"/>
  <c r="J1685" i="1"/>
  <c r="J1684" i="1" s="1"/>
  <c r="J1683" i="1" s="1"/>
  <c r="J1680" i="1"/>
  <c r="J1677" i="1"/>
  <c r="J1676" i="1" s="1"/>
  <c r="J1673" i="1"/>
  <c r="J1671" i="1"/>
  <c r="J1668" i="1"/>
  <c r="J1659" i="1"/>
  <c r="J1623" i="1"/>
  <c r="J1622" i="1" s="1"/>
  <c r="J1619" i="1"/>
  <c r="J1617" i="1"/>
  <c r="J1613" i="1"/>
  <c r="J1607" i="1"/>
  <c r="J1605" i="1"/>
  <c r="J1602" i="1"/>
  <c r="J1600" i="1"/>
  <c r="J1598" i="1"/>
  <c r="J1596" i="1"/>
  <c r="J1581" i="1"/>
  <c r="J1579" i="1"/>
  <c r="J1577" i="1"/>
  <c r="J1568" i="1"/>
  <c r="J1565" i="1"/>
  <c r="J1564" i="1" s="1"/>
  <c r="J1560" i="1"/>
  <c r="J1559" i="1" s="1"/>
  <c r="J1555" i="1"/>
  <c r="J1554" i="1" s="1"/>
  <c r="J1551" i="1"/>
  <c r="J1550" i="1" s="1"/>
  <c r="J1549" i="1" s="1"/>
  <c r="J1548" i="1" s="1"/>
  <c r="J1545" i="1"/>
  <c r="J1544" i="1" s="1"/>
  <c r="J1542" i="1"/>
  <c r="J1541" i="1" s="1"/>
  <c r="J1532" i="1"/>
  <c r="J1526" i="1"/>
  <c r="J1519" i="1"/>
  <c r="J1514" i="1" s="1"/>
  <c r="J1512" i="1"/>
  <c r="J1504" i="1"/>
  <c r="J1491" i="1"/>
  <c r="J1488" i="1" s="1"/>
  <c r="J1485" i="1"/>
  <c r="J1484" i="1" s="1"/>
  <c r="J1481" i="1"/>
  <c r="J1480" i="1" s="1"/>
  <c r="J1477" i="1"/>
  <c r="J1473" i="1"/>
  <c r="J1464" i="1"/>
  <c r="J1461" i="1" s="1"/>
  <c r="J1459" i="1"/>
  <c r="J1453" i="1"/>
  <c r="J1452" i="1" s="1"/>
  <c r="J1451" i="1" s="1"/>
  <c r="J1450" i="1" s="1"/>
  <c r="J1447" i="1"/>
  <c r="J1424" i="1"/>
  <c r="J1418" i="1"/>
  <c r="J1417" i="1" s="1"/>
  <c r="J1413" i="1"/>
  <c r="J1411" i="1"/>
  <c r="J1409" i="1"/>
  <c r="J1386" i="1"/>
  <c r="J1384" i="1"/>
  <c r="J1382" i="1"/>
  <c r="J1380" i="1"/>
  <c r="J1378" i="1"/>
  <c r="J1376" i="1"/>
  <c r="J1367" i="1"/>
  <c r="J1362" i="1"/>
  <c r="J1351" i="1"/>
  <c r="J1348" i="1"/>
  <c r="J1343" i="1"/>
  <c r="J1342" i="1" s="1"/>
  <c r="J1336" i="1"/>
  <c r="J1332" i="1"/>
  <c r="J1329" i="1"/>
  <c r="J1326" i="1"/>
  <c r="J1323" i="1"/>
  <c r="J1319" i="1"/>
  <c r="J1316" i="1"/>
  <c r="J1310" i="1"/>
  <c r="J1302" i="1"/>
  <c r="J1300" i="1"/>
  <c r="J1293" i="1"/>
  <c r="J1292" i="1" s="1"/>
  <c r="J1285" i="1"/>
  <c r="J1284" i="1" s="1"/>
  <c r="J1280" i="1"/>
  <c r="J1277" i="1"/>
  <c r="J1274" i="1"/>
  <c r="J1258" i="1"/>
  <c r="J1243" i="1"/>
  <c r="J1240" i="1"/>
  <c r="J1238" i="1"/>
  <c r="J1236" i="1"/>
  <c r="J1231" i="1"/>
  <c r="J1229" i="1"/>
  <c r="J1222" i="1"/>
  <c r="J1219" i="1"/>
  <c r="J1215" i="1"/>
  <c r="J1214" i="1" s="1"/>
  <c r="J1210" i="1"/>
  <c r="J1207" i="1"/>
  <c r="J1198" i="1"/>
  <c r="J1196" i="1"/>
  <c r="J1184" i="1"/>
  <c r="J1170" i="1"/>
  <c r="J1168" i="1"/>
  <c r="J1151" i="1"/>
  <c r="J1145" i="1"/>
  <c r="J1144" i="1" s="1"/>
  <c r="J1141" i="1"/>
  <c r="J1138" i="1"/>
  <c r="J1134" i="1"/>
  <c r="J1131" i="1"/>
  <c r="J1129" i="1"/>
  <c r="J1127" i="1"/>
  <c r="J1125" i="1"/>
  <c r="J1035" i="1"/>
  <c r="J1033" i="1"/>
  <c r="J1031" i="1"/>
  <c r="J1029" i="1"/>
  <c r="J1027" i="1"/>
  <c r="J1025" i="1"/>
  <c r="J1023" i="1"/>
  <c r="J1021" i="1"/>
  <c r="J1019" i="1"/>
  <c r="J1017" i="1"/>
  <c r="J1015" i="1"/>
  <c r="J1013" i="1"/>
  <c r="J1011" i="1"/>
  <c r="J1009" i="1"/>
  <c r="J1007" i="1"/>
  <c r="J1005" i="1"/>
  <c r="J1003" i="1"/>
  <c r="J1001" i="1"/>
  <c r="J985" i="1"/>
  <c r="J983" i="1"/>
  <c r="J979" i="1"/>
  <c r="J978" i="1" s="1"/>
  <c r="J970" i="1"/>
  <c r="J967" i="1" s="1"/>
  <c r="J963" i="1"/>
  <c r="J961" i="1"/>
  <c r="J957" i="1"/>
  <c r="J949" i="1"/>
  <c r="J939" i="1"/>
  <c r="J934" i="1"/>
  <c r="J929" i="1"/>
  <c r="J906" i="1"/>
  <c r="J904" i="1"/>
  <c r="J895" i="1"/>
  <c r="J894" i="1" s="1"/>
  <c r="J889" i="1"/>
  <c r="J882" i="1"/>
  <c r="J881" i="1" s="1"/>
  <c r="J879" i="1"/>
  <c r="J878" i="1" s="1"/>
  <c r="J874" i="1"/>
  <c r="J873" i="1" s="1"/>
  <c r="J863" i="1"/>
  <c r="J856" i="1" s="1"/>
  <c r="J851" i="1"/>
  <c r="J849" i="1"/>
  <c r="J847" i="1"/>
  <c r="J843" i="1"/>
  <c r="J831" i="1"/>
  <c r="J822" i="1"/>
  <c r="J820" i="1"/>
  <c r="J810" i="1"/>
  <c r="J809" i="1" s="1"/>
  <c r="J807" i="1"/>
  <c r="J806" i="1" s="1"/>
  <c r="J804" i="1"/>
  <c r="J803" i="1" s="1"/>
  <c r="J801" i="1"/>
  <c r="J800" i="1" s="1"/>
  <c r="J796" i="1"/>
  <c r="J794" i="1"/>
  <c r="J792" i="1"/>
  <c r="J790" i="1"/>
  <c r="J784" i="1"/>
  <c r="J782" i="1"/>
  <c r="J413" i="1"/>
  <c r="J411" i="1"/>
  <c r="J409" i="1"/>
  <c r="J407" i="1"/>
  <c r="J405" i="1"/>
  <c r="J403" i="1"/>
  <c r="J401" i="1"/>
  <c r="J399" i="1"/>
  <c r="J397" i="1"/>
  <c r="J395" i="1"/>
  <c r="J393" i="1"/>
  <c r="J391" i="1"/>
  <c r="J389" i="1"/>
  <c r="J387" i="1"/>
  <c r="J385" i="1"/>
  <c r="J383" i="1"/>
  <c r="J381" i="1"/>
  <c r="J379" i="1"/>
  <c r="J377" i="1"/>
  <c r="J358" i="1"/>
  <c r="J357" i="1" s="1"/>
  <c r="J347" i="1"/>
  <c r="J346" i="1" s="1"/>
  <c r="J345" i="1" s="1"/>
  <c r="J339" i="1"/>
  <c r="J338" i="1" s="1"/>
  <c r="J336" i="1"/>
  <c r="J335" i="1" s="1"/>
  <c r="J329" i="1"/>
  <c r="J326" i="1" s="1"/>
  <c r="J325" i="1" s="1"/>
  <c r="J303" i="1"/>
  <c r="J297" i="1"/>
  <c r="J292" i="1"/>
  <c r="J291" i="1" s="1"/>
  <c r="J286" i="1"/>
  <c r="J285" i="1" s="1"/>
  <c r="J281" i="1"/>
  <c r="J280" i="1" s="1"/>
  <c r="J279" i="1" s="1"/>
  <c r="J266" i="1"/>
  <c r="J265" i="1" s="1"/>
  <c r="J261" i="1"/>
  <c r="J259" i="1"/>
  <c r="J251" i="1"/>
  <c r="J250" i="1" s="1"/>
  <c r="J249" i="1" s="1"/>
  <c r="J247" i="1"/>
  <c r="J234" i="1"/>
  <c r="J231" i="1"/>
  <c r="J227" i="1"/>
  <c r="J220" i="1" s="1"/>
  <c r="J218" i="1"/>
  <c r="J217" i="1" s="1"/>
  <c r="J215" i="1"/>
  <c r="J214" i="1" s="1"/>
  <c r="J201" i="1"/>
  <c r="J194" i="1" s="1"/>
  <c r="J183" i="1"/>
  <c r="J179" i="1" s="1"/>
  <c r="J175" i="1"/>
  <c r="J173" i="1"/>
  <c r="J165" i="1"/>
  <c r="J158" i="1" s="1"/>
  <c r="J153" i="1"/>
  <c r="J145" i="1"/>
  <c r="J144" i="1" s="1"/>
  <c r="J143" i="1" s="1"/>
  <c r="J137" i="1"/>
  <c r="J120" i="1"/>
  <c r="J116" i="1" s="1"/>
  <c r="J112" i="1"/>
  <c r="J111" i="1" s="1"/>
  <c r="J104" i="1"/>
  <c r="J103" i="1" s="1"/>
  <c r="J101" i="1"/>
  <c r="J60" i="1" s="1"/>
  <c r="J53" i="1"/>
  <c r="J52" i="1" s="1"/>
  <c r="J46" i="1"/>
  <c r="J45" i="1" s="1"/>
  <c r="J35" i="1"/>
  <c r="J28" i="1" s="1"/>
  <c r="J27" i="1" s="1"/>
  <c r="J21" i="1"/>
  <c r="J17" i="1" s="1"/>
  <c r="J16" i="1" s="1"/>
  <c r="O945" i="1" l="1"/>
  <c r="Q945" i="1" s="1"/>
  <c r="S945" i="1" s="1"/>
  <c r="U945" i="1" s="1"/>
  <c r="W945" i="1" s="1"/>
  <c r="Y945" i="1" s="1"/>
  <c r="AA945" i="1" s="1"/>
  <c r="J296" i="1"/>
  <c r="J290" i="1" s="1"/>
  <c r="J289" i="1" s="1"/>
  <c r="J827" i="1"/>
  <c r="J1204" i="1"/>
  <c r="J1203" i="1" s="1"/>
  <c r="J903" i="1"/>
  <c r="J1218" i="1"/>
  <c r="J178" i="1"/>
  <c r="J1500" i="1"/>
  <c r="J1167" i="1"/>
  <c r="J1166" i="1" s="1"/>
  <c r="J1587" i="1"/>
  <c r="J1373" i="1"/>
  <c r="J1347" i="1"/>
  <c r="J1346" i="1" s="1"/>
  <c r="J1776" i="1"/>
  <c r="J846" i="1"/>
  <c r="J1195" i="1"/>
  <c r="J1194" i="1" s="1"/>
  <c r="J1193" i="1" s="1"/>
  <c r="J230" i="1"/>
  <c r="J213" i="1" s="1"/>
  <c r="J212" i="1" s="1"/>
  <c r="J960" i="1"/>
  <c r="J982" i="1"/>
  <c r="J981" i="1" s="1"/>
  <c r="J1119" i="1"/>
  <c r="J1270" i="1"/>
  <c r="J1269" i="1" s="1"/>
  <c r="J1737" i="1"/>
  <c r="J1736" i="1" s="1"/>
  <c r="J1147" i="1"/>
  <c r="J1225" i="1"/>
  <c r="J1540" i="1"/>
  <c r="J1830" i="1"/>
  <c r="J928" i="1"/>
  <c r="J998" i="1"/>
  <c r="J997" i="1" s="1"/>
  <c r="J992" i="1" s="1"/>
  <c r="J1745" i="1"/>
  <c r="J258" i="1"/>
  <c r="J253" i="1" s="1"/>
  <c r="J1406" i="1"/>
  <c r="J1405" i="1" s="1"/>
  <c r="J1522" i="1"/>
  <c r="J1574" i="1"/>
  <c r="J1612" i="1"/>
  <c r="J172" i="1"/>
  <c r="J155" i="1" s="1"/>
  <c r="J1483" i="1"/>
  <c r="J1421" i="1"/>
  <c r="J1420" i="1" s="1"/>
  <c r="J150" i="1"/>
  <c r="J149" i="1" s="1"/>
  <c r="J148" i="1" s="1"/>
  <c r="J1335" i="1"/>
  <c r="J954" i="1"/>
  <c r="J110" i="1"/>
  <c r="J356" i="1"/>
  <c r="J799" i="1"/>
  <c r="J142" i="1"/>
  <c r="J344" i="1"/>
  <c r="J115" i="1"/>
  <c r="J264" i="1"/>
  <c r="J278" i="1"/>
  <c r="J284" i="1"/>
  <c r="J44" i="1"/>
  <c r="J51" i="1"/>
  <c r="J130" i="1"/>
  <c r="J334" i="1"/>
  <c r="J779" i="1"/>
  <c r="J1291" i="1"/>
  <c r="J1416" i="1"/>
  <c r="J977" i="1"/>
  <c r="J872" i="1"/>
  <c r="J1213" i="1"/>
  <c r="J966" i="1"/>
  <c r="J817" i="1"/>
  <c r="J877" i="1"/>
  <c r="J888" i="1"/>
  <c r="J1140" i="1"/>
  <c r="J1183" i="1"/>
  <c r="J1255" i="1"/>
  <c r="J1252" i="1" s="1"/>
  <c r="J1251" i="1" s="1"/>
  <c r="J1299" i="1"/>
  <c r="J1366" i="1"/>
  <c r="J1553" i="1"/>
  <c r="J1558" i="1"/>
  <c r="J1567" i="1"/>
  <c r="J1682" i="1"/>
  <c r="J1688" i="1"/>
  <c r="J1695" i="1"/>
  <c r="J1730" i="1"/>
  <c r="J1812" i="1"/>
  <c r="J1305" i="1"/>
  <c r="J1469" i="1"/>
  <c r="J1655" i="1"/>
  <c r="J1446" i="1"/>
  <c r="J1679" i="1"/>
  <c r="J1675" i="1" s="1"/>
  <c r="J1704" i="1"/>
  <c r="J1720" i="1"/>
  <c r="J1727" i="1"/>
  <c r="J1755" i="1"/>
  <c r="J1761" i="1"/>
  <c r="J1819" i="1"/>
  <c r="J1824" i="1"/>
  <c r="J1458" i="1"/>
  <c r="J1770" i="1"/>
  <c r="J1795" i="1"/>
  <c r="J1802" i="1"/>
  <c r="J1864" i="1"/>
  <c r="J1217" i="1" l="1"/>
  <c r="J1202" i="1" s="1"/>
  <c r="J1499" i="1"/>
  <c r="J1298" i="1"/>
  <c r="J826" i="1"/>
  <c r="J825" i="1" s="1"/>
  <c r="J273" i="1"/>
  <c r="J1404" i="1"/>
  <c r="J1403" i="1" s="1"/>
  <c r="J927" i="1"/>
  <c r="J370" i="1"/>
  <c r="J369" i="1" s="1"/>
  <c r="J1372" i="1"/>
  <c r="J1694" i="1"/>
  <c r="J1557" i="1"/>
  <c r="J1165" i="1"/>
  <c r="J876" i="1"/>
  <c r="J778" i="1"/>
  <c r="J263" i="1"/>
  <c r="J1794" i="1"/>
  <c r="J1823" i="1"/>
  <c r="J1445" i="1"/>
  <c r="J1723" i="1"/>
  <c r="J1573" i="1"/>
  <c r="J1192" i="1"/>
  <c r="J59" i="1"/>
  <c r="J343" i="1"/>
  <c r="J147" i="1"/>
  <c r="J1829" i="1"/>
  <c r="J1700" i="1"/>
  <c r="J1687" i="1"/>
  <c r="J1118" i="1"/>
  <c r="J288" i="1"/>
  <c r="J1863" i="1"/>
  <c r="J1801" i="1"/>
  <c r="J1769" i="1"/>
  <c r="J1457" i="1"/>
  <c r="J1818" i="1"/>
  <c r="J1754" i="1"/>
  <c r="J1719" i="1"/>
  <c r="J1654" i="1"/>
  <c r="J1468" i="1"/>
  <c r="J1735" i="1"/>
  <c r="J1563" i="1"/>
  <c r="J1365" i="1"/>
  <c r="J1182" i="1"/>
  <c r="J887" i="1"/>
  <c r="J816" i="1"/>
  <c r="J976" i="1"/>
  <c r="J43" i="1"/>
  <c r="J114" i="1"/>
  <c r="J324" i="1"/>
  <c r="H339" i="1"/>
  <c r="I341" i="1"/>
  <c r="K341" i="1" s="1"/>
  <c r="M341" i="1" l="1"/>
  <c r="J798" i="1"/>
  <c r="J926" i="1"/>
  <c r="J311" i="1"/>
  <c r="J1181" i="1"/>
  <c r="J1180" i="1" s="1"/>
  <c r="J1753" i="1"/>
  <c r="J1800" i="1"/>
  <c r="J1699" i="1"/>
  <c r="J1653" i="1" s="1"/>
  <c r="J773" i="1"/>
  <c r="J1817" i="1"/>
  <c r="J1862" i="1"/>
  <c r="J1117" i="1"/>
  <c r="J1572" i="1"/>
  <c r="J1467" i="1"/>
  <c r="J1828" i="1"/>
  <c r="J58" i="1"/>
  <c r="J1191" i="1"/>
  <c r="J886" i="1"/>
  <c r="J1734" i="1"/>
  <c r="J1449" i="1"/>
  <c r="J1760" i="1"/>
  <c r="J1759" i="1" s="1"/>
  <c r="J1444" i="1"/>
  <c r="J1437" i="1" s="1"/>
  <c r="J1369" i="1"/>
  <c r="J1268" i="1" s="1"/>
  <c r="J1267" i="1" s="1"/>
  <c r="I1368" i="1"/>
  <c r="K1368" i="1" s="1"/>
  <c r="H1367" i="1"/>
  <c r="H1366" i="1" s="1"/>
  <c r="H1365" i="1" s="1"/>
  <c r="I1365" i="1" s="1"/>
  <c r="K1365" i="1" s="1"/>
  <c r="M1365" i="1" s="1"/>
  <c r="O1365" i="1" s="1"/>
  <c r="Q1365" i="1" s="1"/>
  <c r="S1365" i="1" s="1"/>
  <c r="U1365" i="1" s="1"/>
  <c r="W1365" i="1" s="1"/>
  <c r="Y1365" i="1" s="1"/>
  <c r="O341" i="1" l="1"/>
  <c r="Q341" i="1" s="1"/>
  <c r="S341" i="1" s="1"/>
  <c r="U341" i="1" s="1"/>
  <c r="W341" i="1" s="1"/>
  <c r="Y341" i="1" s="1"/>
  <c r="AA341" i="1" s="1"/>
  <c r="M1368" i="1"/>
  <c r="J915" i="1"/>
  <c r="J272" i="1"/>
  <c r="J38" i="1"/>
  <c r="J15" i="1" s="1"/>
  <c r="J885" i="1"/>
  <c r="J368" i="1"/>
  <c r="J364" i="1" s="1"/>
  <c r="J1827" i="1"/>
  <c r="J1571" i="1"/>
  <c r="J1799" i="1"/>
  <c r="J975" i="1"/>
  <c r="J1466" i="1"/>
  <c r="J1201" i="1"/>
  <c r="I1366" i="1"/>
  <c r="K1366" i="1" s="1"/>
  <c r="M1366" i="1" s="1"/>
  <c r="O1366" i="1" s="1"/>
  <c r="Q1366" i="1" s="1"/>
  <c r="S1366" i="1" s="1"/>
  <c r="U1366" i="1" s="1"/>
  <c r="W1366" i="1" s="1"/>
  <c r="Y1366" i="1" s="1"/>
  <c r="I1367" i="1"/>
  <c r="K1367" i="1" s="1"/>
  <c r="M1367" i="1" s="1"/>
  <c r="O1367" i="1" s="1"/>
  <c r="Q1367" i="1" s="1"/>
  <c r="S1367" i="1" s="1"/>
  <c r="U1367" i="1" s="1"/>
  <c r="W1367" i="1" s="1"/>
  <c r="Y1367" i="1" s="1"/>
  <c r="I1377" i="1"/>
  <c r="K1377" i="1" s="1"/>
  <c r="I1379" i="1"/>
  <c r="K1379" i="1" s="1"/>
  <c r="I1381" i="1"/>
  <c r="K1381" i="1" s="1"/>
  <c r="I1383" i="1"/>
  <c r="K1383" i="1" s="1"/>
  <c r="I1385" i="1"/>
  <c r="K1385" i="1" s="1"/>
  <c r="I1387" i="1"/>
  <c r="K1387" i="1" s="1"/>
  <c r="H1386" i="1"/>
  <c r="I1386" i="1" s="1"/>
  <c r="K1386" i="1" s="1"/>
  <c r="M1386" i="1" s="1"/>
  <c r="O1386" i="1" s="1"/>
  <c r="Q1386" i="1" s="1"/>
  <c r="S1386" i="1" s="1"/>
  <c r="U1386" i="1" s="1"/>
  <c r="W1386" i="1" s="1"/>
  <c r="Y1386" i="1" s="1"/>
  <c r="H1384" i="1"/>
  <c r="I1384" i="1" s="1"/>
  <c r="K1384" i="1" s="1"/>
  <c r="M1384" i="1" s="1"/>
  <c r="O1384" i="1" s="1"/>
  <c r="Q1384" i="1" s="1"/>
  <c r="S1384" i="1" s="1"/>
  <c r="U1384" i="1" s="1"/>
  <c r="W1384" i="1" s="1"/>
  <c r="Y1384" i="1" s="1"/>
  <c r="H1382" i="1"/>
  <c r="I1382" i="1" s="1"/>
  <c r="K1382" i="1" s="1"/>
  <c r="M1382" i="1" s="1"/>
  <c r="O1382" i="1" s="1"/>
  <c r="Q1382" i="1" s="1"/>
  <c r="S1382" i="1" s="1"/>
  <c r="U1382" i="1" s="1"/>
  <c r="W1382" i="1" s="1"/>
  <c r="Y1382" i="1" s="1"/>
  <c r="H1380" i="1"/>
  <c r="I1380" i="1" s="1"/>
  <c r="K1380" i="1" s="1"/>
  <c r="M1380" i="1" s="1"/>
  <c r="O1380" i="1" s="1"/>
  <c r="Q1380" i="1" s="1"/>
  <c r="S1380" i="1" s="1"/>
  <c r="U1380" i="1" s="1"/>
  <c r="W1380" i="1" s="1"/>
  <c r="Y1380" i="1" s="1"/>
  <c r="H1378" i="1"/>
  <c r="I1378" i="1" s="1"/>
  <c r="K1378" i="1" s="1"/>
  <c r="M1378" i="1" s="1"/>
  <c r="O1378" i="1" s="1"/>
  <c r="Q1378" i="1" s="1"/>
  <c r="S1378" i="1" s="1"/>
  <c r="U1378" i="1" s="1"/>
  <c r="W1378" i="1" s="1"/>
  <c r="Y1378" i="1" s="1"/>
  <c r="H1376" i="1"/>
  <c r="H1258" i="1"/>
  <c r="H1255" i="1" s="1"/>
  <c r="H1252" i="1" s="1"/>
  <c r="I1259" i="1"/>
  <c r="K1259" i="1" s="1"/>
  <c r="H176" i="1"/>
  <c r="H1001" i="1"/>
  <c r="I1002" i="1"/>
  <c r="K1002" i="1" s="1"/>
  <c r="I1004" i="1"/>
  <c r="K1004" i="1" s="1"/>
  <c r="I1006" i="1"/>
  <c r="K1006" i="1" s="1"/>
  <c r="I1008" i="1"/>
  <c r="K1008" i="1" s="1"/>
  <c r="I1010" i="1"/>
  <c r="K1010" i="1" s="1"/>
  <c r="I1012" i="1"/>
  <c r="K1012" i="1" s="1"/>
  <c r="I1014" i="1"/>
  <c r="K1014" i="1" s="1"/>
  <c r="I1016" i="1"/>
  <c r="K1016" i="1" s="1"/>
  <c r="I1018" i="1"/>
  <c r="K1018" i="1" s="1"/>
  <c r="I1020" i="1"/>
  <c r="K1020" i="1" s="1"/>
  <c r="I1022" i="1"/>
  <c r="K1022" i="1" s="1"/>
  <c r="I1024" i="1"/>
  <c r="K1024" i="1" s="1"/>
  <c r="I1026" i="1"/>
  <c r="K1026" i="1" s="1"/>
  <c r="I1028" i="1"/>
  <c r="K1028" i="1" s="1"/>
  <c r="I1030" i="1"/>
  <c r="K1030" i="1" s="1"/>
  <c r="I1032" i="1"/>
  <c r="K1032" i="1" s="1"/>
  <c r="I1034" i="1"/>
  <c r="K1034" i="1" s="1"/>
  <c r="I1036" i="1"/>
  <c r="K1036" i="1" s="1"/>
  <c r="H1003" i="1"/>
  <c r="I1003" i="1" s="1"/>
  <c r="K1003" i="1" s="1"/>
  <c r="M1003" i="1" s="1"/>
  <c r="O1003" i="1" s="1"/>
  <c r="Q1003" i="1" s="1"/>
  <c r="S1003" i="1" s="1"/>
  <c r="U1003" i="1" s="1"/>
  <c r="W1003" i="1" s="1"/>
  <c r="Y1003" i="1" s="1"/>
  <c r="H1005" i="1"/>
  <c r="I1005" i="1" s="1"/>
  <c r="K1005" i="1" s="1"/>
  <c r="M1005" i="1" s="1"/>
  <c r="O1005" i="1" s="1"/>
  <c r="Q1005" i="1" s="1"/>
  <c r="S1005" i="1" s="1"/>
  <c r="U1005" i="1" s="1"/>
  <c r="W1005" i="1" s="1"/>
  <c r="Y1005" i="1" s="1"/>
  <c r="H1007" i="1"/>
  <c r="I1007" i="1" s="1"/>
  <c r="K1007" i="1" s="1"/>
  <c r="M1007" i="1" s="1"/>
  <c r="O1007" i="1" s="1"/>
  <c r="Q1007" i="1" s="1"/>
  <c r="S1007" i="1" s="1"/>
  <c r="U1007" i="1" s="1"/>
  <c r="W1007" i="1" s="1"/>
  <c r="Y1007" i="1" s="1"/>
  <c r="H1009" i="1"/>
  <c r="I1009" i="1" s="1"/>
  <c r="K1009" i="1" s="1"/>
  <c r="M1009" i="1" s="1"/>
  <c r="O1009" i="1" s="1"/>
  <c r="Q1009" i="1" s="1"/>
  <c r="S1009" i="1" s="1"/>
  <c r="U1009" i="1" s="1"/>
  <c r="W1009" i="1" s="1"/>
  <c r="Y1009" i="1" s="1"/>
  <c r="H1011" i="1"/>
  <c r="I1011" i="1" s="1"/>
  <c r="K1011" i="1" s="1"/>
  <c r="M1011" i="1" s="1"/>
  <c r="O1011" i="1" s="1"/>
  <c r="Q1011" i="1" s="1"/>
  <c r="S1011" i="1" s="1"/>
  <c r="U1011" i="1" s="1"/>
  <c r="W1011" i="1" s="1"/>
  <c r="Y1011" i="1" s="1"/>
  <c r="H1013" i="1"/>
  <c r="I1013" i="1" s="1"/>
  <c r="K1013" i="1" s="1"/>
  <c r="M1013" i="1" s="1"/>
  <c r="O1013" i="1" s="1"/>
  <c r="Q1013" i="1" s="1"/>
  <c r="S1013" i="1" s="1"/>
  <c r="U1013" i="1" s="1"/>
  <c r="W1013" i="1" s="1"/>
  <c r="Y1013" i="1" s="1"/>
  <c r="H1015" i="1"/>
  <c r="I1015" i="1" s="1"/>
  <c r="K1015" i="1" s="1"/>
  <c r="M1015" i="1" s="1"/>
  <c r="O1015" i="1" s="1"/>
  <c r="Q1015" i="1" s="1"/>
  <c r="S1015" i="1" s="1"/>
  <c r="U1015" i="1" s="1"/>
  <c r="W1015" i="1" s="1"/>
  <c r="Y1015" i="1" s="1"/>
  <c r="H1017" i="1"/>
  <c r="I1017" i="1" s="1"/>
  <c r="K1017" i="1" s="1"/>
  <c r="M1017" i="1" s="1"/>
  <c r="O1017" i="1" s="1"/>
  <c r="Q1017" i="1" s="1"/>
  <c r="S1017" i="1" s="1"/>
  <c r="U1017" i="1" s="1"/>
  <c r="W1017" i="1" s="1"/>
  <c r="Y1017" i="1" s="1"/>
  <c r="H1019" i="1"/>
  <c r="I1019" i="1" s="1"/>
  <c r="K1019" i="1" s="1"/>
  <c r="M1019" i="1" s="1"/>
  <c r="O1019" i="1" s="1"/>
  <c r="Q1019" i="1" s="1"/>
  <c r="S1019" i="1" s="1"/>
  <c r="U1019" i="1" s="1"/>
  <c r="W1019" i="1" s="1"/>
  <c r="Y1019" i="1" s="1"/>
  <c r="H1021" i="1"/>
  <c r="I1021" i="1" s="1"/>
  <c r="K1021" i="1" s="1"/>
  <c r="M1021" i="1" s="1"/>
  <c r="O1021" i="1" s="1"/>
  <c r="Q1021" i="1" s="1"/>
  <c r="S1021" i="1" s="1"/>
  <c r="U1021" i="1" s="1"/>
  <c r="W1021" i="1" s="1"/>
  <c r="Y1021" i="1" s="1"/>
  <c r="H1023" i="1"/>
  <c r="I1023" i="1" s="1"/>
  <c r="K1023" i="1" s="1"/>
  <c r="M1023" i="1" s="1"/>
  <c r="O1023" i="1" s="1"/>
  <c r="Q1023" i="1" s="1"/>
  <c r="S1023" i="1" s="1"/>
  <c r="U1023" i="1" s="1"/>
  <c r="W1023" i="1" s="1"/>
  <c r="Y1023" i="1" s="1"/>
  <c r="H1025" i="1"/>
  <c r="I1025" i="1" s="1"/>
  <c r="K1025" i="1" s="1"/>
  <c r="M1025" i="1" s="1"/>
  <c r="O1025" i="1" s="1"/>
  <c r="Q1025" i="1" s="1"/>
  <c r="S1025" i="1" s="1"/>
  <c r="U1025" i="1" s="1"/>
  <c r="W1025" i="1" s="1"/>
  <c r="Y1025" i="1" s="1"/>
  <c r="H1027" i="1"/>
  <c r="I1027" i="1" s="1"/>
  <c r="K1027" i="1" s="1"/>
  <c r="M1027" i="1" s="1"/>
  <c r="O1027" i="1" s="1"/>
  <c r="Q1027" i="1" s="1"/>
  <c r="S1027" i="1" s="1"/>
  <c r="U1027" i="1" s="1"/>
  <c r="W1027" i="1" s="1"/>
  <c r="Y1027" i="1" s="1"/>
  <c r="H1029" i="1"/>
  <c r="I1029" i="1" s="1"/>
  <c r="K1029" i="1" s="1"/>
  <c r="M1029" i="1" s="1"/>
  <c r="O1029" i="1" s="1"/>
  <c r="Q1029" i="1" s="1"/>
  <c r="S1029" i="1" s="1"/>
  <c r="U1029" i="1" s="1"/>
  <c r="W1029" i="1" s="1"/>
  <c r="Y1029" i="1" s="1"/>
  <c r="H1031" i="1"/>
  <c r="I1031" i="1" s="1"/>
  <c r="K1031" i="1" s="1"/>
  <c r="M1031" i="1" s="1"/>
  <c r="O1031" i="1" s="1"/>
  <c r="Q1031" i="1" s="1"/>
  <c r="S1031" i="1" s="1"/>
  <c r="U1031" i="1" s="1"/>
  <c r="W1031" i="1" s="1"/>
  <c r="Y1031" i="1" s="1"/>
  <c r="H1033" i="1"/>
  <c r="I1033" i="1" s="1"/>
  <c r="K1033" i="1" s="1"/>
  <c r="M1033" i="1" s="1"/>
  <c r="O1033" i="1" s="1"/>
  <c r="Q1033" i="1" s="1"/>
  <c r="S1033" i="1" s="1"/>
  <c r="U1033" i="1" s="1"/>
  <c r="W1033" i="1" s="1"/>
  <c r="Y1033" i="1" s="1"/>
  <c r="H1035" i="1"/>
  <c r="I1035" i="1" s="1"/>
  <c r="K1035" i="1" s="1"/>
  <c r="M1035" i="1" s="1"/>
  <c r="O1035" i="1" s="1"/>
  <c r="Q1035" i="1" s="1"/>
  <c r="S1035" i="1" s="1"/>
  <c r="U1035" i="1" s="1"/>
  <c r="W1035" i="1" s="1"/>
  <c r="Y1035" i="1" s="1"/>
  <c r="I404" i="1"/>
  <c r="K404" i="1" s="1"/>
  <c r="I406" i="1"/>
  <c r="K406" i="1" s="1"/>
  <c r="I408" i="1"/>
  <c r="K408" i="1" s="1"/>
  <c r="I410" i="1"/>
  <c r="K410" i="1" s="1"/>
  <c r="I412" i="1"/>
  <c r="K412" i="1" s="1"/>
  <c r="I414" i="1"/>
  <c r="K414" i="1" s="1"/>
  <c r="I388" i="1"/>
  <c r="K388" i="1" s="1"/>
  <c r="I390" i="1"/>
  <c r="K390" i="1" s="1"/>
  <c r="I392" i="1"/>
  <c r="K392" i="1" s="1"/>
  <c r="I394" i="1"/>
  <c r="K394" i="1" s="1"/>
  <c r="I396" i="1"/>
  <c r="K396" i="1" s="1"/>
  <c r="I398" i="1"/>
  <c r="K398" i="1" s="1"/>
  <c r="I400" i="1"/>
  <c r="K400" i="1" s="1"/>
  <c r="I402" i="1"/>
  <c r="K402" i="1" s="1"/>
  <c r="I378" i="1"/>
  <c r="K378" i="1" s="1"/>
  <c r="I380" i="1"/>
  <c r="K380" i="1" s="1"/>
  <c r="I382" i="1"/>
  <c r="K382" i="1" s="1"/>
  <c r="I384" i="1"/>
  <c r="K384" i="1" s="1"/>
  <c r="I386" i="1"/>
  <c r="K386" i="1" s="1"/>
  <c r="H413" i="1"/>
  <c r="I413" i="1" s="1"/>
  <c r="K413" i="1" s="1"/>
  <c r="M413" i="1" s="1"/>
  <c r="O413" i="1" s="1"/>
  <c r="Q413" i="1" s="1"/>
  <c r="S413" i="1" s="1"/>
  <c r="U413" i="1" s="1"/>
  <c r="W413" i="1" s="1"/>
  <c r="Y413" i="1" s="1"/>
  <c r="H411" i="1"/>
  <c r="I411" i="1" s="1"/>
  <c r="K411" i="1" s="1"/>
  <c r="M411" i="1" s="1"/>
  <c r="O411" i="1" s="1"/>
  <c r="Q411" i="1" s="1"/>
  <c r="S411" i="1" s="1"/>
  <c r="U411" i="1" s="1"/>
  <c r="W411" i="1" s="1"/>
  <c r="Y411" i="1" s="1"/>
  <c r="H409" i="1"/>
  <c r="I409" i="1" s="1"/>
  <c r="K409" i="1" s="1"/>
  <c r="M409" i="1" s="1"/>
  <c r="O409" i="1" s="1"/>
  <c r="Q409" i="1" s="1"/>
  <c r="S409" i="1" s="1"/>
  <c r="U409" i="1" s="1"/>
  <c r="W409" i="1" s="1"/>
  <c r="Y409" i="1" s="1"/>
  <c r="H407" i="1"/>
  <c r="I407" i="1" s="1"/>
  <c r="K407" i="1" s="1"/>
  <c r="M407" i="1" s="1"/>
  <c r="O407" i="1" s="1"/>
  <c r="Q407" i="1" s="1"/>
  <c r="S407" i="1" s="1"/>
  <c r="U407" i="1" s="1"/>
  <c r="W407" i="1" s="1"/>
  <c r="Y407" i="1" s="1"/>
  <c r="H405" i="1"/>
  <c r="I405" i="1" s="1"/>
  <c r="K405" i="1" s="1"/>
  <c r="M405" i="1" s="1"/>
  <c r="O405" i="1" s="1"/>
  <c r="Q405" i="1" s="1"/>
  <c r="S405" i="1" s="1"/>
  <c r="U405" i="1" s="1"/>
  <c r="W405" i="1" s="1"/>
  <c r="Y405" i="1" s="1"/>
  <c r="H403" i="1"/>
  <c r="I403" i="1" s="1"/>
  <c r="K403" i="1" s="1"/>
  <c r="M403" i="1" s="1"/>
  <c r="O403" i="1" s="1"/>
  <c r="Q403" i="1" s="1"/>
  <c r="S403" i="1" s="1"/>
  <c r="U403" i="1" s="1"/>
  <c r="W403" i="1" s="1"/>
  <c r="Y403" i="1" s="1"/>
  <c r="H401" i="1"/>
  <c r="I401" i="1" s="1"/>
  <c r="K401" i="1" s="1"/>
  <c r="M401" i="1" s="1"/>
  <c r="O401" i="1" s="1"/>
  <c r="Q401" i="1" s="1"/>
  <c r="S401" i="1" s="1"/>
  <c r="U401" i="1" s="1"/>
  <c r="W401" i="1" s="1"/>
  <c r="Y401" i="1" s="1"/>
  <c r="H399" i="1"/>
  <c r="I399" i="1" s="1"/>
  <c r="K399" i="1" s="1"/>
  <c r="M399" i="1" s="1"/>
  <c r="O399" i="1" s="1"/>
  <c r="Q399" i="1" s="1"/>
  <c r="S399" i="1" s="1"/>
  <c r="U399" i="1" s="1"/>
  <c r="W399" i="1" s="1"/>
  <c r="Y399" i="1" s="1"/>
  <c r="H397" i="1"/>
  <c r="I397" i="1" s="1"/>
  <c r="K397" i="1" s="1"/>
  <c r="M397" i="1" s="1"/>
  <c r="O397" i="1" s="1"/>
  <c r="Q397" i="1" s="1"/>
  <c r="S397" i="1" s="1"/>
  <c r="U397" i="1" s="1"/>
  <c r="W397" i="1" s="1"/>
  <c r="Y397" i="1" s="1"/>
  <c r="H395" i="1"/>
  <c r="I395" i="1" s="1"/>
  <c r="K395" i="1" s="1"/>
  <c r="M395" i="1" s="1"/>
  <c r="O395" i="1" s="1"/>
  <c r="Q395" i="1" s="1"/>
  <c r="S395" i="1" s="1"/>
  <c r="U395" i="1" s="1"/>
  <c r="W395" i="1" s="1"/>
  <c r="Y395" i="1" s="1"/>
  <c r="H393" i="1"/>
  <c r="I393" i="1" s="1"/>
  <c r="K393" i="1" s="1"/>
  <c r="M393" i="1" s="1"/>
  <c r="O393" i="1" s="1"/>
  <c r="Q393" i="1" s="1"/>
  <c r="S393" i="1" s="1"/>
  <c r="U393" i="1" s="1"/>
  <c r="W393" i="1" s="1"/>
  <c r="Y393" i="1" s="1"/>
  <c r="H391" i="1"/>
  <c r="I391" i="1" s="1"/>
  <c r="K391" i="1" s="1"/>
  <c r="M391" i="1" s="1"/>
  <c r="O391" i="1" s="1"/>
  <c r="Q391" i="1" s="1"/>
  <c r="S391" i="1" s="1"/>
  <c r="U391" i="1" s="1"/>
  <c r="W391" i="1" s="1"/>
  <c r="Y391" i="1" s="1"/>
  <c r="H389" i="1"/>
  <c r="I389" i="1" s="1"/>
  <c r="K389" i="1" s="1"/>
  <c r="M389" i="1" s="1"/>
  <c r="O389" i="1" s="1"/>
  <c r="Q389" i="1" s="1"/>
  <c r="S389" i="1" s="1"/>
  <c r="U389" i="1" s="1"/>
  <c r="W389" i="1" s="1"/>
  <c r="Y389" i="1" s="1"/>
  <c r="H387" i="1"/>
  <c r="I387" i="1" s="1"/>
  <c r="K387" i="1" s="1"/>
  <c r="M387" i="1" s="1"/>
  <c r="O387" i="1" s="1"/>
  <c r="Q387" i="1" s="1"/>
  <c r="S387" i="1" s="1"/>
  <c r="U387" i="1" s="1"/>
  <c r="W387" i="1" s="1"/>
  <c r="Y387" i="1" s="1"/>
  <c r="H385" i="1"/>
  <c r="I385" i="1" s="1"/>
  <c r="K385" i="1" s="1"/>
  <c r="M385" i="1" s="1"/>
  <c r="O385" i="1" s="1"/>
  <c r="Q385" i="1" s="1"/>
  <c r="S385" i="1" s="1"/>
  <c r="U385" i="1" s="1"/>
  <c r="W385" i="1" s="1"/>
  <c r="Y385" i="1" s="1"/>
  <c r="H383" i="1"/>
  <c r="I383" i="1" s="1"/>
  <c r="K383" i="1" s="1"/>
  <c r="M383" i="1" s="1"/>
  <c r="O383" i="1" s="1"/>
  <c r="Q383" i="1" s="1"/>
  <c r="S383" i="1" s="1"/>
  <c r="U383" i="1" s="1"/>
  <c r="W383" i="1" s="1"/>
  <c r="Y383" i="1" s="1"/>
  <c r="H381" i="1"/>
  <c r="I381" i="1" s="1"/>
  <c r="K381" i="1" s="1"/>
  <c r="M381" i="1" s="1"/>
  <c r="O381" i="1" s="1"/>
  <c r="Q381" i="1" s="1"/>
  <c r="S381" i="1" s="1"/>
  <c r="U381" i="1" s="1"/>
  <c r="W381" i="1" s="1"/>
  <c r="Y381" i="1" s="1"/>
  <c r="H379" i="1"/>
  <c r="I379" i="1" s="1"/>
  <c r="K379" i="1" s="1"/>
  <c r="M379" i="1" s="1"/>
  <c r="O379" i="1" s="1"/>
  <c r="Q379" i="1" s="1"/>
  <c r="S379" i="1" s="1"/>
  <c r="U379" i="1" s="1"/>
  <c r="W379" i="1" s="1"/>
  <c r="Y379" i="1" s="1"/>
  <c r="H377" i="1"/>
  <c r="O1368" i="1" l="1"/>
  <c r="Q1368" i="1" s="1"/>
  <c r="S1368" i="1" s="1"/>
  <c r="U1368" i="1" s="1"/>
  <c r="W1368" i="1" s="1"/>
  <c r="Y1368" i="1" s="1"/>
  <c r="AA1368" i="1" s="1"/>
  <c r="M402" i="1"/>
  <c r="M1018" i="1"/>
  <c r="M1377" i="1"/>
  <c r="M382" i="1"/>
  <c r="M400" i="1"/>
  <c r="M392" i="1"/>
  <c r="M412" i="1"/>
  <c r="M404" i="1"/>
  <c r="M1032" i="1"/>
  <c r="M1024" i="1"/>
  <c r="M1016" i="1"/>
  <c r="M1008" i="1"/>
  <c r="M1383" i="1"/>
  <c r="M394" i="1"/>
  <c r="M406" i="1"/>
  <c r="M1034" i="1"/>
  <c r="M1010" i="1"/>
  <c r="M380" i="1"/>
  <c r="M398" i="1"/>
  <c r="M390" i="1"/>
  <c r="M410" i="1"/>
  <c r="M1030" i="1"/>
  <c r="M1022" i="1"/>
  <c r="M1014" i="1"/>
  <c r="M1006" i="1"/>
  <c r="M1381" i="1"/>
  <c r="M384" i="1"/>
  <c r="M414" i="1"/>
  <c r="M1026" i="1"/>
  <c r="M1002" i="1"/>
  <c r="M1385" i="1"/>
  <c r="M386" i="1"/>
  <c r="M378" i="1"/>
  <c r="M396" i="1"/>
  <c r="M388" i="1"/>
  <c r="M408" i="1"/>
  <c r="M1036" i="1"/>
  <c r="M1028" i="1"/>
  <c r="M1020" i="1"/>
  <c r="M1012" i="1"/>
  <c r="M1004" i="1"/>
  <c r="M1259" i="1"/>
  <c r="M1387" i="1"/>
  <c r="M1379" i="1"/>
  <c r="I377" i="1"/>
  <c r="K377" i="1" s="1"/>
  <c r="M377" i="1" s="1"/>
  <c r="O377" i="1" s="1"/>
  <c r="Q377" i="1" s="1"/>
  <c r="S377" i="1" s="1"/>
  <c r="U377" i="1" s="1"/>
  <c r="W377" i="1" s="1"/>
  <c r="Y377" i="1" s="1"/>
  <c r="H376" i="1"/>
  <c r="H1251" i="1"/>
  <c r="I1251" i="1" s="1"/>
  <c r="K1251" i="1" s="1"/>
  <c r="M1251" i="1" s="1"/>
  <c r="O1251" i="1" s="1"/>
  <c r="Q1251" i="1" s="1"/>
  <c r="S1251" i="1" s="1"/>
  <c r="U1251" i="1" s="1"/>
  <c r="W1251" i="1" s="1"/>
  <c r="Y1251" i="1" s="1"/>
  <c r="I1252" i="1"/>
  <c r="K1252" i="1" s="1"/>
  <c r="M1252" i="1" s="1"/>
  <c r="O1252" i="1" s="1"/>
  <c r="Q1252" i="1" s="1"/>
  <c r="S1252" i="1" s="1"/>
  <c r="U1252" i="1" s="1"/>
  <c r="W1252" i="1" s="1"/>
  <c r="Y1252" i="1" s="1"/>
  <c r="J1752" i="1"/>
  <c r="J342" i="1"/>
  <c r="J1200" i="1"/>
  <c r="J884" i="1"/>
  <c r="I1258" i="1"/>
  <c r="K1258" i="1" s="1"/>
  <c r="M1258" i="1" s="1"/>
  <c r="O1258" i="1" s="1"/>
  <c r="Q1258" i="1" s="1"/>
  <c r="S1258" i="1" s="1"/>
  <c r="U1258" i="1" s="1"/>
  <c r="W1258" i="1" s="1"/>
  <c r="Y1258" i="1" s="1"/>
  <c r="I1255" i="1"/>
  <c r="K1255" i="1" s="1"/>
  <c r="M1255" i="1" s="1"/>
  <c r="O1255" i="1" s="1"/>
  <c r="Q1255" i="1" s="1"/>
  <c r="S1255" i="1" s="1"/>
  <c r="U1255" i="1" s="1"/>
  <c r="W1255" i="1" s="1"/>
  <c r="Y1255" i="1" s="1"/>
  <c r="H998" i="1"/>
  <c r="H997" i="1" s="1"/>
  <c r="H992" i="1" s="1"/>
  <c r="I992" i="1" s="1"/>
  <c r="K992" i="1" s="1"/>
  <c r="M992" i="1" s="1"/>
  <c r="O992" i="1" s="1"/>
  <c r="Q992" i="1" s="1"/>
  <c r="S992" i="1" s="1"/>
  <c r="U992" i="1" s="1"/>
  <c r="W992" i="1" s="1"/>
  <c r="Y992" i="1" s="1"/>
  <c r="H1373" i="1"/>
  <c r="I1376" i="1"/>
  <c r="K1376" i="1" s="1"/>
  <c r="M1376" i="1" s="1"/>
  <c r="O1376" i="1" s="1"/>
  <c r="Q1376" i="1" s="1"/>
  <c r="S1376" i="1" s="1"/>
  <c r="U1376" i="1" s="1"/>
  <c r="W1376" i="1" s="1"/>
  <c r="Y1376" i="1" s="1"/>
  <c r="I1001" i="1"/>
  <c r="K1001" i="1" s="1"/>
  <c r="M1001" i="1" s="1"/>
  <c r="O1001" i="1" s="1"/>
  <c r="Q1001" i="1" s="1"/>
  <c r="S1001" i="1" s="1"/>
  <c r="U1001" i="1" s="1"/>
  <c r="W1001" i="1" s="1"/>
  <c r="Y1001" i="1" s="1"/>
  <c r="H1780" i="1"/>
  <c r="H1874" i="1" s="1"/>
  <c r="O1259" i="1" l="1"/>
  <c r="Q1259" i="1" s="1"/>
  <c r="S1259" i="1" s="1"/>
  <c r="U1259" i="1" s="1"/>
  <c r="W1259" i="1" s="1"/>
  <c r="Y1259" i="1" s="1"/>
  <c r="AA1259" i="1" s="1"/>
  <c r="O1028" i="1"/>
  <c r="Q1028" i="1" s="1"/>
  <c r="S1028" i="1" s="1"/>
  <c r="U1028" i="1" s="1"/>
  <c r="W1028" i="1" s="1"/>
  <c r="Y1028" i="1" s="1"/>
  <c r="AA1028" i="1" s="1"/>
  <c r="O396" i="1"/>
  <c r="Q396" i="1" s="1"/>
  <c r="S396" i="1" s="1"/>
  <c r="U396" i="1" s="1"/>
  <c r="W396" i="1" s="1"/>
  <c r="Y396" i="1" s="1"/>
  <c r="AA396" i="1" s="1"/>
  <c r="O1002" i="1"/>
  <c r="Q1002" i="1" s="1"/>
  <c r="S1002" i="1" s="1"/>
  <c r="U1002" i="1" s="1"/>
  <c r="W1002" i="1" s="1"/>
  <c r="Y1002" i="1" s="1"/>
  <c r="AA1002" i="1" s="1"/>
  <c r="O1381" i="1"/>
  <c r="Q1381" i="1" s="1"/>
  <c r="S1381" i="1" s="1"/>
  <c r="U1381" i="1" s="1"/>
  <c r="W1381" i="1" s="1"/>
  <c r="Y1381" i="1" s="1"/>
  <c r="AA1381" i="1" s="1"/>
  <c r="O1030" i="1"/>
  <c r="Q1030" i="1" s="1"/>
  <c r="S1030" i="1" s="1"/>
  <c r="U1030" i="1" s="1"/>
  <c r="W1030" i="1" s="1"/>
  <c r="Y1030" i="1" s="1"/>
  <c r="AA1030" i="1" s="1"/>
  <c r="O380" i="1"/>
  <c r="Q380" i="1" s="1"/>
  <c r="S380" i="1" s="1"/>
  <c r="U380" i="1" s="1"/>
  <c r="W380" i="1" s="1"/>
  <c r="Y380" i="1" s="1"/>
  <c r="AA380" i="1" s="1"/>
  <c r="O394" i="1"/>
  <c r="Q394" i="1" s="1"/>
  <c r="S394" i="1" s="1"/>
  <c r="U394" i="1" s="1"/>
  <c r="W394" i="1" s="1"/>
  <c r="Y394" i="1" s="1"/>
  <c r="AA394" i="1" s="1"/>
  <c r="O1024" i="1"/>
  <c r="Q1024" i="1" s="1"/>
  <c r="S1024" i="1" s="1"/>
  <c r="U1024" i="1" s="1"/>
  <c r="W1024" i="1" s="1"/>
  <c r="Y1024" i="1" s="1"/>
  <c r="AA1024" i="1" s="1"/>
  <c r="O392" i="1"/>
  <c r="Q392" i="1" s="1"/>
  <c r="S392" i="1" s="1"/>
  <c r="U392" i="1" s="1"/>
  <c r="W392" i="1" s="1"/>
  <c r="Y392" i="1" s="1"/>
  <c r="AA392" i="1" s="1"/>
  <c r="O1018" i="1"/>
  <c r="Q1018" i="1" s="1"/>
  <c r="S1018" i="1" s="1"/>
  <c r="U1018" i="1" s="1"/>
  <c r="W1018" i="1" s="1"/>
  <c r="Y1018" i="1" s="1"/>
  <c r="AA1018" i="1" s="1"/>
  <c r="O1004" i="1"/>
  <c r="Q1004" i="1" s="1"/>
  <c r="S1004" i="1" s="1"/>
  <c r="U1004" i="1" s="1"/>
  <c r="W1004" i="1" s="1"/>
  <c r="Y1004" i="1" s="1"/>
  <c r="AA1004" i="1" s="1"/>
  <c r="O1036" i="1"/>
  <c r="Q1036" i="1" s="1"/>
  <c r="S1036" i="1" s="1"/>
  <c r="U1036" i="1" s="1"/>
  <c r="W1036" i="1" s="1"/>
  <c r="Y1036" i="1" s="1"/>
  <c r="AA1036" i="1" s="1"/>
  <c r="O378" i="1"/>
  <c r="Q378" i="1" s="1"/>
  <c r="S378" i="1" s="1"/>
  <c r="U378" i="1" s="1"/>
  <c r="W378" i="1" s="1"/>
  <c r="Y378" i="1" s="1"/>
  <c r="AA378" i="1" s="1"/>
  <c r="O1026" i="1"/>
  <c r="Q1026" i="1" s="1"/>
  <c r="S1026" i="1" s="1"/>
  <c r="U1026" i="1" s="1"/>
  <c r="W1026" i="1" s="1"/>
  <c r="Y1026" i="1" s="1"/>
  <c r="AA1026" i="1" s="1"/>
  <c r="O1006" i="1"/>
  <c r="Q1006" i="1" s="1"/>
  <c r="S1006" i="1" s="1"/>
  <c r="U1006" i="1" s="1"/>
  <c r="W1006" i="1" s="1"/>
  <c r="Y1006" i="1" s="1"/>
  <c r="AA1006" i="1" s="1"/>
  <c r="O410" i="1"/>
  <c r="Q410" i="1" s="1"/>
  <c r="S410" i="1" s="1"/>
  <c r="U410" i="1" s="1"/>
  <c r="W410" i="1" s="1"/>
  <c r="Y410" i="1" s="1"/>
  <c r="AA410" i="1" s="1"/>
  <c r="O1010" i="1"/>
  <c r="Q1010" i="1" s="1"/>
  <c r="S1010" i="1" s="1"/>
  <c r="U1010" i="1" s="1"/>
  <c r="W1010" i="1" s="1"/>
  <c r="Y1010" i="1" s="1"/>
  <c r="AA1010" i="1" s="1"/>
  <c r="O1383" i="1"/>
  <c r="Q1383" i="1" s="1"/>
  <c r="S1383" i="1" s="1"/>
  <c r="U1383" i="1" s="1"/>
  <c r="W1383" i="1" s="1"/>
  <c r="Y1383" i="1" s="1"/>
  <c r="AA1383" i="1" s="1"/>
  <c r="O1032" i="1"/>
  <c r="Q1032" i="1" s="1"/>
  <c r="S1032" i="1" s="1"/>
  <c r="U1032" i="1" s="1"/>
  <c r="W1032" i="1" s="1"/>
  <c r="Y1032" i="1" s="1"/>
  <c r="AA1032" i="1" s="1"/>
  <c r="O400" i="1"/>
  <c r="Q400" i="1" s="1"/>
  <c r="S400" i="1" s="1"/>
  <c r="U400" i="1" s="1"/>
  <c r="W400" i="1" s="1"/>
  <c r="Y400" i="1" s="1"/>
  <c r="AA400" i="1" s="1"/>
  <c r="O402" i="1"/>
  <c r="Q402" i="1" s="1"/>
  <c r="S402" i="1" s="1"/>
  <c r="U402" i="1" s="1"/>
  <c r="W402" i="1" s="1"/>
  <c r="Y402" i="1" s="1"/>
  <c r="AA402" i="1" s="1"/>
  <c r="O1379" i="1"/>
  <c r="Q1379" i="1" s="1"/>
  <c r="S1379" i="1" s="1"/>
  <c r="U1379" i="1" s="1"/>
  <c r="W1379" i="1" s="1"/>
  <c r="Y1379" i="1" s="1"/>
  <c r="AA1379" i="1" s="1"/>
  <c r="O1012" i="1"/>
  <c r="Q1012" i="1" s="1"/>
  <c r="S1012" i="1" s="1"/>
  <c r="U1012" i="1" s="1"/>
  <c r="W1012" i="1" s="1"/>
  <c r="Y1012" i="1" s="1"/>
  <c r="AA1012" i="1" s="1"/>
  <c r="O408" i="1"/>
  <c r="Q408" i="1" s="1"/>
  <c r="S408" i="1" s="1"/>
  <c r="U408" i="1" s="1"/>
  <c r="W408" i="1" s="1"/>
  <c r="Y408" i="1" s="1"/>
  <c r="AA408" i="1" s="1"/>
  <c r="O386" i="1"/>
  <c r="Q386" i="1" s="1"/>
  <c r="S386" i="1" s="1"/>
  <c r="U386" i="1" s="1"/>
  <c r="W386" i="1" s="1"/>
  <c r="Y386" i="1" s="1"/>
  <c r="AA386" i="1" s="1"/>
  <c r="O414" i="1"/>
  <c r="Q414" i="1" s="1"/>
  <c r="S414" i="1" s="1"/>
  <c r="U414" i="1" s="1"/>
  <c r="W414" i="1" s="1"/>
  <c r="Y414" i="1" s="1"/>
  <c r="AA414" i="1" s="1"/>
  <c r="O1014" i="1"/>
  <c r="Q1014" i="1" s="1"/>
  <c r="S1014" i="1" s="1"/>
  <c r="U1014" i="1" s="1"/>
  <c r="W1014" i="1" s="1"/>
  <c r="Y1014" i="1" s="1"/>
  <c r="AA1014" i="1" s="1"/>
  <c r="O390" i="1"/>
  <c r="Q390" i="1" s="1"/>
  <c r="S390" i="1" s="1"/>
  <c r="U390" i="1" s="1"/>
  <c r="W390" i="1" s="1"/>
  <c r="Y390" i="1" s="1"/>
  <c r="AA390" i="1" s="1"/>
  <c r="O1034" i="1"/>
  <c r="Q1034" i="1" s="1"/>
  <c r="S1034" i="1" s="1"/>
  <c r="U1034" i="1" s="1"/>
  <c r="W1034" i="1" s="1"/>
  <c r="Y1034" i="1" s="1"/>
  <c r="AA1034" i="1" s="1"/>
  <c r="O1008" i="1"/>
  <c r="Q1008" i="1" s="1"/>
  <c r="S1008" i="1" s="1"/>
  <c r="U1008" i="1" s="1"/>
  <c r="W1008" i="1" s="1"/>
  <c r="Y1008" i="1" s="1"/>
  <c r="AA1008" i="1" s="1"/>
  <c r="O404" i="1"/>
  <c r="Q404" i="1" s="1"/>
  <c r="S404" i="1" s="1"/>
  <c r="U404" i="1" s="1"/>
  <c r="W404" i="1" s="1"/>
  <c r="Y404" i="1" s="1"/>
  <c r="AA404" i="1" s="1"/>
  <c r="O382" i="1"/>
  <c r="Q382" i="1" s="1"/>
  <c r="S382" i="1" s="1"/>
  <c r="U382" i="1" s="1"/>
  <c r="W382" i="1" s="1"/>
  <c r="Y382" i="1" s="1"/>
  <c r="AA382" i="1" s="1"/>
  <c r="O1387" i="1"/>
  <c r="Q1387" i="1" s="1"/>
  <c r="S1387" i="1" s="1"/>
  <c r="U1387" i="1" s="1"/>
  <c r="W1387" i="1" s="1"/>
  <c r="Y1387" i="1" s="1"/>
  <c r="AA1387" i="1" s="1"/>
  <c r="O1020" i="1"/>
  <c r="Q1020" i="1" s="1"/>
  <c r="S1020" i="1" s="1"/>
  <c r="U1020" i="1" s="1"/>
  <c r="W1020" i="1" s="1"/>
  <c r="Y1020" i="1" s="1"/>
  <c r="AA1020" i="1" s="1"/>
  <c r="O388" i="1"/>
  <c r="Q388" i="1" s="1"/>
  <c r="S388" i="1" s="1"/>
  <c r="U388" i="1" s="1"/>
  <c r="W388" i="1" s="1"/>
  <c r="Y388" i="1" s="1"/>
  <c r="AA388" i="1" s="1"/>
  <c r="O1385" i="1"/>
  <c r="Q1385" i="1" s="1"/>
  <c r="S1385" i="1" s="1"/>
  <c r="U1385" i="1" s="1"/>
  <c r="W1385" i="1" s="1"/>
  <c r="Y1385" i="1" s="1"/>
  <c r="AA1385" i="1" s="1"/>
  <c r="O384" i="1"/>
  <c r="Q384" i="1" s="1"/>
  <c r="S384" i="1" s="1"/>
  <c r="U384" i="1" s="1"/>
  <c r="W384" i="1" s="1"/>
  <c r="Y384" i="1" s="1"/>
  <c r="AA384" i="1" s="1"/>
  <c r="O1022" i="1"/>
  <c r="Q1022" i="1" s="1"/>
  <c r="S1022" i="1" s="1"/>
  <c r="U1022" i="1" s="1"/>
  <c r="W1022" i="1" s="1"/>
  <c r="Y1022" i="1" s="1"/>
  <c r="AA1022" i="1" s="1"/>
  <c r="O398" i="1"/>
  <c r="Q398" i="1" s="1"/>
  <c r="S398" i="1" s="1"/>
  <c r="U398" i="1" s="1"/>
  <c r="W398" i="1" s="1"/>
  <c r="Y398" i="1" s="1"/>
  <c r="AA398" i="1" s="1"/>
  <c r="O406" i="1"/>
  <c r="Q406" i="1" s="1"/>
  <c r="S406" i="1" s="1"/>
  <c r="U406" i="1" s="1"/>
  <c r="W406" i="1" s="1"/>
  <c r="Y406" i="1" s="1"/>
  <c r="AA406" i="1" s="1"/>
  <c r="O1016" i="1"/>
  <c r="Q1016" i="1" s="1"/>
  <c r="S1016" i="1" s="1"/>
  <c r="U1016" i="1" s="1"/>
  <c r="W1016" i="1" s="1"/>
  <c r="Y1016" i="1" s="1"/>
  <c r="AA1016" i="1" s="1"/>
  <c r="O412" i="1"/>
  <c r="Q412" i="1" s="1"/>
  <c r="S412" i="1" s="1"/>
  <c r="U412" i="1" s="1"/>
  <c r="W412" i="1" s="1"/>
  <c r="Y412" i="1" s="1"/>
  <c r="AA412" i="1" s="1"/>
  <c r="O1377" i="1"/>
  <c r="Q1377" i="1" s="1"/>
  <c r="S1377" i="1" s="1"/>
  <c r="U1377" i="1" s="1"/>
  <c r="W1377" i="1" s="1"/>
  <c r="Y1377" i="1" s="1"/>
  <c r="AA1377" i="1" s="1"/>
  <c r="I376" i="1"/>
  <c r="K376" i="1" s="1"/>
  <c r="M376" i="1" s="1"/>
  <c r="O376" i="1" s="1"/>
  <c r="Q376" i="1" s="1"/>
  <c r="S376" i="1" s="1"/>
  <c r="U376" i="1" s="1"/>
  <c r="W376" i="1" s="1"/>
  <c r="Y376" i="1" s="1"/>
  <c r="H375" i="1"/>
  <c r="H370" i="1" s="1"/>
  <c r="J1870" i="1"/>
  <c r="J1868" i="1"/>
  <c r="I998" i="1"/>
  <c r="K998" i="1" s="1"/>
  <c r="M998" i="1" s="1"/>
  <c r="O998" i="1" s="1"/>
  <c r="Q998" i="1" s="1"/>
  <c r="S998" i="1" s="1"/>
  <c r="U998" i="1" s="1"/>
  <c r="W998" i="1" s="1"/>
  <c r="Y998" i="1" s="1"/>
  <c r="I997" i="1"/>
  <c r="K997" i="1" s="1"/>
  <c r="M997" i="1" s="1"/>
  <c r="O997" i="1" s="1"/>
  <c r="Q997" i="1" s="1"/>
  <c r="S997" i="1" s="1"/>
  <c r="U997" i="1" s="1"/>
  <c r="W997" i="1" s="1"/>
  <c r="Y997" i="1" s="1"/>
  <c r="H1372" i="1"/>
  <c r="I1373" i="1"/>
  <c r="K1373" i="1" s="1"/>
  <c r="M1373" i="1" s="1"/>
  <c r="O1373" i="1" s="1"/>
  <c r="Q1373" i="1" s="1"/>
  <c r="S1373" i="1" s="1"/>
  <c r="U1373" i="1" s="1"/>
  <c r="W1373" i="1" s="1"/>
  <c r="Y1373" i="1" s="1"/>
  <c r="H1134" i="1"/>
  <c r="I1137" i="1"/>
  <c r="K1137" i="1" s="1"/>
  <c r="G1353" i="1"/>
  <c r="I1353" i="1" s="1"/>
  <c r="K1353" i="1" s="1"/>
  <c r="G1355" i="1"/>
  <c r="I1355" i="1" s="1"/>
  <c r="K1355" i="1" s="1"/>
  <c r="E1354" i="1"/>
  <c r="G1354" i="1" s="1"/>
  <c r="E1352" i="1"/>
  <c r="H1351" i="1"/>
  <c r="I1278" i="1"/>
  <c r="K1278" i="1" s="1"/>
  <c r="I1279" i="1"/>
  <c r="K1279" i="1" s="1"/>
  <c r="H1277" i="1"/>
  <c r="I1277" i="1" s="1"/>
  <c r="K1277" i="1" s="1"/>
  <c r="M1277" i="1" s="1"/>
  <c r="O1277" i="1" s="1"/>
  <c r="Q1277" i="1" s="1"/>
  <c r="S1277" i="1" s="1"/>
  <c r="U1277" i="1" s="1"/>
  <c r="W1277" i="1" s="1"/>
  <c r="Y1277" i="1" s="1"/>
  <c r="I1143" i="1"/>
  <c r="K1143" i="1" s="1"/>
  <c r="H1141" i="1"/>
  <c r="H1140" i="1" s="1"/>
  <c r="I1140" i="1" s="1"/>
  <c r="K1140" i="1" s="1"/>
  <c r="M1140" i="1" s="1"/>
  <c r="O1140" i="1" s="1"/>
  <c r="Q1140" i="1" s="1"/>
  <c r="S1140" i="1" s="1"/>
  <c r="U1140" i="1" s="1"/>
  <c r="W1140" i="1" s="1"/>
  <c r="Y1140" i="1" s="1"/>
  <c r="H849" i="1"/>
  <c r="I849" i="1" s="1"/>
  <c r="K849" i="1" s="1"/>
  <c r="M849" i="1" s="1"/>
  <c r="O849" i="1" s="1"/>
  <c r="Q849" i="1" s="1"/>
  <c r="S849" i="1" s="1"/>
  <c r="U849" i="1" s="1"/>
  <c r="W849" i="1" s="1"/>
  <c r="Y849" i="1" s="1"/>
  <c r="I850" i="1"/>
  <c r="K850" i="1" s="1"/>
  <c r="I848" i="1"/>
  <c r="K848" i="1" s="1"/>
  <c r="H847" i="1"/>
  <c r="I847" i="1" s="1"/>
  <c r="K847" i="1" s="1"/>
  <c r="M847" i="1" s="1"/>
  <c r="O847" i="1" s="1"/>
  <c r="Q847" i="1" s="1"/>
  <c r="S847" i="1" s="1"/>
  <c r="U847" i="1" s="1"/>
  <c r="W847" i="1" s="1"/>
  <c r="Y847" i="1" s="1"/>
  <c r="I797" i="1"/>
  <c r="K797" i="1" s="1"/>
  <c r="H796" i="1"/>
  <c r="I796" i="1" s="1"/>
  <c r="K796" i="1" s="1"/>
  <c r="M796" i="1" s="1"/>
  <c r="O796" i="1" s="1"/>
  <c r="Q796" i="1" s="1"/>
  <c r="S796" i="1" s="1"/>
  <c r="U796" i="1" s="1"/>
  <c r="W796" i="1" s="1"/>
  <c r="Y796" i="1" s="1"/>
  <c r="G1148" i="1"/>
  <c r="G1149" i="1"/>
  <c r="I1149" i="1" s="1"/>
  <c r="K1149" i="1" s="1"/>
  <c r="H1148" i="1"/>
  <c r="H104" i="1"/>
  <c r="I109" i="1"/>
  <c r="K109" i="1" s="1"/>
  <c r="M1149" i="1" l="1"/>
  <c r="M1355" i="1"/>
  <c r="M109" i="1"/>
  <c r="M848" i="1"/>
  <c r="M850" i="1"/>
  <c r="M1137" i="1"/>
  <c r="M1278" i="1"/>
  <c r="M1143" i="1"/>
  <c r="M1353" i="1"/>
  <c r="M797" i="1"/>
  <c r="M1279" i="1"/>
  <c r="I375" i="1"/>
  <c r="K375" i="1" s="1"/>
  <c r="M375" i="1" s="1"/>
  <c r="O375" i="1" s="1"/>
  <c r="Q375" i="1" s="1"/>
  <c r="S375" i="1" s="1"/>
  <c r="U375" i="1" s="1"/>
  <c r="W375" i="1" s="1"/>
  <c r="Y375" i="1" s="1"/>
  <c r="I1372" i="1"/>
  <c r="K1372" i="1" s="1"/>
  <c r="M1372" i="1" s="1"/>
  <c r="O1372" i="1" s="1"/>
  <c r="Q1372" i="1" s="1"/>
  <c r="S1372" i="1" s="1"/>
  <c r="U1372" i="1" s="1"/>
  <c r="W1372" i="1" s="1"/>
  <c r="Y1372" i="1" s="1"/>
  <c r="H1369" i="1"/>
  <c r="I1369" i="1" s="1"/>
  <c r="K1369" i="1" s="1"/>
  <c r="M1369" i="1" s="1"/>
  <c r="O1369" i="1" s="1"/>
  <c r="Q1369" i="1" s="1"/>
  <c r="S1369" i="1" s="1"/>
  <c r="U1369" i="1" s="1"/>
  <c r="W1369" i="1" s="1"/>
  <c r="Y1369" i="1" s="1"/>
  <c r="E1351" i="1"/>
  <c r="I370" i="1"/>
  <c r="K370" i="1" s="1"/>
  <c r="M370" i="1" s="1"/>
  <c r="O370" i="1" s="1"/>
  <c r="Q370" i="1" s="1"/>
  <c r="S370" i="1" s="1"/>
  <c r="U370" i="1" s="1"/>
  <c r="W370" i="1" s="1"/>
  <c r="Y370" i="1" s="1"/>
  <c r="H369" i="1"/>
  <c r="I369" i="1" s="1"/>
  <c r="K369" i="1" s="1"/>
  <c r="M369" i="1" s="1"/>
  <c r="O369" i="1" s="1"/>
  <c r="Q369" i="1" s="1"/>
  <c r="S369" i="1" s="1"/>
  <c r="U369" i="1" s="1"/>
  <c r="W369" i="1" s="1"/>
  <c r="Y369" i="1" s="1"/>
  <c r="G1352" i="1"/>
  <c r="H1872" i="1"/>
  <c r="I1141" i="1"/>
  <c r="K1141" i="1" s="1"/>
  <c r="M1141" i="1" s="1"/>
  <c r="O1141" i="1" s="1"/>
  <c r="Q1141" i="1" s="1"/>
  <c r="S1141" i="1" s="1"/>
  <c r="U1141" i="1" s="1"/>
  <c r="W1141" i="1" s="1"/>
  <c r="Y1141" i="1" s="1"/>
  <c r="I1148" i="1"/>
  <c r="K1148" i="1" s="1"/>
  <c r="M1148" i="1" s="1"/>
  <c r="O1148" i="1" s="1"/>
  <c r="Q1148" i="1" s="1"/>
  <c r="S1148" i="1" s="1"/>
  <c r="U1148" i="1" s="1"/>
  <c r="W1148" i="1" s="1"/>
  <c r="Y1148" i="1" s="1"/>
  <c r="H1866" i="1"/>
  <c r="H1865" i="1" s="1"/>
  <c r="H1856" i="1"/>
  <c r="H1854" i="1"/>
  <c r="H1851" i="1"/>
  <c r="H1847" i="1"/>
  <c r="H1845" i="1"/>
  <c r="H1838" i="1"/>
  <c r="H1831" i="1"/>
  <c r="H1825" i="1"/>
  <c r="H1820" i="1"/>
  <c r="H1814" i="1"/>
  <c r="H1813" i="1" s="1"/>
  <c r="H1809" i="1"/>
  <c r="H1807" i="1"/>
  <c r="H1805" i="1"/>
  <c r="H1803" i="1"/>
  <c r="H1797" i="1"/>
  <c r="H1796" i="1" s="1"/>
  <c r="H1782" i="1"/>
  <c r="H1779" i="1"/>
  <c r="H1777" i="1"/>
  <c r="H1774" i="1"/>
  <c r="H1773" i="1" s="1"/>
  <c r="H1771" i="1"/>
  <c r="H1770" i="1" s="1"/>
  <c r="H1767" i="1"/>
  <c r="H1766" i="1" s="1"/>
  <c r="H1763" i="1"/>
  <c r="H1762" i="1" s="1"/>
  <c r="H1757" i="1"/>
  <c r="H1750" i="1"/>
  <c r="H1749" i="1" s="1"/>
  <c r="H1747" i="1"/>
  <c r="H1746" i="1" s="1"/>
  <c r="H1743" i="1"/>
  <c r="H1742" i="1" s="1"/>
  <c r="H1740" i="1"/>
  <c r="H1738" i="1"/>
  <c r="H1732" i="1"/>
  <c r="H1731" i="1" s="1"/>
  <c r="H1730" i="1" s="1"/>
  <c r="H1728" i="1"/>
  <c r="H1727" i="1" s="1"/>
  <c r="H1725" i="1"/>
  <c r="H1724" i="1" s="1"/>
  <c r="H1721" i="1"/>
  <c r="H1720" i="1" s="1"/>
  <c r="H1715" i="1"/>
  <c r="H1713" i="1"/>
  <c r="H1705" i="1"/>
  <c r="H1702" i="1"/>
  <c r="H1697" i="1"/>
  <c r="H1696" i="1" s="1"/>
  <c r="H1692" i="1"/>
  <c r="H1691" i="1" s="1"/>
  <c r="H1689" i="1"/>
  <c r="H1685" i="1"/>
  <c r="H1684" i="1" s="1"/>
  <c r="H1680" i="1"/>
  <c r="H1677" i="1"/>
  <c r="H1673" i="1"/>
  <c r="H1671" i="1"/>
  <c r="H1668" i="1"/>
  <c r="H1659" i="1"/>
  <c r="H1623" i="1"/>
  <c r="H1622" i="1" s="1"/>
  <c r="H1619" i="1"/>
  <c r="H1617" i="1"/>
  <c r="H1613" i="1"/>
  <c r="H1609" i="1"/>
  <c r="H1607" i="1"/>
  <c r="H1605" i="1"/>
  <c r="H1602" i="1"/>
  <c r="H1600" i="1"/>
  <c r="H1598" i="1"/>
  <c r="H1596" i="1"/>
  <c r="H1581" i="1"/>
  <c r="H1579" i="1"/>
  <c r="H1577" i="1"/>
  <c r="H1568" i="1"/>
  <c r="H1565" i="1"/>
  <c r="H1560" i="1"/>
  <c r="H1559" i="1" s="1"/>
  <c r="H1558" i="1" s="1"/>
  <c r="H1555" i="1"/>
  <c r="H1551" i="1"/>
  <c r="H1545" i="1"/>
  <c r="H1544" i="1" s="1"/>
  <c r="H1542" i="1"/>
  <c r="H1541" i="1" s="1"/>
  <c r="H1532" i="1"/>
  <c r="H1526" i="1"/>
  <c r="H1519" i="1"/>
  <c r="H1514" i="1" s="1"/>
  <c r="H1512" i="1"/>
  <c r="H1504" i="1"/>
  <c r="H1491" i="1"/>
  <c r="H1485" i="1"/>
  <c r="H1484" i="1" s="1"/>
  <c r="H1481" i="1"/>
  <c r="H1477" i="1"/>
  <c r="H1473" i="1"/>
  <c r="H1464" i="1"/>
  <c r="H1461" i="1" s="1"/>
  <c r="H1459" i="1"/>
  <c r="H1458" i="1" s="1"/>
  <c r="H1453" i="1"/>
  <c r="H1447" i="1"/>
  <c r="H1446" i="1" s="1"/>
  <c r="H1424" i="1"/>
  <c r="H1421" i="1" s="1"/>
  <c r="H1420" i="1" s="1"/>
  <c r="H1418" i="1"/>
  <c r="H1417" i="1" s="1"/>
  <c r="H1413" i="1"/>
  <c r="H1411" i="1"/>
  <c r="H1409" i="1"/>
  <c r="H1362" i="1"/>
  <c r="H1348" i="1"/>
  <c r="H1343" i="1"/>
  <c r="H1342" i="1" s="1"/>
  <c r="H1339" i="1"/>
  <c r="H1336" i="1"/>
  <c r="H1332" i="1"/>
  <c r="H1329" i="1"/>
  <c r="H1326" i="1"/>
  <c r="H1323" i="1"/>
  <c r="H1319" i="1"/>
  <c r="H1316" i="1"/>
  <c r="H1312" i="1"/>
  <c r="H1310" i="1"/>
  <c r="H1302" i="1"/>
  <c r="H1300" i="1"/>
  <c r="H1293" i="1"/>
  <c r="H1292" i="1" s="1"/>
  <c r="H1285" i="1"/>
  <c r="H1284" i="1" s="1"/>
  <c r="H1280" i="1"/>
  <c r="H1274" i="1"/>
  <c r="H1243" i="1"/>
  <c r="H1240" i="1"/>
  <c r="H1238" i="1"/>
  <c r="H1236" i="1"/>
  <c r="H1231" i="1"/>
  <c r="H1229" i="1"/>
  <c r="H1226" i="1"/>
  <c r="H1222" i="1"/>
  <c r="H1219" i="1"/>
  <c r="H1215" i="1"/>
  <c r="H1214" i="1" s="1"/>
  <c r="H1210" i="1"/>
  <c r="H1207" i="1"/>
  <c r="H1198" i="1"/>
  <c r="H1196" i="1"/>
  <c r="H1184" i="1"/>
  <c r="H1183" i="1" s="1"/>
  <c r="H1182" i="1" s="1"/>
  <c r="H1181" i="1" s="1"/>
  <c r="H1180" i="1" s="1"/>
  <c r="H1170" i="1"/>
  <c r="H1168" i="1"/>
  <c r="H1151" i="1"/>
  <c r="H1147" i="1" s="1"/>
  <c r="H1145" i="1"/>
  <c r="H1138" i="1"/>
  <c r="H1131" i="1"/>
  <c r="H1129" i="1"/>
  <c r="H1127" i="1"/>
  <c r="H1125" i="1"/>
  <c r="H985" i="1"/>
  <c r="H983" i="1"/>
  <c r="H979" i="1"/>
  <c r="H978" i="1" s="1"/>
  <c r="H970" i="1"/>
  <c r="H967" i="1" s="1"/>
  <c r="H966" i="1" s="1"/>
  <c r="H963" i="1"/>
  <c r="H961" i="1"/>
  <c r="H957" i="1"/>
  <c r="H954" i="1" s="1"/>
  <c r="H949" i="1"/>
  <c r="H942" i="1"/>
  <c r="H939" i="1"/>
  <c r="H934" i="1"/>
  <c r="H929" i="1"/>
  <c r="H906" i="1"/>
  <c r="H904" i="1"/>
  <c r="H895" i="1"/>
  <c r="H894" i="1" s="1"/>
  <c r="H889" i="1"/>
  <c r="H882" i="1"/>
  <c r="H881" i="1" s="1"/>
  <c r="H879" i="1"/>
  <c r="H874" i="1"/>
  <c r="H873" i="1" s="1"/>
  <c r="H872" i="1" s="1"/>
  <c r="H863" i="1"/>
  <c r="H856" i="1" s="1"/>
  <c r="H851" i="1"/>
  <c r="H846" i="1" s="1"/>
  <c r="H843" i="1"/>
  <c r="H831" i="1"/>
  <c r="H822" i="1"/>
  <c r="H820" i="1"/>
  <c r="H810" i="1"/>
  <c r="H809" i="1" s="1"/>
  <c r="H807" i="1"/>
  <c r="H804" i="1"/>
  <c r="H803" i="1" s="1"/>
  <c r="H801" i="1"/>
  <c r="H794" i="1"/>
  <c r="H792" i="1"/>
  <c r="H790" i="1"/>
  <c r="H784" i="1"/>
  <c r="H782" i="1"/>
  <c r="H359" i="1"/>
  <c r="H347" i="1"/>
  <c r="H346" i="1" s="1"/>
  <c r="H345" i="1" s="1"/>
  <c r="H344" i="1" s="1"/>
  <c r="H343" i="1" s="1"/>
  <c r="H336" i="1"/>
  <c r="H335" i="1" s="1"/>
  <c r="H329" i="1"/>
  <c r="H326" i="1" s="1"/>
  <c r="H325" i="1" s="1"/>
  <c r="H303" i="1"/>
  <c r="H297" i="1"/>
  <c r="H292" i="1"/>
  <c r="H291" i="1" s="1"/>
  <c r="H286" i="1"/>
  <c r="H285" i="1" s="1"/>
  <c r="H281" i="1"/>
  <c r="H266" i="1"/>
  <c r="H265" i="1" s="1"/>
  <c r="H264" i="1" s="1"/>
  <c r="H263" i="1" s="1"/>
  <c r="H261" i="1"/>
  <c r="H259" i="1"/>
  <c r="H251" i="1"/>
  <c r="H250" i="1" s="1"/>
  <c r="H234" i="1"/>
  <c r="H231" i="1"/>
  <c r="H227" i="1"/>
  <c r="H220" i="1" s="1"/>
  <c r="H218" i="1"/>
  <c r="H215" i="1"/>
  <c r="H214" i="1" s="1"/>
  <c r="H201" i="1"/>
  <c r="H183" i="1"/>
  <c r="H175" i="1"/>
  <c r="H173" i="1"/>
  <c r="H165" i="1"/>
  <c r="H158" i="1" s="1"/>
  <c r="H153" i="1"/>
  <c r="H145" i="1"/>
  <c r="H144" i="1" s="1"/>
  <c r="H143" i="1" s="1"/>
  <c r="H142" i="1" s="1"/>
  <c r="H137" i="1"/>
  <c r="H130" i="1" s="1"/>
  <c r="H120" i="1"/>
  <c r="H116" i="1" s="1"/>
  <c r="H112" i="1"/>
  <c r="H111" i="1" s="1"/>
  <c r="H110" i="1" s="1"/>
  <c r="H103" i="1"/>
  <c r="H101" i="1"/>
  <c r="H78" i="1"/>
  <c r="H67" i="1"/>
  <c r="H53" i="1"/>
  <c r="H52" i="1" s="1"/>
  <c r="H46" i="1"/>
  <c r="H45" i="1" s="1"/>
  <c r="H35" i="1"/>
  <c r="H28" i="1" s="1"/>
  <c r="H21" i="1"/>
  <c r="H17" i="1" s="1"/>
  <c r="O1143" i="1" l="1"/>
  <c r="Q1143" i="1" s="1"/>
  <c r="S1143" i="1" s="1"/>
  <c r="U1143" i="1" s="1"/>
  <c r="W1143" i="1" s="1"/>
  <c r="Y1143" i="1" s="1"/>
  <c r="AA1143" i="1" s="1"/>
  <c r="O848" i="1"/>
  <c r="Q848" i="1" s="1"/>
  <c r="S848" i="1" s="1"/>
  <c r="U848" i="1" s="1"/>
  <c r="W848" i="1" s="1"/>
  <c r="Y848" i="1" s="1"/>
  <c r="AA848" i="1" s="1"/>
  <c r="O1279" i="1"/>
  <c r="Q1279" i="1" s="1"/>
  <c r="S1279" i="1" s="1"/>
  <c r="U1279" i="1" s="1"/>
  <c r="W1279" i="1" s="1"/>
  <c r="Y1279" i="1" s="1"/>
  <c r="AA1279" i="1" s="1"/>
  <c r="O1278" i="1"/>
  <c r="Q1278" i="1" s="1"/>
  <c r="S1278" i="1" s="1"/>
  <c r="U1278" i="1" s="1"/>
  <c r="W1278" i="1" s="1"/>
  <c r="Y1278" i="1" s="1"/>
  <c r="AA1278" i="1" s="1"/>
  <c r="O109" i="1"/>
  <c r="Q109" i="1" s="1"/>
  <c r="S109" i="1" s="1"/>
  <c r="U109" i="1" s="1"/>
  <c r="W109" i="1" s="1"/>
  <c r="Y109" i="1" s="1"/>
  <c r="AA109" i="1" s="1"/>
  <c r="O797" i="1"/>
  <c r="Q797" i="1" s="1"/>
  <c r="S797" i="1" s="1"/>
  <c r="U797" i="1" s="1"/>
  <c r="W797" i="1" s="1"/>
  <c r="Y797" i="1" s="1"/>
  <c r="AA797" i="1" s="1"/>
  <c r="O1137" i="1"/>
  <c r="Q1137" i="1" s="1"/>
  <c r="S1137" i="1" s="1"/>
  <c r="U1137" i="1" s="1"/>
  <c r="W1137" i="1" s="1"/>
  <c r="Y1137" i="1" s="1"/>
  <c r="AA1137" i="1" s="1"/>
  <c r="O1355" i="1"/>
  <c r="Q1355" i="1" s="1"/>
  <c r="S1355" i="1" s="1"/>
  <c r="U1355" i="1" s="1"/>
  <c r="W1355" i="1" s="1"/>
  <c r="Y1355" i="1" s="1"/>
  <c r="AA1355" i="1" s="1"/>
  <c r="O1353" i="1"/>
  <c r="Q1353" i="1" s="1"/>
  <c r="S1353" i="1" s="1"/>
  <c r="U1353" i="1" s="1"/>
  <c r="W1353" i="1" s="1"/>
  <c r="Y1353" i="1" s="1"/>
  <c r="AA1353" i="1" s="1"/>
  <c r="O850" i="1"/>
  <c r="Q850" i="1" s="1"/>
  <c r="S850" i="1" s="1"/>
  <c r="U850" i="1" s="1"/>
  <c r="W850" i="1" s="1"/>
  <c r="Y850" i="1" s="1"/>
  <c r="AA850" i="1" s="1"/>
  <c r="O1149" i="1"/>
  <c r="Q1149" i="1" s="1"/>
  <c r="S1149" i="1" s="1"/>
  <c r="U1149" i="1" s="1"/>
  <c r="W1149" i="1" s="1"/>
  <c r="Y1149" i="1" s="1"/>
  <c r="AA1149" i="1" s="1"/>
  <c r="H817" i="1"/>
  <c r="H816" i="1" s="1"/>
  <c r="H172" i="1"/>
  <c r="H155" i="1" s="1"/>
  <c r="H1500" i="1"/>
  <c r="H1776" i="1"/>
  <c r="H1769" i="1" s="1"/>
  <c r="H1802" i="1"/>
  <c r="H1801" i="1" s="1"/>
  <c r="H1204" i="1"/>
  <c r="H1203" i="1" s="1"/>
  <c r="H1270" i="1"/>
  <c r="H1269" i="1" s="1"/>
  <c r="H1522" i="1"/>
  <c r="H1695" i="1"/>
  <c r="H1694" i="1" s="1"/>
  <c r="H1195" i="1"/>
  <c r="H1194" i="1" s="1"/>
  <c r="H1299" i="1"/>
  <c r="H27" i="1"/>
  <c r="H51" i="1"/>
  <c r="H115" i="1"/>
  <c r="H16" i="1"/>
  <c r="H44" i="1"/>
  <c r="H60" i="1"/>
  <c r="H1225" i="1"/>
  <c r="H1655" i="1"/>
  <c r="H1654" i="1" s="1"/>
  <c r="H1688" i="1"/>
  <c r="H1719" i="1"/>
  <c r="H1416" i="1"/>
  <c r="H150" i="1"/>
  <c r="H179" i="1"/>
  <c r="H194" i="1"/>
  <c r="H249" i="1"/>
  <c r="H280" i="1"/>
  <c r="H284" i="1"/>
  <c r="H338" i="1"/>
  <c r="H779" i="1"/>
  <c r="H778" i="1" s="1"/>
  <c r="H800" i="1"/>
  <c r="H806" i="1"/>
  <c r="H827" i="1"/>
  <c r="H878" i="1"/>
  <c r="H888" i="1"/>
  <c r="H977" i="1"/>
  <c r="H1291" i="1"/>
  <c r="H1347" i="1"/>
  <c r="H1406" i="1"/>
  <c r="H1480" i="1"/>
  <c r="H1213" i="1"/>
  <c r="H1564" i="1"/>
  <c r="H903" i="1"/>
  <c r="H982" i="1"/>
  <c r="H217" i="1"/>
  <c r="H247" i="1"/>
  <c r="H258" i="1"/>
  <c r="H296" i="1"/>
  <c r="H358" i="1"/>
  <c r="H928" i="1"/>
  <c r="H960" i="1"/>
  <c r="H1445" i="1"/>
  <c r="H1452" i="1"/>
  <c r="H1457" i="1"/>
  <c r="H1488" i="1"/>
  <c r="H1483" i="1" s="1"/>
  <c r="H1550" i="1"/>
  <c r="H1723" i="1"/>
  <c r="H1119" i="1"/>
  <c r="H1144" i="1"/>
  <c r="H1167" i="1"/>
  <c r="H1305" i="1"/>
  <c r="H1335" i="1"/>
  <c r="H1554" i="1"/>
  <c r="H1574" i="1"/>
  <c r="H1612" i="1"/>
  <c r="H1683" i="1"/>
  <c r="H1218" i="1"/>
  <c r="H1557" i="1"/>
  <c r="H1587" i="1"/>
  <c r="H1676" i="1"/>
  <c r="H1701" i="1"/>
  <c r="H1737" i="1"/>
  <c r="H1830" i="1"/>
  <c r="H1824" i="1"/>
  <c r="H1745" i="1"/>
  <c r="H1765" i="1"/>
  <c r="H1864" i="1"/>
  <c r="H1469" i="1"/>
  <c r="H1540" i="1"/>
  <c r="H1567" i="1"/>
  <c r="H1679" i="1"/>
  <c r="H1704" i="1"/>
  <c r="H1756" i="1"/>
  <c r="H1761" i="1"/>
  <c r="H1795" i="1"/>
  <c r="H1812" i="1"/>
  <c r="H1819" i="1"/>
  <c r="F248" i="1"/>
  <c r="F1874" i="1" s="1"/>
  <c r="H1118" i="1" l="1"/>
  <c r="H1499" i="1"/>
  <c r="H1755" i="1"/>
  <c r="H1675" i="1"/>
  <c r="H1563" i="1"/>
  <c r="H826" i="1"/>
  <c r="H178" i="1"/>
  <c r="H43" i="1"/>
  <c r="H114" i="1"/>
  <c r="H1829" i="1"/>
  <c r="H1193" i="1"/>
  <c r="H290" i="1"/>
  <c r="H1760" i="1"/>
  <c r="H1700" i="1"/>
  <c r="H927" i="1"/>
  <c r="H253" i="1"/>
  <c r="H887" i="1"/>
  <c r="H230" i="1"/>
  <c r="H213" i="1" s="1"/>
  <c r="H1687" i="1"/>
  <c r="H1298" i="1"/>
  <c r="H1818" i="1"/>
  <c r="H1823" i="1"/>
  <c r="H1553" i="1"/>
  <c r="H1549" i="1"/>
  <c r="H1451" i="1"/>
  <c r="H799" i="1"/>
  <c r="H1794" i="1"/>
  <c r="H1468" i="1"/>
  <c r="H1217" i="1"/>
  <c r="H1444" i="1"/>
  <c r="H1346" i="1"/>
  <c r="H149" i="1"/>
  <c r="H1800" i="1"/>
  <c r="H1863" i="1"/>
  <c r="H1736" i="1"/>
  <c r="H1682" i="1"/>
  <c r="H1573" i="1"/>
  <c r="H1166" i="1"/>
  <c r="H357" i="1"/>
  <c r="H981" i="1"/>
  <c r="H1405" i="1"/>
  <c r="H877" i="1"/>
  <c r="H279" i="1"/>
  <c r="H334" i="1"/>
  <c r="H59" i="1"/>
  <c r="F1231" i="1"/>
  <c r="G1233" i="1"/>
  <c r="I1233" i="1" s="1"/>
  <c r="K1233" i="1" s="1"/>
  <c r="M1233" i="1" l="1"/>
  <c r="H278" i="1"/>
  <c r="H1572" i="1"/>
  <c r="H1450" i="1"/>
  <c r="H773" i="1"/>
  <c r="H368" i="1" s="1"/>
  <c r="H364" i="1" s="1"/>
  <c r="H1754" i="1"/>
  <c r="H1404" i="1"/>
  <c r="H1117" i="1"/>
  <c r="H976" i="1"/>
  <c r="H1437" i="1"/>
  <c r="H1467" i="1"/>
  <c r="H1817" i="1"/>
  <c r="H1799" i="1" s="1"/>
  <c r="H886" i="1"/>
  <c r="H1828" i="1"/>
  <c r="H324" i="1"/>
  <c r="H1165" i="1"/>
  <c r="H1862" i="1"/>
  <c r="H148" i="1"/>
  <c r="H212" i="1"/>
  <c r="H1268" i="1"/>
  <c r="H1267" i="1" s="1"/>
  <c r="H1699" i="1"/>
  <c r="H1653" i="1" s="1"/>
  <c r="H1192" i="1"/>
  <c r="H356" i="1"/>
  <c r="H1735" i="1"/>
  <c r="H58" i="1"/>
  <c r="H876" i="1"/>
  <c r="H1202" i="1"/>
  <c r="H1201" i="1" s="1"/>
  <c r="H1548" i="1"/>
  <c r="H926" i="1"/>
  <c r="H1759" i="1"/>
  <c r="H289" i="1"/>
  <c r="H825" i="1"/>
  <c r="G1231" i="1"/>
  <c r="I1231" i="1" s="1"/>
  <c r="K1231" i="1" s="1"/>
  <c r="M1231" i="1" s="1"/>
  <c r="O1231" i="1" s="1"/>
  <c r="Q1231" i="1" s="1"/>
  <c r="S1231" i="1" s="1"/>
  <c r="U1231" i="1" s="1"/>
  <c r="W1231" i="1" s="1"/>
  <c r="Y1231" i="1" s="1"/>
  <c r="G1232" i="1"/>
  <c r="I1232" i="1" s="1"/>
  <c r="K1232" i="1" s="1"/>
  <c r="O1233" i="1" l="1"/>
  <c r="Q1233" i="1" s="1"/>
  <c r="S1233" i="1" s="1"/>
  <c r="U1233" i="1" s="1"/>
  <c r="W1233" i="1" s="1"/>
  <c r="Y1233" i="1" s="1"/>
  <c r="AA1233" i="1" s="1"/>
  <c r="M1232" i="1"/>
  <c r="H975" i="1"/>
  <c r="H288" i="1"/>
  <c r="H915" i="1"/>
  <c r="H1403" i="1"/>
  <c r="H1191" i="1"/>
  <c r="H1827" i="1"/>
  <c r="H273" i="1"/>
  <c r="H38" i="1"/>
  <c r="H147" i="1"/>
  <c r="H1466" i="1"/>
  <c r="H1734" i="1"/>
  <c r="H311" i="1"/>
  <c r="H885" i="1"/>
  <c r="H798" i="1"/>
  <c r="H1753" i="1"/>
  <c r="H1449" i="1"/>
  <c r="H1571" i="1"/>
  <c r="G189" i="1"/>
  <c r="I189" i="1" s="1"/>
  <c r="K189" i="1" s="1"/>
  <c r="F183" i="1"/>
  <c r="F1312" i="1"/>
  <c r="G1315" i="1"/>
  <c r="I1315" i="1" s="1"/>
  <c r="K1315" i="1" s="1"/>
  <c r="G125" i="1"/>
  <c r="I125" i="1" s="1"/>
  <c r="K125" i="1" s="1"/>
  <c r="F120" i="1"/>
  <c r="G262" i="1"/>
  <c r="I262" i="1" s="1"/>
  <c r="K262" i="1" s="1"/>
  <c r="F261" i="1"/>
  <c r="G261" i="1" s="1"/>
  <c r="I261" i="1" s="1"/>
  <c r="K261" i="1" s="1"/>
  <c r="M261" i="1" s="1"/>
  <c r="O261" i="1" s="1"/>
  <c r="Q261" i="1" s="1"/>
  <c r="S261" i="1" s="1"/>
  <c r="U261" i="1" s="1"/>
  <c r="W261" i="1" s="1"/>
  <c r="Y261" i="1" s="1"/>
  <c r="F78" i="1"/>
  <c r="G85" i="1"/>
  <c r="I85" i="1" s="1"/>
  <c r="K85" i="1" s="1"/>
  <c r="F67" i="1"/>
  <c r="G74" i="1"/>
  <c r="I74" i="1" s="1"/>
  <c r="K74" i="1" s="1"/>
  <c r="O1232" i="1" l="1"/>
  <c r="Q1232" i="1" s="1"/>
  <c r="S1232" i="1" s="1"/>
  <c r="U1232" i="1" s="1"/>
  <c r="W1232" i="1" s="1"/>
  <c r="Y1232" i="1" s="1"/>
  <c r="AA1232" i="1" s="1"/>
  <c r="M189" i="1"/>
  <c r="M1315" i="1"/>
  <c r="M125" i="1"/>
  <c r="M74" i="1"/>
  <c r="M262" i="1"/>
  <c r="M85" i="1"/>
  <c r="H1752" i="1"/>
  <c r="H342" i="1"/>
  <c r="H1200" i="1"/>
  <c r="H272" i="1"/>
  <c r="H884" i="1"/>
  <c r="H15" i="1"/>
  <c r="F1872" i="1"/>
  <c r="G1610" i="1"/>
  <c r="I1610" i="1" s="1"/>
  <c r="K1610" i="1" s="1"/>
  <c r="F1609" i="1"/>
  <c r="G1609" i="1" s="1"/>
  <c r="I1609" i="1" s="1"/>
  <c r="K1609" i="1" s="1"/>
  <c r="M1609" i="1" s="1"/>
  <c r="O1609" i="1" s="1"/>
  <c r="Q1609" i="1" s="1"/>
  <c r="S1609" i="1" s="1"/>
  <c r="U1609" i="1" s="1"/>
  <c r="W1609" i="1" s="1"/>
  <c r="Y1609" i="1" s="1"/>
  <c r="G1833" i="1"/>
  <c r="I1833" i="1" s="1"/>
  <c r="K1833" i="1" s="1"/>
  <c r="F1831" i="1"/>
  <c r="G1831" i="1" s="1"/>
  <c r="I1831" i="1" s="1"/>
  <c r="K1831" i="1" s="1"/>
  <c r="M1831" i="1" s="1"/>
  <c r="O1831" i="1" s="1"/>
  <c r="Q1831" i="1" s="1"/>
  <c r="S1831" i="1" s="1"/>
  <c r="U1831" i="1" s="1"/>
  <c r="W1831" i="1" s="1"/>
  <c r="Y1831" i="1" s="1"/>
  <c r="G1340" i="1"/>
  <c r="I1340" i="1" s="1"/>
  <c r="K1340" i="1" s="1"/>
  <c r="F1339" i="1"/>
  <c r="G1339" i="1" s="1"/>
  <c r="I1339" i="1" s="1"/>
  <c r="K1339" i="1" s="1"/>
  <c r="M1339" i="1" s="1"/>
  <c r="O1339" i="1" s="1"/>
  <c r="Q1339" i="1" s="1"/>
  <c r="S1339" i="1" s="1"/>
  <c r="U1339" i="1" s="1"/>
  <c r="W1339" i="1" s="1"/>
  <c r="Y1339" i="1" s="1"/>
  <c r="G1311" i="1"/>
  <c r="I1311" i="1" s="1"/>
  <c r="K1311" i="1" s="1"/>
  <c r="F1310" i="1"/>
  <c r="G1310" i="1" s="1"/>
  <c r="I1310" i="1" s="1"/>
  <c r="K1310" i="1" s="1"/>
  <c r="M1310" i="1" s="1"/>
  <c r="O1310" i="1" s="1"/>
  <c r="Q1310" i="1" s="1"/>
  <c r="S1310" i="1" s="1"/>
  <c r="U1310" i="1" s="1"/>
  <c r="W1310" i="1" s="1"/>
  <c r="Y1310" i="1" s="1"/>
  <c r="G962" i="1"/>
  <c r="I962" i="1" s="1"/>
  <c r="K962" i="1" s="1"/>
  <c r="F961" i="1"/>
  <c r="G961" i="1" s="1"/>
  <c r="I961" i="1" s="1"/>
  <c r="K961" i="1" s="1"/>
  <c r="M961" i="1" s="1"/>
  <c r="O961" i="1" s="1"/>
  <c r="Q961" i="1" s="1"/>
  <c r="S961" i="1" s="1"/>
  <c r="U961" i="1" s="1"/>
  <c r="W961" i="1" s="1"/>
  <c r="Y961" i="1" s="1"/>
  <c r="G905" i="1"/>
  <c r="I905" i="1" s="1"/>
  <c r="K905" i="1" s="1"/>
  <c r="F904" i="1"/>
  <c r="G904" i="1" s="1"/>
  <c r="I904" i="1" s="1"/>
  <c r="K904" i="1" s="1"/>
  <c r="M904" i="1" s="1"/>
  <c r="O904" i="1" s="1"/>
  <c r="Q904" i="1" s="1"/>
  <c r="S904" i="1" s="1"/>
  <c r="U904" i="1" s="1"/>
  <c r="W904" i="1" s="1"/>
  <c r="Y904" i="1" s="1"/>
  <c r="G360" i="1"/>
  <c r="I360" i="1" s="1"/>
  <c r="K360" i="1" s="1"/>
  <c r="F359" i="1"/>
  <c r="F358" i="1" s="1"/>
  <c r="F357" i="1" s="1"/>
  <c r="F356" i="1" s="1"/>
  <c r="G356" i="1" s="1"/>
  <c r="I356" i="1" s="1"/>
  <c r="K356" i="1" s="1"/>
  <c r="M356" i="1" s="1"/>
  <c r="O356" i="1" s="1"/>
  <c r="Q356" i="1" s="1"/>
  <c r="S356" i="1" s="1"/>
  <c r="U356" i="1" s="1"/>
  <c r="W356" i="1" s="1"/>
  <c r="Y356" i="1" s="1"/>
  <c r="G1714" i="1"/>
  <c r="I1714" i="1" s="1"/>
  <c r="K1714" i="1" s="1"/>
  <c r="F1713" i="1"/>
  <c r="G1713" i="1" s="1"/>
  <c r="I1713" i="1" s="1"/>
  <c r="K1713" i="1" s="1"/>
  <c r="M1713" i="1" s="1"/>
  <c r="O1713" i="1" s="1"/>
  <c r="Q1713" i="1" s="1"/>
  <c r="S1713" i="1" s="1"/>
  <c r="U1713" i="1" s="1"/>
  <c r="W1713" i="1" s="1"/>
  <c r="Y1713" i="1" s="1"/>
  <c r="G1614" i="1"/>
  <c r="I1614" i="1" s="1"/>
  <c r="K1614" i="1" s="1"/>
  <c r="F1613" i="1"/>
  <c r="G1613" i="1" s="1"/>
  <c r="I1613" i="1" s="1"/>
  <c r="K1613" i="1" s="1"/>
  <c r="M1613" i="1" s="1"/>
  <c r="O1613" i="1" s="1"/>
  <c r="Q1613" i="1" s="1"/>
  <c r="S1613" i="1" s="1"/>
  <c r="U1613" i="1" s="1"/>
  <c r="W1613" i="1" s="1"/>
  <c r="Y1613" i="1" s="1"/>
  <c r="G1578" i="1"/>
  <c r="I1578" i="1" s="1"/>
  <c r="K1578" i="1" s="1"/>
  <c r="F1577" i="1"/>
  <c r="G1577" i="1" s="1"/>
  <c r="I1577" i="1" s="1"/>
  <c r="K1577" i="1" s="1"/>
  <c r="M1577" i="1" s="1"/>
  <c r="O1577" i="1" s="1"/>
  <c r="Q1577" i="1" s="1"/>
  <c r="S1577" i="1" s="1"/>
  <c r="U1577" i="1" s="1"/>
  <c r="W1577" i="1" s="1"/>
  <c r="Y1577" i="1" s="1"/>
  <c r="F1779" i="1"/>
  <c r="G1779" i="1" s="1"/>
  <c r="I1779" i="1" s="1"/>
  <c r="K1779" i="1" s="1"/>
  <c r="M1779" i="1" s="1"/>
  <c r="O1779" i="1" s="1"/>
  <c r="Q1779" i="1" s="1"/>
  <c r="S1779" i="1" s="1"/>
  <c r="U1779" i="1" s="1"/>
  <c r="W1779" i="1" s="1"/>
  <c r="Y1779" i="1" s="1"/>
  <c r="G1780" i="1"/>
  <c r="I1780" i="1" s="1"/>
  <c r="K1780" i="1" s="1"/>
  <c r="O85" i="1" l="1"/>
  <c r="Q85" i="1" s="1"/>
  <c r="S85" i="1" s="1"/>
  <c r="U85" i="1" s="1"/>
  <c r="W85" i="1" s="1"/>
  <c r="Y85" i="1" s="1"/>
  <c r="AA85" i="1" s="1"/>
  <c r="O262" i="1"/>
  <c r="Q262" i="1" s="1"/>
  <c r="S262" i="1" s="1"/>
  <c r="U262" i="1" s="1"/>
  <c r="W262" i="1" s="1"/>
  <c r="Y262" i="1" s="1"/>
  <c r="AA262" i="1" s="1"/>
  <c r="O189" i="1"/>
  <c r="Q189" i="1" s="1"/>
  <c r="S189" i="1" s="1"/>
  <c r="U189" i="1" s="1"/>
  <c r="W189" i="1" s="1"/>
  <c r="Y189" i="1" s="1"/>
  <c r="AA189" i="1" s="1"/>
  <c r="O74" i="1"/>
  <c r="Q74" i="1" s="1"/>
  <c r="S74" i="1" s="1"/>
  <c r="U74" i="1" s="1"/>
  <c r="W74" i="1" s="1"/>
  <c r="Y74" i="1" s="1"/>
  <c r="AA74" i="1" s="1"/>
  <c r="O1315" i="1"/>
  <c r="Q1315" i="1" s="1"/>
  <c r="S1315" i="1" s="1"/>
  <c r="U1315" i="1" s="1"/>
  <c r="W1315" i="1" s="1"/>
  <c r="Y1315" i="1" s="1"/>
  <c r="AA1315" i="1" s="1"/>
  <c r="O125" i="1"/>
  <c r="Q125" i="1" s="1"/>
  <c r="S125" i="1" s="1"/>
  <c r="U125" i="1" s="1"/>
  <c r="W125" i="1" s="1"/>
  <c r="Y125" i="1" s="1"/>
  <c r="AA125" i="1" s="1"/>
  <c r="M360" i="1"/>
  <c r="M1610" i="1"/>
  <c r="M1614" i="1"/>
  <c r="M1340" i="1"/>
  <c r="M1578" i="1"/>
  <c r="M1714" i="1"/>
  <c r="M905" i="1"/>
  <c r="M1311" i="1"/>
  <c r="M1833" i="1"/>
  <c r="M962" i="1"/>
  <c r="M1780" i="1"/>
  <c r="H1868" i="1"/>
  <c r="H1870" i="1"/>
  <c r="G359" i="1"/>
  <c r="I359" i="1" s="1"/>
  <c r="K359" i="1" s="1"/>
  <c r="M359" i="1" s="1"/>
  <c r="O359" i="1" s="1"/>
  <c r="Q359" i="1" s="1"/>
  <c r="S359" i="1" s="1"/>
  <c r="U359" i="1" s="1"/>
  <c r="W359" i="1" s="1"/>
  <c r="Y359" i="1" s="1"/>
  <c r="G358" i="1"/>
  <c r="I358" i="1" s="1"/>
  <c r="K358" i="1" s="1"/>
  <c r="M358" i="1" s="1"/>
  <c r="O358" i="1" s="1"/>
  <c r="Q358" i="1" s="1"/>
  <c r="S358" i="1" s="1"/>
  <c r="U358" i="1" s="1"/>
  <c r="W358" i="1" s="1"/>
  <c r="Y358" i="1" s="1"/>
  <c r="G357" i="1"/>
  <c r="I357" i="1" s="1"/>
  <c r="K357" i="1" s="1"/>
  <c r="M357" i="1" s="1"/>
  <c r="O357" i="1" s="1"/>
  <c r="Q357" i="1" s="1"/>
  <c r="S357" i="1" s="1"/>
  <c r="U357" i="1" s="1"/>
  <c r="W357" i="1" s="1"/>
  <c r="Y357" i="1" s="1"/>
  <c r="G1867" i="1"/>
  <c r="I1867" i="1" s="1"/>
  <c r="K1867" i="1" s="1"/>
  <c r="G1857" i="1"/>
  <c r="I1857" i="1" s="1"/>
  <c r="K1857" i="1" s="1"/>
  <c r="G1855" i="1"/>
  <c r="I1855" i="1" s="1"/>
  <c r="K1855" i="1" s="1"/>
  <c r="G1848" i="1"/>
  <c r="I1848" i="1" s="1"/>
  <c r="K1848" i="1" s="1"/>
  <c r="G1846" i="1"/>
  <c r="I1846" i="1" s="1"/>
  <c r="K1846" i="1" s="1"/>
  <c r="G1840" i="1"/>
  <c r="I1840" i="1" s="1"/>
  <c r="K1840" i="1" s="1"/>
  <c r="G1839" i="1"/>
  <c r="I1839" i="1" s="1"/>
  <c r="K1839" i="1" s="1"/>
  <c r="G1826" i="1"/>
  <c r="I1826" i="1" s="1"/>
  <c r="K1826" i="1" s="1"/>
  <c r="G1822" i="1"/>
  <c r="I1822" i="1" s="1"/>
  <c r="K1822" i="1" s="1"/>
  <c r="G1821" i="1"/>
  <c r="I1821" i="1" s="1"/>
  <c r="K1821" i="1" s="1"/>
  <c r="G1816" i="1"/>
  <c r="I1816" i="1" s="1"/>
  <c r="K1816" i="1" s="1"/>
  <c r="G1815" i="1"/>
  <c r="I1815" i="1" s="1"/>
  <c r="K1815" i="1" s="1"/>
  <c r="G1811" i="1"/>
  <c r="I1811" i="1" s="1"/>
  <c r="K1811" i="1" s="1"/>
  <c r="G1810" i="1"/>
  <c r="I1810" i="1" s="1"/>
  <c r="K1810" i="1" s="1"/>
  <c r="G1808" i="1"/>
  <c r="I1808" i="1" s="1"/>
  <c r="K1808" i="1" s="1"/>
  <c r="G1806" i="1"/>
  <c r="I1806" i="1" s="1"/>
  <c r="K1806" i="1" s="1"/>
  <c r="G1804" i="1"/>
  <c r="I1804" i="1" s="1"/>
  <c r="K1804" i="1" s="1"/>
  <c r="G1798" i="1"/>
  <c r="I1798" i="1" s="1"/>
  <c r="K1798" i="1" s="1"/>
  <c r="G1784" i="1"/>
  <c r="I1784" i="1" s="1"/>
  <c r="K1784" i="1" s="1"/>
  <c r="G1778" i="1"/>
  <c r="I1778" i="1" s="1"/>
  <c r="K1778" i="1" s="1"/>
  <c r="G1775" i="1"/>
  <c r="I1775" i="1" s="1"/>
  <c r="K1775" i="1" s="1"/>
  <c r="G1772" i="1"/>
  <c r="I1772" i="1" s="1"/>
  <c r="K1772" i="1" s="1"/>
  <c r="G1768" i="1"/>
  <c r="I1768" i="1" s="1"/>
  <c r="K1768" i="1" s="1"/>
  <c r="G1764" i="1"/>
  <c r="I1764" i="1" s="1"/>
  <c r="K1764" i="1" s="1"/>
  <c r="G1758" i="1"/>
  <c r="I1758" i="1" s="1"/>
  <c r="K1758" i="1" s="1"/>
  <c r="G1751" i="1"/>
  <c r="I1751" i="1" s="1"/>
  <c r="K1751" i="1" s="1"/>
  <c r="G1748" i="1"/>
  <c r="I1748" i="1" s="1"/>
  <c r="K1748" i="1" s="1"/>
  <c r="G1744" i="1"/>
  <c r="I1744" i="1" s="1"/>
  <c r="K1744" i="1" s="1"/>
  <c r="G1741" i="1"/>
  <c r="I1741" i="1" s="1"/>
  <c r="K1741" i="1" s="1"/>
  <c r="G1739" i="1"/>
  <c r="I1739" i="1" s="1"/>
  <c r="K1739" i="1" s="1"/>
  <c r="G1733" i="1"/>
  <c r="I1733" i="1" s="1"/>
  <c r="K1733" i="1" s="1"/>
  <c r="G1729" i="1"/>
  <c r="I1729" i="1" s="1"/>
  <c r="K1729" i="1" s="1"/>
  <c r="G1726" i="1"/>
  <c r="I1726" i="1" s="1"/>
  <c r="K1726" i="1" s="1"/>
  <c r="G1722" i="1"/>
  <c r="I1722" i="1" s="1"/>
  <c r="K1722" i="1" s="1"/>
  <c r="G1717" i="1"/>
  <c r="I1717" i="1" s="1"/>
  <c r="K1717" i="1" s="1"/>
  <c r="G1708" i="1"/>
  <c r="I1708" i="1" s="1"/>
  <c r="K1708" i="1" s="1"/>
  <c r="G1707" i="1"/>
  <c r="I1707" i="1" s="1"/>
  <c r="K1707" i="1" s="1"/>
  <c r="G1706" i="1"/>
  <c r="I1706" i="1" s="1"/>
  <c r="K1706" i="1" s="1"/>
  <c r="G1703" i="1"/>
  <c r="I1703" i="1" s="1"/>
  <c r="K1703" i="1" s="1"/>
  <c r="G1698" i="1"/>
  <c r="I1698" i="1" s="1"/>
  <c r="K1698" i="1" s="1"/>
  <c r="G1693" i="1"/>
  <c r="I1693" i="1" s="1"/>
  <c r="K1693" i="1" s="1"/>
  <c r="G1690" i="1"/>
  <c r="I1690" i="1" s="1"/>
  <c r="K1690" i="1" s="1"/>
  <c r="G1686" i="1"/>
  <c r="I1686" i="1" s="1"/>
  <c r="K1686" i="1" s="1"/>
  <c r="G1681" i="1"/>
  <c r="I1681" i="1" s="1"/>
  <c r="K1681" i="1" s="1"/>
  <c r="G1678" i="1"/>
  <c r="I1678" i="1" s="1"/>
  <c r="K1678" i="1" s="1"/>
  <c r="G1674" i="1"/>
  <c r="I1674" i="1" s="1"/>
  <c r="K1674" i="1" s="1"/>
  <c r="G1672" i="1"/>
  <c r="I1672" i="1" s="1"/>
  <c r="K1672" i="1" s="1"/>
  <c r="G1670" i="1"/>
  <c r="I1670" i="1" s="1"/>
  <c r="K1670" i="1" s="1"/>
  <c r="G1669" i="1"/>
  <c r="I1669" i="1" s="1"/>
  <c r="K1669" i="1" s="1"/>
  <c r="G1664" i="1"/>
  <c r="I1664" i="1" s="1"/>
  <c r="K1664" i="1" s="1"/>
  <c r="G1662" i="1"/>
  <c r="I1662" i="1" s="1"/>
  <c r="K1662" i="1" s="1"/>
  <c r="G1661" i="1"/>
  <c r="I1661" i="1" s="1"/>
  <c r="K1661" i="1" s="1"/>
  <c r="G1624" i="1"/>
  <c r="I1624" i="1" s="1"/>
  <c r="K1624" i="1" s="1"/>
  <c r="G1620" i="1"/>
  <c r="I1620" i="1" s="1"/>
  <c r="K1620" i="1" s="1"/>
  <c r="G1618" i="1"/>
  <c r="I1618" i="1" s="1"/>
  <c r="K1618" i="1" s="1"/>
  <c r="G1608" i="1"/>
  <c r="I1608" i="1" s="1"/>
  <c r="K1608" i="1" s="1"/>
  <c r="G1606" i="1"/>
  <c r="I1606" i="1" s="1"/>
  <c r="K1606" i="1" s="1"/>
  <c r="G1601" i="1"/>
  <c r="I1601" i="1" s="1"/>
  <c r="K1601" i="1" s="1"/>
  <c r="G1599" i="1"/>
  <c r="I1599" i="1" s="1"/>
  <c r="K1599" i="1" s="1"/>
  <c r="G1597" i="1"/>
  <c r="I1597" i="1" s="1"/>
  <c r="K1597" i="1" s="1"/>
  <c r="G1583" i="1"/>
  <c r="I1583" i="1" s="1"/>
  <c r="K1583" i="1" s="1"/>
  <c r="G1580" i="1"/>
  <c r="I1580" i="1" s="1"/>
  <c r="K1580" i="1" s="1"/>
  <c r="G1569" i="1"/>
  <c r="I1569" i="1" s="1"/>
  <c r="K1569" i="1" s="1"/>
  <c r="G1566" i="1"/>
  <c r="I1566" i="1" s="1"/>
  <c r="K1566" i="1" s="1"/>
  <c r="G1562" i="1"/>
  <c r="I1562" i="1" s="1"/>
  <c r="K1562" i="1" s="1"/>
  <c r="G1561" i="1"/>
  <c r="I1561" i="1" s="1"/>
  <c r="K1561" i="1" s="1"/>
  <c r="G1556" i="1"/>
  <c r="I1556" i="1" s="1"/>
  <c r="K1556" i="1" s="1"/>
  <c r="G1552" i="1"/>
  <c r="I1552" i="1" s="1"/>
  <c r="K1552" i="1" s="1"/>
  <c r="G1547" i="1"/>
  <c r="I1547" i="1" s="1"/>
  <c r="K1547" i="1" s="1"/>
  <c r="G1543" i="1"/>
  <c r="I1543" i="1" s="1"/>
  <c r="K1543" i="1" s="1"/>
  <c r="G1534" i="1"/>
  <c r="I1534" i="1" s="1"/>
  <c r="K1534" i="1" s="1"/>
  <c r="G1533" i="1"/>
  <c r="I1533" i="1" s="1"/>
  <c r="K1533" i="1" s="1"/>
  <c r="G1527" i="1"/>
  <c r="I1527" i="1" s="1"/>
  <c r="K1527" i="1" s="1"/>
  <c r="G1520" i="1"/>
  <c r="I1520" i="1" s="1"/>
  <c r="K1520" i="1" s="1"/>
  <c r="G1513" i="1"/>
  <c r="I1513" i="1" s="1"/>
  <c r="K1513" i="1" s="1"/>
  <c r="G1508" i="1"/>
  <c r="I1508" i="1" s="1"/>
  <c r="K1508" i="1" s="1"/>
  <c r="G1507" i="1"/>
  <c r="I1507" i="1" s="1"/>
  <c r="K1507" i="1" s="1"/>
  <c r="G1506" i="1"/>
  <c r="I1506" i="1" s="1"/>
  <c r="K1506" i="1" s="1"/>
  <c r="G1505" i="1"/>
  <c r="I1505" i="1" s="1"/>
  <c r="K1505" i="1" s="1"/>
  <c r="G1494" i="1"/>
  <c r="I1494" i="1" s="1"/>
  <c r="K1494" i="1" s="1"/>
  <c r="G1493" i="1"/>
  <c r="I1493" i="1" s="1"/>
  <c r="K1493" i="1" s="1"/>
  <c r="G1487" i="1"/>
  <c r="I1487" i="1" s="1"/>
  <c r="K1487" i="1" s="1"/>
  <c r="G1482" i="1"/>
  <c r="I1482" i="1" s="1"/>
  <c r="K1482" i="1" s="1"/>
  <c r="G1479" i="1"/>
  <c r="I1479" i="1" s="1"/>
  <c r="K1479" i="1" s="1"/>
  <c r="G1478" i="1"/>
  <c r="I1478" i="1" s="1"/>
  <c r="K1478" i="1" s="1"/>
  <c r="G1475" i="1"/>
  <c r="I1475" i="1" s="1"/>
  <c r="K1475" i="1" s="1"/>
  <c r="G1474" i="1"/>
  <c r="I1474" i="1" s="1"/>
  <c r="K1474" i="1" s="1"/>
  <c r="G1465" i="1"/>
  <c r="I1465" i="1" s="1"/>
  <c r="K1465" i="1" s="1"/>
  <c r="G1460" i="1"/>
  <c r="I1460" i="1" s="1"/>
  <c r="K1460" i="1" s="1"/>
  <c r="G1456" i="1"/>
  <c r="I1456" i="1" s="1"/>
  <c r="K1456" i="1" s="1"/>
  <c r="G1455" i="1"/>
  <c r="I1455" i="1" s="1"/>
  <c r="K1455" i="1" s="1"/>
  <c r="G1454" i="1"/>
  <c r="I1454" i="1" s="1"/>
  <c r="K1454" i="1" s="1"/>
  <c r="G1448" i="1"/>
  <c r="I1448" i="1" s="1"/>
  <c r="K1448" i="1" s="1"/>
  <c r="G1425" i="1"/>
  <c r="I1425" i="1" s="1"/>
  <c r="K1425" i="1" s="1"/>
  <c r="G1419" i="1"/>
  <c r="I1419" i="1" s="1"/>
  <c r="K1419" i="1" s="1"/>
  <c r="G1415" i="1"/>
  <c r="I1415" i="1" s="1"/>
  <c r="K1415" i="1" s="1"/>
  <c r="G1414" i="1"/>
  <c r="I1414" i="1" s="1"/>
  <c r="K1414" i="1" s="1"/>
  <c r="G1412" i="1"/>
  <c r="I1412" i="1" s="1"/>
  <c r="K1412" i="1" s="1"/>
  <c r="G1410" i="1"/>
  <c r="I1410" i="1" s="1"/>
  <c r="K1410" i="1" s="1"/>
  <c r="G1364" i="1"/>
  <c r="I1364" i="1" s="1"/>
  <c r="K1364" i="1" s="1"/>
  <c r="G1363" i="1"/>
  <c r="I1363" i="1" s="1"/>
  <c r="K1363" i="1" s="1"/>
  <c r="I1354" i="1"/>
  <c r="K1354" i="1" s="1"/>
  <c r="I1352" i="1"/>
  <c r="K1352" i="1" s="1"/>
  <c r="G1350" i="1"/>
  <c r="I1350" i="1" s="1"/>
  <c r="K1350" i="1" s="1"/>
  <c r="G1349" i="1"/>
  <c r="I1349" i="1" s="1"/>
  <c r="K1349" i="1" s="1"/>
  <c r="G1344" i="1"/>
  <c r="I1344" i="1" s="1"/>
  <c r="K1344" i="1" s="1"/>
  <c r="G1337" i="1"/>
  <c r="I1337" i="1" s="1"/>
  <c r="K1337" i="1" s="1"/>
  <c r="G1334" i="1"/>
  <c r="I1334" i="1" s="1"/>
  <c r="K1334" i="1" s="1"/>
  <c r="G1333" i="1"/>
  <c r="I1333" i="1" s="1"/>
  <c r="K1333" i="1" s="1"/>
  <c r="G1330" i="1"/>
  <c r="I1330" i="1" s="1"/>
  <c r="K1330" i="1" s="1"/>
  <c r="G1328" i="1"/>
  <c r="I1328" i="1" s="1"/>
  <c r="K1328" i="1" s="1"/>
  <c r="G1327" i="1"/>
  <c r="I1327" i="1" s="1"/>
  <c r="K1327" i="1" s="1"/>
  <c r="G1325" i="1"/>
  <c r="I1325" i="1" s="1"/>
  <c r="K1325" i="1" s="1"/>
  <c r="G1324" i="1"/>
  <c r="I1324" i="1" s="1"/>
  <c r="K1324" i="1" s="1"/>
  <c r="G1320" i="1"/>
  <c r="I1320" i="1" s="1"/>
  <c r="K1320" i="1" s="1"/>
  <c r="G1318" i="1"/>
  <c r="I1318" i="1" s="1"/>
  <c r="K1318" i="1" s="1"/>
  <c r="G1313" i="1"/>
  <c r="I1313" i="1" s="1"/>
  <c r="K1313" i="1" s="1"/>
  <c r="G1304" i="1"/>
  <c r="I1304" i="1" s="1"/>
  <c r="K1304" i="1" s="1"/>
  <c r="G1303" i="1"/>
  <c r="I1303" i="1" s="1"/>
  <c r="K1303" i="1" s="1"/>
  <c r="G1301" i="1"/>
  <c r="I1301" i="1" s="1"/>
  <c r="K1301" i="1" s="1"/>
  <c r="G1294" i="1"/>
  <c r="I1294" i="1" s="1"/>
  <c r="K1294" i="1" s="1"/>
  <c r="G1287" i="1"/>
  <c r="I1287" i="1" s="1"/>
  <c r="K1287" i="1" s="1"/>
  <c r="G1286" i="1"/>
  <c r="I1286" i="1" s="1"/>
  <c r="K1286" i="1" s="1"/>
  <c r="G1283" i="1"/>
  <c r="I1283" i="1" s="1"/>
  <c r="K1283" i="1" s="1"/>
  <c r="G1276" i="1"/>
  <c r="I1276" i="1" s="1"/>
  <c r="K1276" i="1" s="1"/>
  <c r="G1275" i="1"/>
  <c r="I1275" i="1" s="1"/>
  <c r="K1275" i="1" s="1"/>
  <c r="G1245" i="1"/>
  <c r="I1245" i="1" s="1"/>
  <c r="K1245" i="1" s="1"/>
  <c r="G1244" i="1"/>
  <c r="I1244" i="1" s="1"/>
  <c r="K1244" i="1" s="1"/>
  <c r="G1241" i="1"/>
  <c r="I1241" i="1" s="1"/>
  <c r="K1241" i="1" s="1"/>
  <c r="G1239" i="1"/>
  <c r="I1239" i="1" s="1"/>
  <c r="K1239" i="1" s="1"/>
  <c r="G1237" i="1"/>
  <c r="I1237" i="1" s="1"/>
  <c r="K1237" i="1" s="1"/>
  <c r="G1230" i="1"/>
  <c r="I1230" i="1" s="1"/>
  <c r="K1230" i="1" s="1"/>
  <c r="G1228" i="1"/>
  <c r="I1228" i="1" s="1"/>
  <c r="K1228" i="1" s="1"/>
  <c r="G1224" i="1"/>
  <c r="I1224" i="1" s="1"/>
  <c r="K1224" i="1" s="1"/>
  <c r="G1223" i="1"/>
  <c r="I1223" i="1" s="1"/>
  <c r="K1223" i="1" s="1"/>
  <c r="G1220" i="1"/>
  <c r="I1220" i="1" s="1"/>
  <c r="K1220" i="1" s="1"/>
  <c r="G1216" i="1"/>
  <c r="I1216" i="1" s="1"/>
  <c r="K1216" i="1" s="1"/>
  <c r="G1212" i="1"/>
  <c r="I1212" i="1" s="1"/>
  <c r="K1212" i="1" s="1"/>
  <c r="G1209" i="1"/>
  <c r="I1209" i="1" s="1"/>
  <c r="K1209" i="1" s="1"/>
  <c r="G1208" i="1"/>
  <c r="I1208" i="1" s="1"/>
  <c r="K1208" i="1" s="1"/>
  <c r="G1199" i="1"/>
  <c r="I1199" i="1" s="1"/>
  <c r="K1199" i="1" s="1"/>
  <c r="G1197" i="1"/>
  <c r="I1197" i="1" s="1"/>
  <c r="K1197" i="1" s="1"/>
  <c r="G1187" i="1"/>
  <c r="I1187" i="1" s="1"/>
  <c r="K1187" i="1" s="1"/>
  <c r="G1186" i="1"/>
  <c r="I1186" i="1" s="1"/>
  <c r="K1186" i="1" s="1"/>
  <c r="G1185" i="1"/>
  <c r="I1185" i="1" s="1"/>
  <c r="K1185" i="1" s="1"/>
  <c r="G1171" i="1"/>
  <c r="I1171" i="1" s="1"/>
  <c r="K1171" i="1" s="1"/>
  <c r="G1169" i="1"/>
  <c r="I1169" i="1" s="1"/>
  <c r="K1169" i="1" s="1"/>
  <c r="G1152" i="1"/>
  <c r="I1152" i="1" s="1"/>
  <c r="K1152" i="1" s="1"/>
  <c r="G1146" i="1"/>
  <c r="I1146" i="1" s="1"/>
  <c r="K1146" i="1" s="1"/>
  <c r="G1139" i="1"/>
  <c r="I1139" i="1" s="1"/>
  <c r="K1139" i="1" s="1"/>
  <c r="G1136" i="1"/>
  <c r="I1136" i="1" s="1"/>
  <c r="K1136" i="1" s="1"/>
  <c r="G1135" i="1"/>
  <c r="I1135" i="1" s="1"/>
  <c r="K1135" i="1" s="1"/>
  <c r="G1133" i="1"/>
  <c r="I1133" i="1" s="1"/>
  <c r="K1133" i="1" s="1"/>
  <c r="G1132" i="1"/>
  <c r="I1132" i="1" s="1"/>
  <c r="K1132" i="1" s="1"/>
  <c r="G1128" i="1"/>
  <c r="I1128" i="1" s="1"/>
  <c r="K1128" i="1" s="1"/>
  <c r="G1126" i="1"/>
  <c r="I1126" i="1" s="1"/>
  <c r="K1126" i="1" s="1"/>
  <c r="G986" i="1"/>
  <c r="I986" i="1" s="1"/>
  <c r="K986" i="1" s="1"/>
  <c r="G984" i="1"/>
  <c r="I984" i="1" s="1"/>
  <c r="K984" i="1" s="1"/>
  <c r="G980" i="1"/>
  <c r="I980" i="1" s="1"/>
  <c r="K980" i="1" s="1"/>
  <c r="G971" i="1"/>
  <c r="I971" i="1" s="1"/>
  <c r="K971" i="1" s="1"/>
  <c r="G965" i="1"/>
  <c r="I965" i="1" s="1"/>
  <c r="K965" i="1" s="1"/>
  <c r="G959" i="1"/>
  <c r="I959" i="1" s="1"/>
  <c r="K959" i="1" s="1"/>
  <c r="G950" i="1"/>
  <c r="I950" i="1" s="1"/>
  <c r="K950" i="1" s="1"/>
  <c r="G944" i="1"/>
  <c r="I944" i="1" s="1"/>
  <c r="K944" i="1" s="1"/>
  <c r="G943" i="1"/>
  <c r="I943" i="1" s="1"/>
  <c r="K943" i="1" s="1"/>
  <c r="G941" i="1"/>
  <c r="I941" i="1" s="1"/>
  <c r="K941" i="1" s="1"/>
  <c r="G940" i="1"/>
  <c r="I940" i="1" s="1"/>
  <c r="K940" i="1" s="1"/>
  <c r="G935" i="1"/>
  <c r="I935" i="1" s="1"/>
  <c r="K935" i="1" s="1"/>
  <c r="G930" i="1"/>
  <c r="I930" i="1" s="1"/>
  <c r="K930" i="1" s="1"/>
  <c r="G907" i="1"/>
  <c r="I907" i="1" s="1"/>
  <c r="K907" i="1" s="1"/>
  <c r="G897" i="1"/>
  <c r="I897" i="1" s="1"/>
  <c r="K897" i="1" s="1"/>
  <c r="G896" i="1"/>
  <c r="I896" i="1" s="1"/>
  <c r="K896" i="1" s="1"/>
  <c r="G890" i="1"/>
  <c r="I890" i="1" s="1"/>
  <c r="K890" i="1" s="1"/>
  <c r="G883" i="1"/>
  <c r="I883" i="1" s="1"/>
  <c r="K883" i="1" s="1"/>
  <c r="G880" i="1"/>
  <c r="I880" i="1" s="1"/>
  <c r="K880" i="1" s="1"/>
  <c r="G866" i="1"/>
  <c r="I866" i="1" s="1"/>
  <c r="K866" i="1" s="1"/>
  <c r="G864" i="1"/>
  <c r="I864" i="1" s="1"/>
  <c r="K864" i="1" s="1"/>
  <c r="G855" i="1"/>
  <c r="I855" i="1" s="1"/>
  <c r="K855" i="1" s="1"/>
  <c r="G854" i="1"/>
  <c r="I854" i="1" s="1"/>
  <c r="K854" i="1" s="1"/>
  <c r="G853" i="1"/>
  <c r="I853" i="1" s="1"/>
  <c r="K853" i="1" s="1"/>
  <c r="G852" i="1"/>
  <c r="I852" i="1" s="1"/>
  <c r="K852" i="1" s="1"/>
  <c r="G844" i="1"/>
  <c r="I844" i="1" s="1"/>
  <c r="K844" i="1" s="1"/>
  <c r="G838" i="1"/>
  <c r="I838" i="1" s="1"/>
  <c r="K838" i="1" s="1"/>
  <c r="G837" i="1"/>
  <c r="I837" i="1" s="1"/>
  <c r="K837" i="1" s="1"/>
  <c r="G836" i="1"/>
  <c r="I836" i="1" s="1"/>
  <c r="K836" i="1" s="1"/>
  <c r="G835" i="1"/>
  <c r="I835" i="1" s="1"/>
  <c r="K835" i="1" s="1"/>
  <c r="G834" i="1"/>
  <c r="I834" i="1" s="1"/>
  <c r="K834" i="1" s="1"/>
  <c r="G833" i="1"/>
  <c r="I833" i="1" s="1"/>
  <c r="K833" i="1" s="1"/>
  <c r="G832" i="1"/>
  <c r="I832" i="1" s="1"/>
  <c r="K832" i="1" s="1"/>
  <c r="G824" i="1"/>
  <c r="I824" i="1" s="1"/>
  <c r="K824" i="1" s="1"/>
  <c r="G823" i="1"/>
  <c r="I823" i="1" s="1"/>
  <c r="K823" i="1" s="1"/>
  <c r="G821" i="1"/>
  <c r="I821" i="1" s="1"/>
  <c r="K821" i="1" s="1"/>
  <c r="G811" i="1"/>
  <c r="I811" i="1" s="1"/>
  <c r="K811" i="1" s="1"/>
  <c r="G808" i="1"/>
  <c r="I808" i="1" s="1"/>
  <c r="K808" i="1" s="1"/>
  <c r="G805" i="1"/>
  <c r="I805" i="1" s="1"/>
  <c r="K805" i="1" s="1"/>
  <c r="G802" i="1"/>
  <c r="I802" i="1" s="1"/>
  <c r="K802" i="1" s="1"/>
  <c r="G791" i="1"/>
  <c r="I791" i="1" s="1"/>
  <c r="K791" i="1" s="1"/>
  <c r="G785" i="1"/>
  <c r="I785" i="1" s="1"/>
  <c r="K785" i="1" s="1"/>
  <c r="G783" i="1"/>
  <c r="I783" i="1" s="1"/>
  <c r="K783" i="1" s="1"/>
  <c r="G348" i="1"/>
  <c r="I348" i="1" s="1"/>
  <c r="K348" i="1" s="1"/>
  <c r="G340" i="1"/>
  <c r="I340" i="1" s="1"/>
  <c r="K340" i="1" s="1"/>
  <c r="G337" i="1"/>
  <c r="I337" i="1" s="1"/>
  <c r="K337" i="1" s="1"/>
  <c r="G331" i="1"/>
  <c r="I331" i="1" s="1"/>
  <c r="K331" i="1" s="1"/>
  <c r="G330" i="1"/>
  <c r="I330" i="1" s="1"/>
  <c r="K330" i="1" s="1"/>
  <c r="G309" i="1"/>
  <c r="I309" i="1" s="1"/>
  <c r="K309" i="1" s="1"/>
  <c r="G308" i="1"/>
  <c r="I308" i="1" s="1"/>
  <c r="K308" i="1" s="1"/>
  <c r="G306" i="1"/>
  <c r="I306" i="1" s="1"/>
  <c r="K306" i="1" s="1"/>
  <c r="G305" i="1"/>
  <c r="I305" i="1" s="1"/>
  <c r="K305" i="1" s="1"/>
  <c r="G298" i="1"/>
  <c r="I298" i="1" s="1"/>
  <c r="K298" i="1" s="1"/>
  <c r="G295" i="1"/>
  <c r="I295" i="1" s="1"/>
  <c r="K295" i="1" s="1"/>
  <c r="G294" i="1"/>
  <c r="I294" i="1" s="1"/>
  <c r="K294" i="1" s="1"/>
  <c r="G287" i="1"/>
  <c r="I287" i="1" s="1"/>
  <c r="K287" i="1" s="1"/>
  <c r="G283" i="1"/>
  <c r="I283" i="1" s="1"/>
  <c r="K283" i="1" s="1"/>
  <c r="G282" i="1"/>
  <c r="I282" i="1" s="1"/>
  <c r="K282" i="1" s="1"/>
  <c r="G271" i="1"/>
  <c r="I271" i="1" s="1"/>
  <c r="K271" i="1" s="1"/>
  <c r="G269" i="1"/>
  <c r="I269" i="1" s="1"/>
  <c r="K269" i="1" s="1"/>
  <c r="G268" i="1"/>
  <c r="I268" i="1" s="1"/>
  <c r="K268" i="1" s="1"/>
  <c r="G260" i="1"/>
  <c r="I260" i="1" s="1"/>
  <c r="K260" i="1" s="1"/>
  <c r="G252" i="1"/>
  <c r="I252" i="1" s="1"/>
  <c r="K252" i="1" s="1"/>
  <c r="G236" i="1"/>
  <c r="I236" i="1" s="1"/>
  <c r="K236" i="1" s="1"/>
  <c r="G235" i="1"/>
  <c r="I235" i="1" s="1"/>
  <c r="K235" i="1" s="1"/>
  <c r="G233" i="1"/>
  <c r="I233" i="1" s="1"/>
  <c r="K233" i="1" s="1"/>
  <c r="G229" i="1"/>
  <c r="I229" i="1" s="1"/>
  <c r="K229" i="1" s="1"/>
  <c r="G219" i="1"/>
  <c r="I219" i="1" s="1"/>
  <c r="K219" i="1" s="1"/>
  <c r="G216" i="1"/>
  <c r="I216" i="1" s="1"/>
  <c r="K216" i="1" s="1"/>
  <c r="G202" i="1"/>
  <c r="I202" i="1" s="1"/>
  <c r="K202" i="1" s="1"/>
  <c r="G188" i="1"/>
  <c r="I188" i="1" s="1"/>
  <c r="K188" i="1" s="1"/>
  <c r="G187" i="1"/>
  <c r="I187" i="1" s="1"/>
  <c r="K187" i="1" s="1"/>
  <c r="G186" i="1"/>
  <c r="I186" i="1" s="1"/>
  <c r="K186" i="1" s="1"/>
  <c r="G185" i="1"/>
  <c r="I185" i="1" s="1"/>
  <c r="K185" i="1" s="1"/>
  <c r="G176" i="1"/>
  <c r="I176" i="1" s="1"/>
  <c r="K176" i="1" s="1"/>
  <c r="G174" i="1"/>
  <c r="I174" i="1" s="1"/>
  <c r="K174" i="1" s="1"/>
  <c r="G170" i="1"/>
  <c r="I170" i="1" s="1"/>
  <c r="K170" i="1" s="1"/>
  <c r="G169" i="1"/>
  <c r="I169" i="1" s="1"/>
  <c r="K169" i="1" s="1"/>
  <c r="G168" i="1"/>
  <c r="I168" i="1" s="1"/>
  <c r="K168" i="1" s="1"/>
  <c r="G167" i="1"/>
  <c r="I167" i="1" s="1"/>
  <c r="K167" i="1" s="1"/>
  <c r="G154" i="1"/>
  <c r="I154" i="1" s="1"/>
  <c r="K154" i="1" s="1"/>
  <c r="G146" i="1"/>
  <c r="I146" i="1" s="1"/>
  <c r="K146" i="1" s="1"/>
  <c r="G141" i="1"/>
  <c r="I141" i="1" s="1"/>
  <c r="K141" i="1" s="1"/>
  <c r="G140" i="1"/>
  <c r="I140" i="1" s="1"/>
  <c r="K140" i="1" s="1"/>
  <c r="G139" i="1"/>
  <c r="I139" i="1" s="1"/>
  <c r="K139" i="1" s="1"/>
  <c r="G124" i="1"/>
  <c r="I124" i="1" s="1"/>
  <c r="K124" i="1" s="1"/>
  <c r="G123" i="1"/>
  <c r="I123" i="1" s="1"/>
  <c r="K123" i="1" s="1"/>
  <c r="G122" i="1"/>
  <c r="I122" i="1" s="1"/>
  <c r="K122" i="1" s="1"/>
  <c r="G113" i="1"/>
  <c r="I113" i="1" s="1"/>
  <c r="K113" i="1" s="1"/>
  <c r="G108" i="1"/>
  <c r="I108" i="1" s="1"/>
  <c r="K108" i="1" s="1"/>
  <c r="G107" i="1"/>
  <c r="I107" i="1" s="1"/>
  <c r="K107" i="1" s="1"/>
  <c r="G106" i="1"/>
  <c r="I106" i="1" s="1"/>
  <c r="K106" i="1" s="1"/>
  <c r="G105" i="1"/>
  <c r="I105" i="1" s="1"/>
  <c r="K105" i="1" s="1"/>
  <c r="G102" i="1"/>
  <c r="I102" i="1" s="1"/>
  <c r="K102" i="1" s="1"/>
  <c r="G89" i="1"/>
  <c r="I89" i="1" s="1"/>
  <c r="K89" i="1" s="1"/>
  <c r="G88" i="1"/>
  <c r="I88" i="1" s="1"/>
  <c r="K88" i="1" s="1"/>
  <c r="G87" i="1"/>
  <c r="I87" i="1" s="1"/>
  <c r="K87" i="1" s="1"/>
  <c r="G84" i="1"/>
  <c r="I84" i="1" s="1"/>
  <c r="K84" i="1" s="1"/>
  <c r="G80" i="1"/>
  <c r="I80" i="1" s="1"/>
  <c r="K80" i="1" s="1"/>
  <c r="G76" i="1"/>
  <c r="I76" i="1" s="1"/>
  <c r="K76" i="1" s="1"/>
  <c r="G73" i="1"/>
  <c r="I73" i="1" s="1"/>
  <c r="K73" i="1" s="1"/>
  <c r="G72" i="1"/>
  <c r="I72" i="1" s="1"/>
  <c r="K72" i="1" s="1"/>
  <c r="G71" i="1"/>
  <c r="I71" i="1" s="1"/>
  <c r="K71" i="1" s="1"/>
  <c r="G70" i="1"/>
  <c r="I70" i="1" s="1"/>
  <c r="K70" i="1" s="1"/>
  <c r="G69" i="1"/>
  <c r="I69" i="1" s="1"/>
  <c r="K69" i="1" s="1"/>
  <c r="G55" i="1"/>
  <c r="I55" i="1" s="1"/>
  <c r="K55" i="1" s="1"/>
  <c r="G54" i="1"/>
  <c r="I54" i="1" s="1"/>
  <c r="K54" i="1" s="1"/>
  <c r="G48" i="1"/>
  <c r="I48" i="1" s="1"/>
  <c r="K48" i="1" s="1"/>
  <c r="G37" i="1"/>
  <c r="I37" i="1" s="1"/>
  <c r="K37" i="1" s="1"/>
  <c r="G23" i="1"/>
  <c r="I23" i="1" s="1"/>
  <c r="K23" i="1" s="1"/>
  <c r="F1866" i="1"/>
  <c r="F1865" i="1" s="1"/>
  <c r="F1864" i="1" s="1"/>
  <c r="F1863" i="1" s="1"/>
  <c r="F1862" i="1" s="1"/>
  <c r="F1856" i="1"/>
  <c r="F1854" i="1"/>
  <c r="F1851" i="1"/>
  <c r="F1847" i="1"/>
  <c r="F1845" i="1"/>
  <c r="F1838" i="1"/>
  <c r="F1825" i="1"/>
  <c r="F1824" i="1" s="1"/>
  <c r="F1823" i="1" s="1"/>
  <c r="F1820" i="1"/>
  <c r="F1819" i="1" s="1"/>
  <c r="F1818" i="1" s="1"/>
  <c r="F1814" i="1"/>
  <c r="F1813" i="1" s="1"/>
  <c r="F1812" i="1" s="1"/>
  <c r="F1809" i="1"/>
  <c r="F1807" i="1"/>
  <c r="F1805" i="1"/>
  <c r="F1803" i="1"/>
  <c r="F1797" i="1"/>
  <c r="F1796" i="1" s="1"/>
  <c r="F1795" i="1" s="1"/>
  <c r="F1794" i="1" s="1"/>
  <c r="F1782" i="1"/>
  <c r="F1777" i="1"/>
  <c r="F1774" i="1"/>
  <c r="F1773" i="1" s="1"/>
  <c r="F1771" i="1"/>
  <c r="F1770" i="1" s="1"/>
  <c r="F1767" i="1"/>
  <c r="F1766" i="1" s="1"/>
  <c r="F1765" i="1" s="1"/>
  <c r="F1763" i="1"/>
  <c r="F1762" i="1" s="1"/>
  <c r="F1761" i="1" s="1"/>
  <c r="F1757" i="1"/>
  <c r="F1756" i="1" s="1"/>
  <c r="F1755" i="1" s="1"/>
  <c r="F1754" i="1" s="1"/>
  <c r="F1753" i="1" s="1"/>
  <c r="F1750" i="1"/>
  <c r="F1749" i="1" s="1"/>
  <c r="F1747" i="1"/>
  <c r="F1746" i="1" s="1"/>
  <c r="F1743" i="1"/>
  <c r="F1742" i="1" s="1"/>
  <c r="F1740" i="1"/>
  <c r="F1738" i="1"/>
  <c r="F1732" i="1"/>
  <c r="F1731" i="1" s="1"/>
  <c r="F1730" i="1" s="1"/>
  <c r="F1728" i="1"/>
  <c r="F1727" i="1" s="1"/>
  <c r="F1725" i="1"/>
  <c r="F1724" i="1" s="1"/>
  <c r="F1721" i="1"/>
  <c r="F1720" i="1" s="1"/>
  <c r="F1719" i="1" s="1"/>
  <c r="F1715" i="1"/>
  <c r="F1705" i="1"/>
  <c r="F1702" i="1"/>
  <c r="F1701" i="1" s="1"/>
  <c r="F1697" i="1"/>
  <c r="F1696" i="1" s="1"/>
  <c r="F1695" i="1" s="1"/>
  <c r="F1694" i="1" s="1"/>
  <c r="F1692" i="1"/>
  <c r="F1691" i="1" s="1"/>
  <c r="F1689" i="1"/>
  <c r="F1688" i="1" s="1"/>
  <c r="F1685" i="1"/>
  <c r="F1684" i="1" s="1"/>
  <c r="F1683" i="1" s="1"/>
  <c r="F1682" i="1" s="1"/>
  <c r="F1680" i="1"/>
  <c r="F1679" i="1" s="1"/>
  <c r="F1677" i="1"/>
  <c r="F1676" i="1" s="1"/>
  <c r="F1673" i="1"/>
  <c r="F1671" i="1"/>
  <c r="F1668" i="1"/>
  <c r="F1659" i="1"/>
  <c r="F1623" i="1"/>
  <c r="F1622" i="1" s="1"/>
  <c r="F1619" i="1"/>
  <c r="F1617" i="1"/>
  <c r="F1607" i="1"/>
  <c r="F1605" i="1"/>
  <c r="F1602" i="1"/>
  <c r="F1600" i="1"/>
  <c r="F1598" i="1"/>
  <c r="F1596" i="1"/>
  <c r="F1581" i="1"/>
  <c r="F1579" i="1"/>
  <c r="F1568" i="1"/>
  <c r="F1567" i="1" s="1"/>
  <c r="F1565" i="1"/>
  <c r="F1564" i="1" s="1"/>
  <c r="F1560" i="1"/>
  <c r="F1559" i="1" s="1"/>
  <c r="F1558" i="1" s="1"/>
  <c r="F1557" i="1" s="1"/>
  <c r="F1555" i="1"/>
  <c r="F1554" i="1" s="1"/>
  <c r="F1553" i="1" s="1"/>
  <c r="F1551" i="1"/>
  <c r="F1550" i="1" s="1"/>
  <c r="F1549" i="1" s="1"/>
  <c r="F1548" i="1" s="1"/>
  <c r="F1545" i="1"/>
  <c r="F1544" i="1" s="1"/>
  <c r="F1542" i="1"/>
  <c r="F1541" i="1" s="1"/>
  <c r="F1532" i="1"/>
  <c r="F1526" i="1"/>
  <c r="F1519" i="1"/>
  <c r="F1514" i="1" s="1"/>
  <c r="F1512" i="1"/>
  <c r="F1504" i="1"/>
  <c r="F1491" i="1"/>
  <c r="F1488" i="1" s="1"/>
  <c r="F1485" i="1"/>
  <c r="F1484" i="1" s="1"/>
  <c r="F1481" i="1"/>
  <c r="F1480" i="1" s="1"/>
  <c r="F1477" i="1"/>
  <c r="F1473" i="1"/>
  <c r="F1464" i="1"/>
  <c r="F1461" i="1" s="1"/>
  <c r="F1459" i="1"/>
  <c r="F1458" i="1" s="1"/>
  <c r="F1453" i="1"/>
  <c r="F1452" i="1" s="1"/>
  <c r="F1451" i="1" s="1"/>
  <c r="F1450" i="1" s="1"/>
  <c r="F1447" i="1"/>
  <c r="F1446" i="1" s="1"/>
  <c r="F1445" i="1" s="1"/>
  <c r="F1444" i="1" s="1"/>
  <c r="F1437" i="1" s="1"/>
  <c r="F1424" i="1"/>
  <c r="F1421" i="1" s="1"/>
  <c r="F1420" i="1" s="1"/>
  <c r="F1418" i="1"/>
  <c r="F1417" i="1" s="1"/>
  <c r="F1416" i="1" s="1"/>
  <c r="F1413" i="1"/>
  <c r="F1411" i="1"/>
  <c r="F1409" i="1"/>
  <c r="F1362" i="1"/>
  <c r="F1351" i="1"/>
  <c r="F1348" i="1"/>
  <c r="F1343" i="1"/>
  <c r="F1342" i="1" s="1"/>
  <c r="F1336" i="1"/>
  <c r="F1335" i="1" s="1"/>
  <c r="F1332" i="1"/>
  <c r="F1329" i="1"/>
  <c r="F1326" i="1"/>
  <c r="F1323" i="1"/>
  <c r="F1319" i="1"/>
  <c r="F1316" i="1"/>
  <c r="F1302" i="1"/>
  <c r="F1300" i="1"/>
  <c r="F1293" i="1"/>
  <c r="F1292" i="1" s="1"/>
  <c r="F1291" i="1" s="1"/>
  <c r="F1285" i="1"/>
  <c r="F1284" i="1" s="1"/>
  <c r="F1280" i="1"/>
  <c r="F1274" i="1"/>
  <c r="F1243" i="1"/>
  <c r="F1240" i="1"/>
  <c r="F1238" i="1"/>
  <c r="F1236" i="1"/>
  <c r="F1229" i="1"/>
  <c r="F1226" i="1"/>
  <c r="F1222" i="1"/>
  <c r="F1219" i="1"/>
  <c r="F1215" i="1"/>
  <c r="F1214" i="1" s="1"/>
  <c r="F1213" i="1" s="1"/>
  <c r="F1210" i="1"/>
  <c r="F1207" i="1"/>
  <c r="F1198" i="1"/>
  <c r="F1196" i="1"/>
  <c r="F1184" i="1"/>
  <c r="F1183" i="1" s="1"/>
  <c r="F1182" i="1" s="1"/>
  <c r="F1181" i="1" s="1"/>
  <c r="F1180" i="1" s="1"/>
  <c r="F1170" i="1"/>
  <c r="F1168" i="1"/>
  <c r="F1151" i="1"/>
  <c r="F1145" i="1"/>
  <c r="F1138" i="1"/>
  <c r="F1134" i="1"/>
  <c r="F1131" i="1"/>
  <c r="F1129" i="1"/>
  <c r="F1127" i="1"/>
  <c r="F1125" i="1"/>
  <c r="F985" i="1"/>
  <c r="F983" i="1"/>
  <c r="F979" i="1"/>
  <c r="F978" i="1" s="1"/>
  <c r="F977" i="1" s="1"/>
  <c r="F970" i="1"/>
  <c r="F967" i="1" s="1"/>
  <c r="F966" i="1" s="1"/>
  <c r="F963" i="1"/>
  <c r="F960" i="1" s="1"/>
  <c r="F957" i="1"/>
  <c r="F954" i="1" s="1"/>
  <c r="F949" i="1"/>
  <c r="F942" i="1"/>
  <c r="F939" i="1"/>
  <c r="F934" i="1"/>
  <c r="F929" i="1"/>
  <c r="F906" i="1"/>
  <c r="F903" i="1" s="1"/>
  <c r="F895" i="1"/>
  <c r="F894" i="1" s="1"/>
  <c r="F889" i="1"/>
  <c r="F888" i="1" s="1"/>
  <c r="F882" i="1"/>
  <c r="F881" i="1" s="1"/>
  <c r="F879" i="1"/>
  <c r="F878" i="1" s="1"/>
  <c r="F874" i="1"/>
  <c r="F873" i="1" s="1"/>
  <c r="F872" i="1" s="1"/>
  <c r="F863" i="1"/>
  <c r="F856" i="1" s="1"/>
  <c r="F851" i="1"/>
  <c r="F846" i="1" s="1"/>
  <c r="F843" i="1"/>
  <c r="F831" i="1"/>
  <c r="F822" i="1"/>
  <c r="F820" i="1"/>
  <c r="F810" i="1"/>
  <c r="F809" i="1" s="1"/>
  <c r="F807" i="1"/>
  <c r="F806" i="1" s="1"/>
  <c r="F804" i="1"/>
  <c r="F803" i="1" s="1"/>
  <c r="F801" i="1"/>
  <c r="F800" i="1" s="1"/>
  <c r="F794" i="1"/>
  <c r="F792" i="1"/>
  <c r="F790" i="1"/>
  <c r="F784" i="1"/>
  <c r="F782" i="1"/>
  <c r="F347" i="1"/>
  <c r="F346" i="1" s="1"/>
  <c r="F345" i="1" s="1"/>
  <c r="F344" i="1" s="1"/>
  <c r="F343" i="1" s="1"/>
  <c r="F339" i="1"/>
  <c r="F338" i="1" s="1"/>
  <c r="F336" i="1"/>
  <c r="F335" i="1" s="1"/>
  <c r="F329" i="1"/>
  <c r="F326" i="1" s="1"/>
  <c r="F325" i="1" s="1"/>
  <c r="F303" i="1"/>
  <c r="F297" i="1"/>
  <c r="F292" i="1"/>
  <c r="F291" i="1" s="1"/>
  <c r="F286" i="1"/>
  <c r="F285" i="1" s="1"/>
  <c r="F284" i="1" s="1"/>
  <c r="F281" i="1"/>
  <c r="F280" i="1" s="1"/>
  <c r="F279" i="1" s="1"/>
  <c r="F278" i="1" s="1"/>
  <c r="F266" i="1"/>
  <c r="F265" i="1" s="1"/>
  <c r="F264" i="1" s="1"/>
  <c r="F263" i="1" s="1"/>
  <c r="F259" i="1"/>
  <c r="F251" i="1"/>
  <c r="F250" i="1" s="1"/>
  <c r="F249" i="1" s="1"/>
  <c r="F247" i="1"/>
  <c r="F234" i="1"/>
  <c r="F231" i="1"/>
  <c r="F227" i="1"/>
  <c r="F220" i="1" s="1"/>
  <c r="F218" i="1"/>
  <c r="F217" i="1" s="1"/>
  <c r="F215" i="1"/>
  <c r="F214" i="1" s="1"/>
  <c r="F201" i="1"/>
  <c r="F194" i="1" s="1"/>
  <c r="F179" i="1"/>
  <c r="F175" i="1"/>
  <c r="F173" i="1"/>
  <c r="F165" i="1"/>
  <c r="F158" i="1" s="1"/>
  <c r="F153" i="1"/>
  <c r="F150" i="1" s="1"/>
  <c r="F149" i="1" s="1"/>
  <c r="F148" i="1" s="1"/>
  <c r="F145" i="1"/>
  <c r="F144" i="1" s="1"/>
  <c r="F143" i="1" s="1"/>
  <c r="F142" i="1" s="1"/>
  <c r="F137" i="1"/>
  <c r="F130" i="1" s="1"/>
  <c r="F116" i="1"/>
  <c r="F115" i="1" s="1"/>
  <c r="F112" i="1"/>
  <c r="F111" i="1" s="1"/>
  <c r="F110" i="1" s="1"/>
  <c r="F104" i="1"/>
  <c r="F103" i="1" s="1"/>
  <c r="F101" i="1"/>
  <c r="F53" i="1"/>
  <c r="F52" i="1" s="1"/>
  <c r="F51" i="1" s="1"/>
  <c r="F46" i="1"/>
  <c r="F45" i="1" s="1"/>
  <c r="F44" i="1" s="1"/>
  <c r="F35" i="1"/>
  <c r="F28" i="1" s="1"/>
  <c r="F27" i="1" s="1"/>
  <c r="F21" i="1"/>
  <c r="F17" i="1" s="1"/>
  <c r="F16" i="1" s="1"/>
  <c r="E1582" i="1"/>
  <c r="E83" i="1"/>
  <c r="G83" i="1" s="1"/>
  <c r="I83" i="1" s="1"/>
  <c r="K83" i="1" s="1"/>
  <c r="E82" i="1"/>
  <c r="G82" i="1" s="1"/>
  <c r="I82" i="1" s="1"/>
  <c r="K82" i="1" s="1"/>
  <c r="E1332" i="1"/>
  <c r="E1243" i="1"/>
  <c r="E1281" i="1"/>
  <c r="G1281" i="1" s="1"/>
  <c r="I1281" i="1" s="1"/>
  <c r="K1281" i="1" s="1"/>
  <c r="E1211" i="1"/>
  <c r="G1211" i="1" s="1"/>
  <c r="I1211" i="1" s="1"/>
  <c r="K1211" i="1" s="1"/>
  <c r="E1226" i="1"/>
  <c r="E248" i="1"/>
  <c r="G248" i="1" s="1"/>
  <c r="I248" i="1" s="1"/>
  <c r="K248" i="1" s="1"/>
  <c r="E795" i="1"/>
  <c r="G795" i="1" s="1"/>
  <c r="I795" i="1" s="1"/>
  <c r="K795" i="1" s="1"/>
  <c r="E793" i="1"/>
  <c r="G793" i="1" s="1"/>
  <c r="I793" i="1" s="1"/>
  <c r="K793" i="1" s="1"/>
  <c r="E1130" i="1"/>
  <c r="G1130" i="1" s="1"/>
  <c r="I1130" i="1" s="1"/>
  <c r="K1130" i="1" s="1"/>
  <c r="E1671" i="1"/>
  <c r="E1668" i="1"/>
  <c r="E1579" i="1"/>
  <c r="E875" i="1"/>
  <c r="G875" i="1" s="1"/>
  <c r="I875" i="1" s="1"/>
  <c r="K875" i="1" s="1"/>
  <c r="E81" i="1"/>
  <c r="G81" i="1" s="1"/>
  <c r="I81" i="1" s="1"/>
  <c r="K81" i="1" s="1"/>
  <c r="E79" i="1"/>
  <c r="G79" i="1" s="1"/>
  <c r="I79" i="1" s="1"/>
  <c r="K79" i="1" s="1"/>
  <c r="E1604" i="1"/>
  <c r="G1604" i="1" s="1"/>
  <c r="I1604" i="1" s="1"/>
  <c r="K1604" i="1" s="1"/>
  <c r="E1603" i="1"/>
  <c r="G1603" i="1" s="1"/>
  <c r="I1603" i="1" s="1"/>
  <c r="K1603" i="1" s="1"/>
  <c r="O1311" i="1" l="1"/>
  <c r="Q1311" i="1" s="1"/>
  <c r="S1311" i="1" s="1"/>
  <c r="U1311" i="1" s="1"/>
  <c r="W1311" i="1" s="1"/>
  <c r="Y1311" i="1" s="1"/>
  <c r="AA1311" i="1" s="1"/>
  <c r="O1340" i="1"/>
  <c r="Q1340" i="1" s="1"/>
  <c r="S1340" i="1" s="1"/>
  <c r="U1340" i="1" s="1"/>
  <c r="W1340" i="1" s="1"/>
  <c r="Y1340" i="1" s="1"/>
  <c r="AA1340" i="1" s="1"/>
  <c r="O1780" i="1"/>
  <c r="Q1780" i="1" s="1"/>
  <c r="S1780" i="1" s="1"/>
  <c r="U1780" i="1" s="1"/>
  <c r="W1780" i="1" s="1"/>
  <c r="Y1780" i="1" s="1"/>
  <c r="AA1780" i="1" s="1"/>
  <c r="O905" i="1"/>
  <c r="Q905" i="1" s="1"/>
  <c r="S905" i="1" s="1"/>
  <c r="U905" i="1" s="1"/>
  <c r="W905" i="1" s="1"/>
  <c r="Y905" i="1" s="1"/>
  <c r="AA905" i="1" s="1"/>
  <c r="O1614" i="1"/>
  <c r="Q1614" i="1" s="1"/>
  <c r="S1614" i="1" s="1"/>
  <c r="U1614" i="1" s="1"/>
  <c r="W1614" i="1" s="1"/>
  <c r="Y1614" i="1" s="1"/>
  <c r="AA1614" i="1" s="1"/>
  <c r="O962" i="1"/>
  <c r="Q962" i="1" s="1"/>
  <c r="S962" i="1" s="1"/>
  <c r="U962" i="1" s="1"/>
  <c r="W962" i="1" s="1"/>
  <c r="Y962" i="1" s="1"/>
  <c r="AA962" i="1" s="1"/>
  <c r="O1714" i="1"/>
  <c r="Q1714" i="1" s="1"/>
  <c r="S1714" i="1" s="1"/>
  <c r="U1714" i="1" s="1"/>
  <c r="W1714" i="1" s="1"/>
  <c r="Y1714" i="1" s="1"/>
  <c r="AA1714" i="1" s="1"/>
  <c r="O1610" i="1"/>
  <c r="Q1610" i="1" s="1"/>
  <c r="S1610" i="1" s="1"/>
  <c r="U1610" i="1" s="1"/>
  <c r="W1610" i="1" s="1"/>
  <c r="Y1610" i="1" s="1"/>
  <c r="AA1610" i="1" s="1"/>
  <c r="O1833" i="1"/>
  <c r="Q1833" i="1" s="1"/>
  <c r="S1833" i="1" s="1"/>
  <c r="U1833" i="1" s="1"/>
  <c r="W1833" i="1" s="1"/>
  <c r="Y1833" i="1" s="1"/>
  <c r="AA1833" i="1" s="1"/>
  <c r="O1578" i="1"/>
  <c r="Q1578" i="1" s="1"/>
  <c r="S1578" i="1" s="1"/>
  <c r="U1578" i="1" s="1"/>
  <c r="W1578" i="1" s="1"/>
  <c r="Y1578" i="1" s="1"/>
  <c r="AA1578" i="1" s="1"/>
  <c r="O360" i="1"/>
  <c r="Q360" i="1" s="1"/>
  <c r="S360" i="1" s="1"/>
  <c r="U360" i="1" s="1"/>
  <c r="W360" i="1" s="1"/>
  <c r="Y360" i="1" s="1"/>
  <c r="AA360" i="1" s="1"/>
  <c r="M1604" i="1"/>
  <c r="M105" i="1"/>
  <c r="M154" i="1"/>
  <c r="M235" i="1"/>
  <c r="M309" i="1"/>
  <c r="M811" i="1"/>
  <c r="M864" i="1"/>
  <c r="M965" i="1"/>
  <c r="M1146" i="1"/>
  <c r="M1216" i="1"/>
  <c r="M1294" i="1"/>
  <c r="M1349" i="1"/>
  <c r="M1448" i="1"/>
  <c r="M1493" i="1"/>
  <c r="M1547" i="1"/>
  <c r="M1606" i="1"/>
  <c r="M1678" i="1"/>
  <c r="M1726" i="1"/>
  <c r="M1775" i="1"/>
  <c r="M1822" i="1"/>
  <c r="M79" i="1"/>
  <c r="M48" i="1"/>
  <c r="M70" i="1"/>
  <c r="M76" i="1"/>
  <c r="M88" i="1"/>
  <c r="M106" i="1"/>
  <c r="M122" i="1"/>
  <c r="M140" i="1"/>
  <c r="M167" i="1"/>
  <c r="M174" i="1"/>
  <c r="M187" i="1"/>
  <c r="M219" i="1"/>
  <c r="M236" i="1"/>
  <c r="M269" i="1"/>
  <c r="M287" i="1"/>
  <c r="M305" i="1"/>
  <c r="M330" i="1"/>
  <c r="M348" i="1"/>
  <c r="M802" i="1"/>
  <c r="M821" i="1"/>
  <c r="M833" i="1"/>
  <c r="M837" i="1"/>
  <c r="M853" i="1"/>
  <c r="M866" i="1"/>
  <c r="M896" i="1"/>
  <c r="M935" i="1"/>
  <c r="M944" i="1"/>
  <c r="M971" i="1"/>
  <c r="M1126" i="1"/>
  <c r="M1135" i="1"/>
  <c r="M1152" i="1"/>
  <c r="M1186" i="1"/>
  <c r="M1208" i="1"/>
  <c r="M1220" i="1"/>
  <c r="M1230" i="1"/>
  <c r="M1244" i="1"/>
  <c r="M1283" i="1"/>
  <c r="M1301" i="1"/>
  <c r="M1318" i="1"/>
  <c r="M1327" i="1"/>
  <c r="M1334" i="1"/>
  <c r="M1350" i="1"/>
  <c r="M1364" i="1"/>
  <c r="M1415" i="1"/>
  <c r="M1454" i="1"/>
  <c r="M1465" i="1"/>
  <c r="M1479" i="1"/>
  <c r="M1494" i="1"/>
  <c r="M1508" i="1"/>
  <c r="M1533" i="1"/>
  <c r="M1552" i="1"/>
  <c r="M1566" i="1"/>
  <c r="M1597" i="1"/>
  <c r="M1608" i="1"/>
  <c r="M1661" i="1"/>
  <c r="M1670" i="1"/>
  <c r="M1681" i="1"/>
  <c r="M1698" i="1"/>
  <c r="M1708" i="1"/>
  <c r="M1729" i="1"/>
  <c r="M1744" i="1"/>
  <c r="M1764" i="1"/>
  <c r="M1778" i="1"/>
  <c r="M1806" i="1"/>
  <c r="M1815" i="1"/>
  <c r="M1826" i="1"/>
  <c r="M1848" i="1"/>
  <c r="M1211" i="1"/>
  <c r="M37" i="1"/>
  <c r="M73" i="1"/>
  <c r="M113" i="1"/>
  <c r="M170" i="1"/>
  <c r="M216" i="1"/>
  <c r="M298" i="1"/>
  <c r="M791" i="1"/>
  <c r="M836" i="1"/>
  <c r="M890" i="1"/>
  <c r="M943" i="1"/>
  <c r="M986" i="1"/>
  <c r="M1185" i="1"/>
  <c r="M1228" i="1"/>
  <c r="M1276" i="1"/>
  <c r="M1325" i="1"/>
  <c r="M1414" i="1"/>
  <c r="M1478" i="1"/>
  <c r="M1527" i="1"/>
  <c r="M1562" i="1"/>
  <c r="M1624" i="1"/>
  <c r="M1693" i="1"/>
  <c r="M1758" i="1"/>
  <c r="M1811" i="1"/>
  <c r="M1846" i="1"/>
  <c r="M1281" i="1"/>
  <c r="M81" i="1"/>
  <c r="M248" i="1"/>
  <c r="M54" i="1"/>
  <c r="M71" i="1"/>
  <c r="M80" i="1"/>
  <c r="M89" i="1"/>
  <c r="M107" i="1"/>
  <c r="M123" i="1"/>
  <c r="M141" i="1"/>
  <c r="M168" i="1"/>
  <c r="M176" i="1"/>
  <c r="M188" i="1"/>
  <c r="M229" i="1"/>
  <c r="M252" i="1"/>
  <c r="M271" i="1"/>
  <c r="M294" i="1"/>
  <c r="M306" i="1"/>
  <c r="M331" i="1"/>
  <c r="M783" i="1"/>
  <c r="M805" i="1"/>
  <c r="M823" i="1"/>
  <c r="M834" i="1"/>
  <c r="M838" i="1"/>
  <c r="M854" i="1"/>
  <c r="M880" i="1"/>
  <c r="M897" i="1"/>
  <c r="M940" i="1"/>
  <c r="M950" i="1"/>
  <c r="M980" i="1"/>
  <c r="M1128" i="1"/>
  <c r="M1136" i="1"/>
  <c r="M1169" i="1"/>
  <c r="M1187" i="1"/>
  <c r="M1209" i="1"/>
  <c r="M1223" i="1"/>
  <c r="M1237" i="1"/>
  <c r="M1245" i="1"/>
  <c r="M1286" i="1"/>
  <c r="M1303" i="1"/>
  <c r="M1320" i="1"/>
  <c r="M1328" i="1"/>
  <c r="M1337" i="1"/>
  <c r="M1352" i="1"/>
  <c r="M1410" i="1"/>
  <c r="M1419" i="1"/>
  <c r="M1455" i="1"/>
  <c r="M1474" i="1"/>
  <c r="M1482" i="1"/>
  <c r="M1505" i="1"/>
  <c r="M1513" i="1"/>
  <c r="M1534" i="1"/>
  <c r="M1556" i="1"/>
  <c r="M1569" i="1"/>
  <c r="M1599" i="1"/>
  <c r="M1618" i="1"/>
  <c r="M1662" i="1"/>
  <c r="M1672" i="1"/>
  <c r="M1686" i="1"/>
  <c r="M1703" i="1"/>
  <c r="M1717" i="1"/>
  <c r="M1733" i="1"/>
  <c r="M1748" i="1"/>
  <c r="M1768" i="1"/>
  <c r="M1784" i="1"/>
  <c r="M1808" i="1"/>
  <c r="M1816" i="1"/>
  <c r="M1839" i="1"/>
  <c r="M1855" i="1"/>
  <c r="M793" i="1"/>
  <c r="M82" i="1"/>
  <c r="M69" i="1"/>
  <c r="M87" i="1"/>
  <c r="M139" i="1"/>
  <c r="M186" i="1"/>
  <c r="M268" i="1"/>
  <c r="M283" i="1"/>
  <c r="M340" i="1"/>
  <c r="M832" i="1"/>
  <c r="M852" i="1"/>
  <c r="M930" i="1"/>
  <c r="M1133" i="1"/>
  <c r="M1199" i="1"/>
  <c r="M1241" i="1"/>
  <c r="M1313" i="1"/>
  <c r="M1333" i="1"/>
  <c r="M1363" i="1"/>
  <c r="M1460" i="1"/>
  <c r="M1507" i="1"/>
  <c r="M1583" i="1"/>
  <c r="M1669" i="1"/>
  <c r="M1707" i="1"/>
  <c r="M1741" i="1"/>
  <c r="M1804" i="1"/>
  <c r="M1867" i="1"/>
  <c r="M795" i="1"/>
  <c r="M83" i="1"/>
  <c r="M1603" i="1"/>
  <c r="M875" i="1"/>
  <c r="M1130" i="1"/>
  <c r="M23" i="1"/>
  <c r="M55" i="1"/>
  <c r="O55" i="1" s="1"/>
  <c r="Q55" i="1" s="1"/>
  <c r="S55" i="1" s="1"/>
  <c r="U55" i="1" s="1"/>
  <c r="W55" i="1" s="1"/>
  <c r="Y55" i="1" s="1"/>
  <c r="AA55" i="1" s="1"/>
  <c r="M72" i="1"/>
  <c r="M84" i="1"/>
  <c r="M102" i="1"/>
  <c r="M108" i="1"/>
  <c r="M124" i="1"/>
  <c r="M146" i="1"/>
  <c r="M169" i="1"/>
  <c r="M185" i="1"/>
  <c r="M202" i="1"/>
  <c r="M233" i="1"/>
  <c r="M260" i="1"/>
  <c r="M282" i="1"/>
  <c r="M295" i="1"/>
  <c r="M308" i="1"/>
  <c r="M337" i="1"/>
  <c r="M785" i="1"/>
  <c r="M808" i="1"/>
  <c r="M824" i="1"/>
  <c r="M835" i="1"/>
  <c r="M844" i="1"/>
  <c r="M855" i="1"/>
  <c r="M883" i="1"/>
  <c r="M907" i="1"/>
  <c r="M941" i="1"/>
  <c r="M959" i="1"/>
  <c r="M984" i="1"/>
  <c r="M1132" i="1"/>
  <c r="M1139" i="1"/>
  <c r="M1171" i="1"/>
  <c r="M1197" i="1"/>
  <c r="M1212" i="1"/>
  <c r="M1224" i="1"/>
  <c r="M1239" i="1"/>
  <c r="M1275" i="1"/>
  <c r="M1287" i="1"/>
  <c r="M1304" i="1"/>
  <c r="M1324" i="1"/>
  <c r="M1330" i="1"/>
  <c r="M1344" i="1"/>
  <c r="M1354" i="1"/>
  <c r="M1412" i="1"/>
  <c r="M1425" i="1"/>
  <c r="M1456" i="1"/>
  <c r="M1475" i="1"/>
  <c r="M1487" i="1"/>
  <c r="M1506" i="1"/>
  <c r="M1520" i="1"/>
  <c r="M1543" i="1"/>
  <c r="M1561" i="1"/>
  <c r="M1580" i="1"/>
  <c r="M1601" i="1"/>
  <c r="M1620" i="1"/>
  <c r="M1664" i="1"/>
  <c r="M1674" i="1"/>
  <c r="M1690" i="1"/>
  <c r="M1706" i="1"/>
  <c r="M1722" i="1"/>
  <c r="M1739" i="1"/>
  <c r="M1751" i="1"/>
  <c r="M1772" i="1"/>
  <c r="M1798" i="1"/>
  <c r="M1810" i="1"/>
  <c r="M1821" i="1"/>
  <c r="M1840" i="1"/>
  <c r="M1857" i="1"/>
  <c r="G1243" i="1"/>
  <c r="I1243" i="1" s="1"/>
  <c r="K1243" i="1" s="1"/>
  <c r="M1243" i="1" s="1"/>
  <c r="O1243" i="1" s="1"/>
  <c r="Q1243" i="1" s="1"/>
  <c r="S1243" i="1" s="1"/>
  <c r="U1243" i="1" s="1"/>
  <c r="W1243" i="1" s="1"/>
  <c r="Y1243" i="1" s="1"/>
  <c r="G1671" i="1"/>
  <c r="I1671" i="1" s="1"/>
  <c r="K1671" i="1" s="1"/>
  <c r="M1671" i="1" s="1"/>
  <c r="O1671" i="1" s="1"/>
  <c r="Q1671" i="1" s="1"/>
  <c r="S1671" i="1" s="1"/>
  <c r="U1671" i="1" s="1"/>
  <c r="W1671" i="1" s="1"/>
  <c r="Y1671" i="1" s="1"/>
  <c r="F1305" i="1"/>
  <c r="F1225" i="1"/>
  <c r="F1612" i="1"/>
  <c r="E78" i="1"/>
  <c r="G78" i="1" s="1"/>
  <c r="I78" i="1" s="1"/>
  <c r="K78" i="1" s="1"/>
  <c r="M78" i="1" s="1"/>
  <c r="O78" i="1" s="1"/>
  <c r="Q78" i="1" s="1"/>
  <c r="S78" i="1" s="1"/>
  <c r="U78" i="1" s="1"/>
  <c r="W78" i="1" s="1"/>
  <c r="Y78" i="1" s="1"/>
  <c r="F258" i="1"/>
  <c r="F253" i="1" s="1"/>
  <c r="G1668" i="1"/>
  <c r="I1668" i="1" s="1"/>
  <c r="K1668" i="1" s="1"/>
  <c r="M1668" i="1" s="1"/>
  <c r="O1668" i="1" s="1"/>
  <c r="Q1668" i="1" s="1"/>
  <c r="S1668" i="1" s="1"/>
  <c r="U1668" i="1" s="1"/>
  <c r="W1668" i="1" s="1"/>
  <c r="Y1668" i="1" s="1"/>
  <c r="G1332" i="1"/>
  <c r="I1332" i="1" s="1"/>
  <c r="K1332" i="1" s="1"/>
  <c r="M1332" i="1" s="1"/>
  <c r="O1332" i="1" s="1"/>
  <c r="Q1332" i="1" s="1"/>
  <c r="S1332" i="1" s="1"/>
  <c r="U1332" i="1" s="1"/>
  <c r="W1332" i="1" s="1"/>
  <c r="Y1332" i="1" s="1"/>
  <c r="F172" i="1"/>
  <c r="F155" i="1" s="1"/>
  <c r="F982" i="1"/>
  <c r="F981" i="1" s="1"/>
  <c r="F976" i="1" s="1"/>
  <c r="F1587" i="1"/>
  <c r="F1830" i="1"/>
  <c r="F1829" i="1" s="1"/>
  <c r="F1828" i="1" s="1"/>
  <c r="F1827" i="1" s="1"/>
  <c r="G1579" i="1"/>
  <c r="I1579" i="1" s="1"/>
  <c r="K1579" i="1" s="1"/>
  <c r="M1579" i="1" s="1"/>
  <c r="O1579" i="1" s="1"/>
  <c r="Q1579" i="1" s="1"/>
  <c r="S1579" i="1" s="1"/>
  <c r="U1579" i="1" s="1"/>
  <c r="W1579" i="1" s="1"/>
  <c r="Y1579" i="1" s="1"/>
  <c r="F877" i="1"/>
  <c r="F876" i="1" s="1"/>
  <c r="E1581" i="1"/>
  <c r="G1581" i="1" s="1"/>
  <c r="I1581" i="1" s="1"/>
  <c r="K1581" i="1" s="1"/>
  <c r="M1581" i="1" s="1"/>
  <c r="O1581" i="1" s="1"/>
  <c r="Q1581" i="1" s="1"/>
  <c r="S1581" i="1" s="1"/>
  <c r="U1581" i="1" s="1"/>
  <c r="W1581" i="1" s="1"/>
  <c r="Y1581" i="1" s="1"/>
  <c r="G1582" i="1"/>
  <c r="I1582" i="1" s="1"/>
  <c r="K1582" i="1" s="1"/>
  <c r="F1347" i="1"/>
  <c r="F1346" i="1" s="1"/>
  <c r="F1704" i="1"/>
  <c r="F1700" i="1" s="1"/>
  <c r="F1776" i="1"/>
  <c r="F1769" i="1" s="1"/>
  <c r="F1299" i="1"/>
  <c r="F1675" i="1"/>
  <c r="F887" i="1"/>
  <c r="F886" i="1" s="1"/>
  <c r="F885" i="1" s="1"/>
  <c r="G1226" i="1"/>
  <c r="I1226" i="1" s="1"/>
  <c r="K1226" i="1" s="1"/>
  <c r="M1226" i="1" s="1"/>
  <c r="O1226" i="1" s="1"/>
  <c r="Q1226" i="1" s="1"/>
  <c r="S1226" i="1" s="1"/>
  <c r="U1226" i="1" s="1"/>
  <c r="W1226" i="1" s="1"/>
  <c r="Y1226" i="1" s="1"/>
  <c r="F1574" i="1"/>
  <c r="F1540" i="1"/>
  <c r="F1218" i="1"/>
  <c r="F1563" i="1"/>
  <c r="F1406" i="1"/>
  <c r="F1405" i="1" s="1"/>
  <c r="F1404" i="1" s="1"/>
  <c r="F1403" i="1" s="1"/>
  <c r="F1500" i="1"/>
  <c r="F1817" i="1"/>
  <c r="F296" i="1"/>
  <c r="F290" i="1" s="1"/>
  <c r="F289" i="1" s="1"/>
  <c r="F288" i="1" s="1"/>
  <c r="F1119" i="1"/>
  <c r="F1204" i="1"/>
  <c r="F1203" i="1" s="1"/>
  <c r="F1483" i="1"/>
  <c r="F827" i="1"/>
  <c r="F1802" i="1"/>
  <c r="F1801" i="1" s="1"/>
  <c r="F1800" i="1" s="1"/>
  <c r="F928" i="1"/>
  <c r="F1167" i="1"/>
  <c r="F1166" i="1" s="1"/>
  <c r="F1165" i="1" s="1"/>
  <c r="F1469" i="1"/>
  <c r="F1468" i="1" s="1"/>
  <c r="F799" i="1"/>
  <c r="F273" i="1"/>
  <c r="F1655" i="1"/>
  <c r="F1654" i="1" s="1"/>
  <c r="F817" i="1"/>
  <c r="F816" i="1" s="1"/>
  <c r="F1457" i="1"/>
  <c r="F1449" i="1" s="1"/>
  <c r="F60" i="1"/>
  <c r="F59" i="1" s="1"/>
  <c r="F58" i="1" s="1"/>
  <c r="F178" i="1"/>
  <c r="F230" i="1"/>
  <c r="F334" i="1"/>
  <c r="F324" i="1" s="1"/>
  <c r="F311" i="1" s="1"/>
  <c r="F779" i="1"/>
  <c r="F1144" i="1"/>
  <c r="F1195" i="1"/>
  <c r="F1194" i="1" s="1"/>
  <c r="F1193" i="1" s="1"/>
  <c r="F1192" i="1" s="1"/>
  <c r="F1191" i="1" s="1"/>
  <c r="F1522" i="1"/>
  <c r="F1687" i="1"/>
  <c r="F1723" i="1"/>
  <c r="F1737" i="1"/>
  <c r="F1736" i="1" s="1"/>
  <c r="F1745" i="1"/>
  <c r="F114" i="1"/>
  <c r="F1270" i="1"/>
  <c r="F1269" i="1" s="1"/>
  <c r="F43" i="1"/>
  <c r="E1725" i="1"/>
  <c r="O1772" i="1" l="1"/>
  <c r="Q1772" i="1" s="1"/>
  <c r="S1772" i="1" s="1"/>
  <c r="U1772" i="1" s="1"/>
  <c r="W1772" i="1" s="1"/>
  <c r="Y1772" i="1" s="1"/>
  <c r="AA1772" i="1" s="1"/>
  <c r="O1475" i="1"/>
  <c r="Q1475" i="1" s="1"/>
  <c r="S1475" i="1" s="1"/>
  <c r="U1475" i="1" s="1"/>
  <c r="W1475" i="1" s="1"/>
  <c r="Y1475" i="1" s="1"/>
  <c r="AA1475" i="1" s="1"/>
  <c r="O1304" i="1"/>
  <c r="Q1304" i="1" s="1"/>
  <c r="S1304" i="1" s="1"/>
  <c r="U1304" i="1" s="1"/>
  <c r="W1304" i="1" s="1"/>
  <c r="Y1304" i="1" s="1"/>
  <c r="AA1304" i="1" s="1"/>
  <c r="O941" i="1"/>
  <c r="Q941" i="1" s="1"/>
  <c r="S941" i="1" s="1"/>
  <c r="U941" i="1" s="1"/>
  <c r="W941" i="1" s="1"/>
  <c r="Y941" i="1" s="1"/>
  <c r="AA941" i="1" s="1"/>
  <c r="O844" i="1"/>
  <c r="Q844" i="1" s="1"/>
  <c r="S844" i="1" s="1"/>
  <c r="U844" i="1" s="1"/>
  <c r="W844" i="1" s="1"/>
  <c r="Y844" i="1" s="1"/>
  <c r="AA844" i="1" s="1"/>
  <c r="O185" i="1"/>
  <c r="Q185" i="1" s="1"/>
  <c r="S185" i="1" s="1"/>
  <c r="U185" i="1" s="1"/>
  <c r="W185" i="1" s="1"/>
  <c r="Y185" i="1" s="1"/>
  <c r="AA185" i="1" s="1"/>
  <c r="O1583" i="1"/>
  <c r="Q1583" i="1" s="1"/>
  <c r="S1583" i="1" s="1"/>
  <c r="U1583" i="1" s="1"/>
  <c r="W1583" i="1" s="1"/>
  <c r="Y1583" i="1" s="1"/>
  <c r="AA1583" i="1" s="1"/>
  <c r="O1133" i="1"/>
  <c r="Q1133" i="1" s="1"/>
  <c r="S1133" i="1" s="1"/>
  <c r="U1133" i="1" s="1"/>
  <c r="W1133" i="1" s="1"/>
  <c r="Y1133" i="1" s="1"/>
  <c r="AA1133" i="1" s="1"/>
  <c r="O340" i="1"/>
  <c r="Q340" i="1" s="1"/>
  <c r="S340" i="1" s="1"/>
  <c r="U340" i="1" s="1"/>
  <c r="W340" i="1" s="1"/>
  <c r="Y340" i="1" s="1"/>
  <c r="AA340" i="1" s="1"/>
  <c r="O1808" i="1"/>
  <c r="Q1808" i="1" s="1"/>
  <c r="S1808" i="1" s="1"/>
  <c r="U1808" i="1" s="1"/>
  <c r="W1808" i="1" s="1"/>
  <c r="Y1808" i="1" s="1"/>
  <c r="AA1808" i="1" s="1"/>
  <c r="O1672" i="1"/>
  <c r="Q1672" i="1" s="1"/>
  <c r="S1672" i="1" s="1"/>
  <c r="U1672" i="1" s="1"/>
  <c r="W1672" i="1" s="1"/>
  <c r="Y1672" i="1" s="1"/>
  <c r="AA1672" i="1" s="1"/>
  <c r="O1505" i="1"/>
  <c r="Q1505" i="1" s="1"/>
  <c r="S1505" i="1" s="1"/>
  <c r="U1505" i="1" s="1"/>
  <c r="W1505" i="1" s="1"/>
  <c r="Y1505" i="1" s="1"/>
  <c r="AA1505" i="1" s="1"/>
  <c r="O1245" i="1"/>
  <c r="Q1245" i="1" s="1"/>
  <c r="S1245" i="1" s="1"/>
  <c r="U1245" i="1" s="1"/>
  <c r="W1245" i="1" s="1"/>
  <c r="Y1245" i="1" s="1"/>
  <c r="AA1245" i="1" s="1"/>
  <c r="O980" i="1"/>
  <c r="Q980" i="1" s="1"/>
  <c r="S980" i="1" s="1"/>
  <c r="U980" i="1" s="1"/>
  <c r="W980" i="1" s="1"/>
  <c r="Y980" i="1" s="1"/>
  <c r="AA980" i="1" s="1"/>
  <c r="O823" i="1"/>
  <c r="Q823" i="1" s="1"/>
  <c r="S823" i="1" s="1"/>
  <c r="U823" i="1" s="1"/>
  <c r="W823" i="1" s="1"/>
  <c r="Y823" i="1" s="1"/>
  <c r="AA823" i="1" s="1"/>
  <c r="O229" i="1"/>
  <c r="Q229" i="1" s="1"/>
  <c r="S229" i="1" s="1"/>
  <c r="U229" i="1" s="1"/>
  <c r="W229" i="1" s="1"/>
  <c r="Y229" i="1" s="1"/>
  <c r="AA229" i="1" s="1"/>
  <c r="O141" i="1"/>
  <c r="Q141" i="1" s="1"/>
  <c r="S141" i="1" s="1"/>
  <c r="U141" i="1" s="1"/>
  <c r="W141" i="1" s="1"/>
  <c r="Y141" i="1" s="1"/>
  <c r="AA141" i="1" s="1"/>
  <c r="O81" i="1"/>
  <c r="Q81" i="1" s="1"/>
  <c r="S81" i="1" s="1"/>
  <c r="U81" i="1" s="1"/>
  <c r="W81" i="1" s="1"/>
  <c r="Y81" i="1" s="1"/>
  <c r="AA81" i="1" s="1"/>
  <c r="O1758" i="1"/>
  <c r="Q1758" i="1" s="1"/>
  <c r="S1758" i="1" s="1"/>
  <c r="U1758" i="1" s="1"/>
  <c r="W1758" i="1" s="1"/>
  <c r="Y1758" i="1" s="1"/>
  <c r="AA1758" i="1" s="1"/>
  <c r="O1527" i="1"/>
  <c r="Q1527" i="1" s="1"/>
  <c r="S1527" i="1" s="1"/>
  <c r="U1527" i="1" s="1"/>
  <c r="W1527" i="1" s="1"/>
  <c r="Y1527" i="1" s="1"/>
  <c r="AA1527" i="1" s="1"/>
  <c r="O1276" i="1"/>
  <c r="Q1276" i="1" s="1"/>
  <c r="S1276" i="1" s="1"/>
  <c r="U1276" i="1" s="1"/>
  <c r="W1276" i="1" s="1"/>
  <c r="Y1276" i="1" s="1"/>
  <c r="AA1276" i="1" s="1"/>
  <c r="O943" i="1"/>
  <c r="Q943" i="1" s="1"/>
  <c r="S943" i="1" s="1"/>
  <c r="U943" i="1" s="1"/>
  <c r="W943" i="1" s="1"/>
  <c r="Y943" i="1" s="1"/>
  <c r="AA943" i="1" s="1"/>
  <c r="O298" i="1"/>
  <c r="Q298" i="1" s="1"/>
  <c r="S298" i="1" s="1"/>
  <c r="U298" i="1" s="1"/>
  <c r="W298" i="1" s="1"/>
  <c r="Y298" i="1" s="1"/>
  <c r="AA298" i="1" s="1"/>
  <c r="O73" i="1"/>
  <c r="Q73" i="1" s="1"/>
  <c r="S73" i="1" s="1"/>
  <c r="U73" i="1" s="1"/>
  <c r="W73" i="1" s="1"/>
  <c r="Y73" i="1" s="1"/>
  <c r="AA73" i="1" s="1"/>
  <c r="O1764" i="1"/>
  <c r="Q1764" i="1" s="1"/>
  <c r="S1764" i="1" s="1"/>
  <c r="U1764" i="1" s="1"/>
  <c r="W1764" i="1" s="1"/>
  <c r="Y1764" i="1" s="1"/>
  <c r="AA1764" i="1" s="1"/>
  <c r="O1608" i="1"/>
  <c r="Q1608" i="1" s="1"/>
  <c r="S1608" i="1" s="1"/>
  <c r="U1608" i="1" s="1"/>
  <c r="W1608" i="1" s="1"/>
  <c r="Y1608" i="1" s="1"/>
  <c r="AA1608" i="1" s="1"/>
  <c r="O1533" i="1"/>
  <c r="Q1533" i="1" s="1"/>
  <c r="S1533" i="1" s="1"/>
  <c r="U1533" i="1" s="1"/>
  <c r="W1533" i="1" s="1"/>
  <c r="Y1533" i="1" s="1"/>
  <c r="AA1533" i="1" s="1"/>
  <c r="O1465" i="1"/>
  <c r="Q1465" i="1" s="1"/>
  <c r="S1465" i="1" s="1"/>
  <c r="U1465" i="1" s="1"/>
  <c r="W1465" i="1" s="1"/>
  <c r="Y1465" i="1" s="1"/>
  <c r="AA1465" i="1" s="1"/>
  <c r="O1350" i="1"/>
  <c r="Q1350" i="1" s="1"/>
  <c r="S1350" i="1" s="1"/>
  <c r="U1350" i="1" s="1"/>
  <c r="W1350" i="1" s="1"/>
  <c r="Y1350" i="1" s="1"/>
  <c r="AA1350" i="1" s="1"/>
  <c r="O1301" i="1"/>
  <c r="Q1301" i="1" s="1"/>
  <c r="S1301" i="1" s="1"/>
  <c r="U1301" i="1" s="1"/>
  <c r="W1301" i="1" s="1"/>
  <c r="Y1301" i="1" s="1"/>
  <c r="AA1301" i="1" s="1"/>
  <c r="O1220" i="1"/>
  <c r="Q1220" i="1" s="1"/>
  <c r="S1220" i="1" s="1"/>
  <c r="U1220" i="1" s="1"/>
  <c r="W1220" i="1" s="1"/>
  <c r="Y1220" i="1" s="1"/>
  <c r="AA1220" i="1" s="1"/>
  <c r="O1135" i="1"/>
  <c r="Q1135" i="1" s="1"/>
  <c r="S1135" i="1" s="1"/>
  <c r="U1135" i="1" s="1"/>
  <c r="W1135" i="1" s="1"/>
  <c r="Y1135" i="1" s="1"/>
  <c r="AA1135" i="1" s="1"/>
  <c r="O935" i="1"/>
  <c r="Q935" i="1" s="1"/>
  <c r="S935" i="1" s="1"/>
  <c r="U935" i="1" s="1"/>
  <c r="W935" i="1" s="1"/>
  <c r="Y935" i="1" s="1"/>
  <c r="AA935" i="1" s="1"/>
  <c r="O837" i="1"/>
  <c r="Q837" i="1" s="1"/>
  <c r="S837" i="1" s="1"/>
  <c r="U837" i="1" s="1"/>
  <c r="W837" i="1" s="1"/>
  <c r="Y837" i="1" s="1"/>
  <c r="AA837" i="1" s="1"/>
  <c r="O348" i="1"/>
  <c r="Q348" i="1" s="1"/>
  <c r="S348" i="1" s="1"/>
  <c r="U348" i="1" s="1"/>
  <c r="W348" i="1" s="1"/>
  <c r="Y348" i="1" s="1"/>
  <c r="AA348" i="1" s="1"/>
  <c r="O269" i="1"/>
  <c r="Q269" i="1" s="1"/>
  <c r="S269" i="1" s="1"/>
  <c r="U269" i="1" s="1"/>
  <c r="W269" i="1" s="1"/>
  <c r="Y269" i="1" s="1"/>
  <c r="AA269" i="1" s="1"/>
  <c r="O174" i="1"/>
  <c r="Q174" i="1" s="1"/>
  <c r="S174" i="1" s="1"/>
  <c r="U174" i="1" s="1"/>
  <c r="W174" i="1" s="1"/>
  <c r="Y174" i="1" s="1"/>
  <c r="AA174" i="1" s="1"/>
  <c r="O106" i="1"/>
  <c r="Q106" i="1" s="1"/>
  <c r="S106" i="1" s="1"/>
  <c r="U106" i="1" s="1"/>
  <c r="W106" i="1" s="1"/>
  <c r="Y106" i="1" s="1"/>
  <c r="AA106" i="1" s="1"/>
  <c r="O48" i="1"/>
  <c r="Q48" i="1" s="1"/>
  <c r="S48" i="1" s="1"/>
  <c r="U48" i="1" s="1"/>
  <c r="W48" i="1" s="1"/>
  <c r="Y48" i="1" s="1"/>
  <c r="AA48" i="1" s="1"/>
  <c r="O1726" i="1"/>
  <c r="Q1726" i="1" s="1"/>
  <c r="S1726" i="1" s="1"/>
  <c r="U1726" i="1" s="1"/>
  <c r="W1726" i="1" s="1"/>
  <c r="Y1726" i="1" s="1"/>
  <c r="AA1726" i="1" s="1"/>
  <c r="O1493" i="1"/>
  <c r="Q1493" i="1" s="1"/>
  <c r="S1493" i="1" s="1"/>
  <c r="U1493" i="1" s="1"/>
  <c r="W1493" i="1" s="1"/>
  <c r="Y1493" i="1" s="1"/>
  <c r="AA1493" i="1" s="1"/>
  <c r="O1216" i="1"/>
  <c r="Q1216" i="1" s="1"/>
  <c r="S1216" i="1" s="1"/>
  <c r="U1216" i="1" s="1"/>
  <c r="W1216" i="1" s="1"/>
  <c r="Y1216" i="1" s="1"/>
  <c r="AA1216" i="1" s="1"/>
  <c r="O811" i="1"/>
  <c r="Q811" i="1" s="1"/>
  <c r="S811" i="1" s="1"/>
  <c r="U811" i="1" s="1"/>
  <c r="W811" i="1" s="1"/>
  <c r="Y811" i="1" s="1"/>
  <c r="AA811" i="1" s="1"/>
  <c r="O105" i="1"/>
  <c r="Q105" i="1" s="1"/>
  <c r="S105" i="1" s="1"/>
  <c r="U105" i="1" s="1"/>
  <c r="W105" i="1" s="1"/>
  <c r="Y105" i="1" s="1"/>
  <c r="AA105" i="1" s="1"/>
  <c r="O1821" i="1"/>
  <c r="Q1821" i="1" s="1"/>
  <c r="S1821" i="1" s="1"/>
  <c r="U1821" i="1" s="1"/>
  <c r="W1821" i="1" s="1"/>
  <c r="Y1821" i="1" s="1"/>
  <c r="AA1821" i="1" s="1"/>
  <c r="O1751" i="1"/>
  <c r="Q1751" i="1" s="1"/>
  <c r="S1751" i="1" s="1"/>
  <c r="U1751" i="1" s="1"/>
  <c r="W1751" i="1" s="1"/>
  <c r="Y1751" i="1" s="1"/>
  <c r="AA1751" i="1" s="1"/>
  <c r="O1690" i="1"/>
  <c r="Q1690" i="1" s="1"/>
  <c r="S1690" i="1" s="1"/>
  <c r="U1690" i="1" s="1"/>
  <c r="W1690" i="1" s="1"/>
  <c r="Y1690" i="1" s="1"/>
  <c r="AA1690" i="1" s="1"/>
  <c r="O1601" i="1"/>
  <c r="Q1601" i="1" s="1"/>
  <c r="S1601" i="1" s="1"/>
  <c r="U1601" i="1" s="1"/>
  <c r="W1601" i="1" s="1"/>
  <c r="Y1601" i="1" s="1"/>
  <c r="AA1601" i="1" s="1"/>
  <c r="O1520" i="1"/>
  <c r="Q1520" i="1" s="1"/>
  <c r="S1520" i="1" s="1"/>
  <c r="U1520" i="1" s="1"/>
  <c r="W1520" i="1" s="1"/>
  <c r="Y1520" i="1" s="1"/>
  <c r="AA1520" i="1" s="1"/>
  <c r="O1456" i="1"/>
  <c r="Q1456" i="1" s="1"/>
  <c r="S1456" i="1" s="1"/>
  <c r="U1456" i="1" s="1"/>
  <c r="W1456" i="1" s="1"/>
  <c r="Y1456" i="1" s="1"/>
  <c r="AA1456" i="1" s="1"/>
  <c r="O1344" i="1"/>
  <c r="Q1344" i="1" s="1"/>
  <c r="S1344" i="1" s="1"/>
  <c r="U1344" i="1" s="1"/>
  <c r="W1344" i="1" s="1"/>
  <c r="Y1344" i="1" s="1"/>
  <c r="AA1344" i="1" s="1"/>
  <c r="O1287" i="1"/>
  <c r="Q1287" i="1" s="1"/>
  <c r="S1287" i="1" s="1"/>
  <c r="U1287" i="1" s="1"/>
  <c r="W1287" i="1" s="1"/>
  <c r="Y1287" i="1" s="1"/>
  <c r="AA1287" i="1" s="1"/>
  <c r="O1212" i="1"/>
  <c r="Q1212" i="1" s="1"/>
  <c r="S1212" i="1" s="1"/>
  <c r="U1212" i="1" s="1"/>
  <c r="W1212" i="1" s="1"/>
  <c r="Y1212" i="1" s="1"/>
  <c r="AA1212" i="1" s="1"/>
  <c r="O1132" i="1"/>
  <c r="Q1132" i="1" s="1"/>
  <c r="S1132" i="1" s="1"/>
  <c r="U1132" i="1" s="1"/>
  <c r="W1132" i="1" s="1"/>
  <c r="Y1132" i="1" s="1"/>
  <c r="AA1132" i="1" s="1"/>
  <c r="O907" i="1"/>
  <c r="Q907" i="1" s="1"/>
  <c r="S907" i="1" s="1"/>
  <c r="U907" i="1" s="1"/>
  <c r="W907" i="1" s="1"/>
  <c r="Y907" i="1" s="1"/>
  <c r="AA907" i="1" s="1"/>
  <c r="O835" i="1"/>
  <c r="Q835" i="1" s="1"/>
  <c r="S835" i="1" s="1"/>
  <c r="U835" i="1" s="1"/>
  <c r="W835" i="1" s="1"/>
  <c r="Y835" i="1" s="1"/>
  <c r="AA835" i="1" s="1"/>
  <c r="O337" i="1"/>
  <c r="Q337" i="1" s="1"/>
  <c r="S337" i="1" s="1"/>
  <c r="U337" i="1" s="1"/>
  <c r="W337" i="1" s="1"/>
  <c r="Y337" i="1" s="1"/>
  <c r="AA337" i="1" s="1"/>
  <c r="O260" i="1"/>
  <c r="Q260" i="1" s="1"/>
  <c r="S260" i="1" s="1"/>
  <c r="U260" i="1" s="1"/>
  <c r="W260" i="1" s="1"/>
  <c r="Y260" i="1" s="1"/>
  <c r="AA260" i="1" s="1"/>
  <c r="O169" i="1"/>
  <c r="Q169" i="1" s="1"/>
  <c r="S169" i="1" s="1"/>
  <c r="U169" i="1" s="1"/>
  <c r="W169" i="1" s="1"/>
  <c r="Y169" i="1" s="1"/>
  <c r="AA169" i="1" s="1"/>
  <c r="O102" i="1"/>
  <c r="Q102" i="1" s="1"/>
  <c r="S102" i="1" s="1"/>
  <c r="U102" i="1" s="1"/>
  <c r="W102" i="1" s="1"/>
  <c r="Y102" i="1" s="1"/>
  <c r="AA102" i="1" s="1"/>
  <c r="O23" i="1"/>
  <c r="Q23" i="1" s="1"/>
  <c r="S23" i="1" s="1"/>
  <c r="U23" i="1" s="1"/>
  <c r="W23" i="1" s="1"/>
  <c r="Y23" i="1" s="1"/>
  <c r="AA23" i="1" s="1"/>
  <c r="O83" i="1"/>
  <c r="Q83" i="1" s="1"/>
  <c r="S83" i="1" s="1"/>
  <c r="U83" i="1" s="1"/>
  <c r="W83" i="1" s="1"/>
  <c r="Y83" i="1" s="1"/>
  <c r="AA83" i="1" s="1"/>
  <c r="O1741" i="1"/>
  <c r="Q1741" i="1" s="1"/>
  <c r="S1741" i="1" s="1"/>
  <c r="U1741" i="1" s="1"/>
  <c r="W1741" i="1" s="1"/>
  <c r="Y1741" i="1" s="1"/>
  <c r="AA1741" i="1" s="1"/>
  <c r="O1507" i="1"/>
  <c r="Q1507" i="1" s="1"/>
  <c r="S1507" i="1" s="1"/>
  <c r="U1507" i="1" s="1"/>
  <c r="W1507" i="1" s="1"/>
  <c r="Y1507" i="1" s="1"/>
  <c r="AA1507" i="1" s="1"/>
  <c r="O1313" i="1"/>
  <c r="Q1313" i="1" s="1"/>
  <c r="S1313" i="1" s="1"/>
  <c r="U1313" i="1" s="1"/>
  <c r="W1313" i="1" s="1"/>
  <c r="Y1313" i="1" s="1"/>
  <c r="AA1313" i="1" s="1"/>
  <c r="O930" i="1"/>
  <c r="Q930" i="1" s="1"/>
  <c r="S930" i="1" s="1"/>
  <c r="U930" i="1" s="1"/>
  <c r="W930" i="1" s="1"/>
  <c r="Y930" i="1" s="1"/>
  <c r="AA930" i="1" s="1"/>
  <c r="O283" i="1"/>
  <c r="Q283" i="1" s="1"/>
  <c r="S283" i="1" s="1"/>
  <c r="U283" i="1" s="1"/>
  <c r="W283" i="1" s="1"/>
  <c r="Y283" i="1" s="1"/>
  <c r="AA283" i="1" s="1"/>
  <c r="O87" i="1"/>
  <c r="Q87" i="1" s="1"/>
  <c r="S87" i="1" s="1"/>
  <c r="U87" i="1" s="1"/>
  <c r="W87" i="1" s="1"/>
  <c r="Y87" i="1" s="1"/>
  <c r="AA87" i="1" s="1"/>
  <c r="O1855" i="1"/>
  <c r="Q1855" i="1" s="1"/>
  <c r="S1855" i="1" s="1"/>
  <c r="U1855" i="1" s="1"/>
  <c r="W1855" i="1" s="1"/>
  <c r="Y1855" i="1" s="1"/>
  <c r="AA1855" i="1" s="1"/>
  <c r="O1784" i="1"/>
  <c r="Q1784" i="1" s="1"/>
  <c r="S1784" i="1" s="1"/>
  <c r="U1784" i="1" s="1"/>
  <c r="W1784" i="1" s="1"/>
  <c r="Y1784" i="1" s="1"/>
  <c r="AA1784" i="1" s="1"/>
  <c r="O1717" i="1"/>
  <c r="Q1717" i="1" s="1"/>
  <c r="S1717" i="1" s="1"/>
  <c r="U1717" i="1" s="1"/>
  <c r="W1717" i="1" s="1"/>
  <c r="Y1717" i="1" s="1"/>
  <c r="AA1717" i="1" s="1"/>
  <c r="O1662" i="1"/>
  <c r="Q1662" i="1" s="1"/>
  <c r="S1662" i="1" s="1"/>
  <c r="U1662" i="1" s="1"/>
  <c r="W1662" i="1" s="1"/>
  <c r="Y1662" i="1" s="1"/>
  <c r="AA1662" i="1" s="1"/>
  <c r="O1556" i="1"/>
  <c r="Q1556" i="1" s="1"/>
  <c r="S1556" i="1" s="1"/>
  <c r="U1556" i="1" s="1"/>
  <c r="W1556" i="1" s="1"/>
  <c r="Y1556" i="1" s="1"/>
  <c r="AA1556" i="1" s="1"/>
  <c r="O1482" i="1"/>
  <c r="Q1482" i="1" s="1"/>
  <c r="S1482" i="1" s="1"/>
  <c r="U1482" i="1" s="1"/>
  <c r="W1482" i="1" s="1"/>
  <c r="Y1482" i="1" s="1"/>
  <c r="AA1482" i="1" s="1"/>
  <c r="O1410" i="1"/>
  <c r="Q1410" i="1" s="1"/>
  <c r="S1410" i="1" s="1"/>
  <c r="U1410" i="1" s="1"/>
  <c r="W1410" i="1" s="1"/>
  <c r="Y1410" i="1" s="1"/>
  <c r="AA1410" i="1" s="1"/>
  <c r="O1320" i="1"/>
  <c r="Q1320" i="1" s="1"/>
  <c r="S1320" i="1" s="1"/>
  <c r="U1320" i="1" s="1"/>
  <c r="W1320" i="1" s="1"/>
  <c r="Y1320" i="1" s="1"/>
  <c r="AA1320" i="1" s="1"/>
  <c r="O1237" i="1"/>
  <c r="Q1237" i="1" s="1"/>
  <c r="S1237" i="1" s="1"/>
  <c r="U1237" i="1" s="1"/>
  <c r="W1237" i="1" s="1"/>
  <c r="Y1237" i="1" s="1"/>
  <c r="AA1237" i="1" s="1"/>
  <c r="O1169" i="1"/>
  <c r="Q1169" i="1" s="1"/>
  <c r="S1169" i="1" s="1"/>
  <c r="U1169" i="1" s="1"/>
  <c r="W1169" i="1" s="1"/>
  <c r="Y1169" i="1" s="1"/>
  <c r="AA1169" i="1" s="1"/>
  <c r="O950" i="1"/>
  <c r="Q950" i="1" s="1"/>
  <c r="S950" i="1" s="1"/>
  <c r="U950" i="1" s="1"/>
  <c r="W950" i="1" s="1"/>
  <c r="Y950" i="1" s="1"/>
  <c r="AA950" i="1" s="1"/>
  <c r="O854" i="1"/>
  <c r="Q854" i="1" s="1"/>
  <c r="S854" i="1" s="1"/>
  <c r="U854" i="1" s="1"/>
  <c r="W854" i="1" s="1"/>
  <c r="Y854" i="1" s="1"/>
  <c r="AA854" i="1" s="1"/>
  <c r="O805" i="1"/>
  <c r="Q805" i="1" s="1"/>
  <c r="S805" i="1" s="1"/>
  <c r="U805" i="1" s="1"/>
  <c r="W805" i="1" s="1"/>
  <c r="Y805" i="1" s="1"/>
  <c r="AA805" i="1" s="1"/>
  <c r="O294" i="1"/>
  <c r="Q294" i="1" s="1"/>
  <c r="S294" i="1" s="1"/>
  <c r="U294" i="1" s="1"/>
  <c r="W294" i="1" s="1"/>
  <c r="Y294" i="1" s="1"/>
  <c r="AA294" i="1" s="1"/>
  <c r="O188" i="1"/>
  <c r="Q188" i="1" s="1"/>
  <c r="S188" i="1" s="1"/>
  <c r="U188" i="1" s="1"/>
  <c r="W188" i="1" s="1"/>
  <c r="Y188" i="1" s="1"/>
  <c r="AA188" i="1" s="1"/>
  <c r="O123" i="1"/>
  <c r="Q123" i="1" s="1"/>
  <c r="S123" i="1" s="1"/>
  <c r="U123" i="1" s="1"/>
  <c r="W123" i="1" s="1"/>
  <c r="Y123" i="1" s="1"/>
  <c r="AA123" i="1" s="1"/>
  <c r="O71" i="1"/>
  <c r="Q71" i="1" s="1"/>
  <c r="S71" i="1" s="1"/>
  <c r="U71" i="1" s="1"/>
  <c r="W71" i="1" s="1"/>
  <c r="Y71" i="1" s="1"/>
  <c r="AA71" i="1" s="1"/>
  <c r="O1281" i="1"/>
  <c r="Q1281" i="1" s="1"/>
  <c r="S1281" i="1" s="1"/>
  <c r="U1281" i="1" s="1"/>
  <c r="W1281" i="1" s="1"/>
  <c r="Y1281" i="1" s="1"/>
  <c r="AA1281" i="1" s="1"/>
  <c r="O1693" i="1"/>
  <c r="Q1693" i="1" s="1"/>
  <c r="S1693" i="1" s="1"/>
  <c r="U1693" i="1" s="1"/>
  <c r="W1693" i="1" s="1"/>
  <c r="Y1693" i="1" s="1"/>
  <c r="AA1693" i="1" s="1"/>
  <c r="O1478" i="1"/>
  <c r="Q1478" i="1" s="1"/>
  <c r="S1478" i="1" s="1"/>
  <c r="U1478" i="1" s="1"/>
  <c r="W1478" i="1" s="1"/>
  <c r="Y1478" i="1" s="1"/>
  <c r="AA1478" i="1" s="1"/>
  <c r="O1228" i="1"/>
  <c r="Q1228" i="1" s="1"/>
  <c r="S1228" i="1" s="1"/>
  <c r="U1228" i="1" s="1"/>
  <c r="W1228" i="1" s="1"/>
  <c r="Y1228" i="1" s="1"/>
  <c r="AA1228" i="1" s="1"/>
  <c r="O890" i="1"/>
  <c r="Q890" i="1" s="1"/>
  <c r="S890" i="1" s="1"/>
  <c r="U890" i="1" s="1"/>
  <c r="W890" i="1" s="1"/>
  <c r="Y890" i="1" s="1"/>
  <c r="AA890" i="1" s="1"/>
  <c r="O216" i="1"/>
  <c r="Q216" i="1" s="1"/>
  <c r="S216" i="1" s="1"/>
  <c r="U216" i="1" s="1"/>
  <c r="W216" i="1" s="1"/>
  <c r="Y216" i="1" s="1"/>
  <c r="AA216" i="1" s="1"/>
  <c r="O37" i="1"/>
  <c r="Q37" i="1" s="1"/>
  <c r="S37" i="1" s="1"/>
  <c r="U37" i="1" s="1"/>
  <c r="W37" i="1" s="1"/>
  <c r="Y37" i="1" s="1"/>
  <c r="AA37" i="1" s="1"/>
  <c r="O1815" i="1"/>
  <c r="Q1815" i="1" s="1"/>
  <c r="S1815" i="1" s="1"/>
  <c r="U1815" i="1" s="1"/>
  <c r="W1815" i="1" s="1"/>
  <c r="Y1815" i="1" s="1"/>
  <c r="AA1815" i="1" s="1"/>
  <c r="O1744" i="1"/>
  <c r="Q1744" i="1" s="1"/>
  <c r="S1744" i="1" s="1"/>
  <c r="U1744" i="1" s="1"/>
  <c r="W1744" i="1" s="1"/>
  <c r="Y1744" i="1" s="1"/>
  <c r="AA1744" i="1" s="1"/>
  <c r="O1681" i="1"/>
  <c r="Q1681" i="1" s="1"/>
  <c r="S1681" i="1" s="1"/>
  <c r="U1681" i="1" s="1"/>
  <c r="W1681" i="1" s="1"/>
  <c r="Y1681" i="1" s="1"/>
  <c r="AA1681" i="1" s="1"/>
  <c r="O1597" i="1"/>
  <c r="Q1597" i="1" s="1"/>
  <c r="S1597" i="1" s="1"/>
  <c r="U1597" i="1" s="1"/>
  <c r="W1597" i="1" s="1"/>
  <c r="Y1597" i="1" s="1"/>
  <c r="AA1597" i="1" s="1"/>
  <c r="O1508" i="1"/>
  <c r="Q1508" i="1" s="1"/>
  <c r="S1508" i="1" s="1"/>
  <c r="U1508" i="1" s="1"/>
  <c r="W1508" i="1" s="1"/>
  <c r="Y1508" i="1" s="1"/>
  <c r="AA1508" i="1" s="1"/>
  <c r="O1454" i="1"/>
  <c r="Q1454" i="1" s="1"/>
  <c r="S1454" i="1" s="1"/>
  <c r="U1454" i="1" s="1"/>
  <c r="W1454" i="1" s="1"/>
  <c r="Y1454" i="1" s="1"/>
  <c r="AA1454" i="1" s="1"/>
  <c r="O1334" i="1"/>
  <c r="Q1334" i="1" s="1"/>
  <c r="S1334" i="1" s="1"/>
  <c r="U1334" i="1" s="1"/>
  <c r="W1334" i="1" s="1"/>
  <c r="Y1334" i="1" s="1"/>
  <c r="AA1334" i="1" s="1"/>
  <c r="O1283" i="1"/>
  <c r="Q1283" i="1" s="1"/>
  <c r="S1283" i="1" s="1"/>
  <c r="U1283" i="1" s="1"/>
  <c r="W1283" i="1" s="1"/>
  <c r="Y1283" i="1" s="1"/>
  <c r="AA1283" i="1" s="1"/>
  <c r="O1208" i="1"/>
  <c r="Q1208" i="1" s="1"/>
  <c r="S1208" i="1" s="1"/>
  <c r="U1208" i="1" s="1"/>
  <c r="W1208" i="1" s="1"/>
  <c r="Y1208" i="1" s="1"/>
  <c r="AA1208" i="1" s="1"/>
  <c r="O1126" i="1"/>
  <c r="Q1126" i="1" s="1"/>
  <c r="S1126" i="1" s="1"/>
  <c r="U1126" i="1" s="1"/>
  <c r="W1126" i="1" s="1"/>
  <c r="Y1126" i="1" s="1"/>
  <c r="AA1126" i="1" s="1"/>
  <c r="O896" i="1"/>
  <c r="Q896" i="1" s="1"/>
  <c r="S896" i="1" s="1"/>
  <c r="U896" i="1" s="1"/>
  <c r="W896" i="1" s="1"/>
  <c r="Y896" i="1" s="1"/>
  <c r="AA896" i="1" s="1"/>
  <c r="O833" i="1"/>
  <c r="Q833" i="1" s="1"/>
  <c r="S833" i="1" s="1"/>
  <c r="U833" i="1" s="1"/>
  <c r="W833" i="1" s="1"/>
  <c r="Y833" i="1" s="1"/>
  <c r="AA833" i="1" s="1"/>
  <c r="O330" i="1"/>
  <c r="Q330" i="1" s="1"/>
  <c r="S330" i="1" s="1"/>
  <c r="U330" i="1" s="1"/>
  <c r="W330" i="1" s="1"/>
  <c r="Y330" i="1" s="1"/>
  <c r="AA330" i="1" s="1"/>
  <c r="O236" i="1"/>
  <c r="Q236" i="1" s="1"/>
  <c r="S236" i="1" s="1"/>
  <c r="U236" i="1" s="1"/>
  <c r="W236" i="1" s="1"/>
  <c r="Y236" i="1" s="1"/>
  <c r="AA236" i="1" s="1"/>
  <c r="O167" i="1"/>
  <c r="Q167" i="1" s="1"/>
  <c r="S167" i="1" s="1"/>
  <c r="U167" i="1" s="1"/>
  <c r="W167" i="1" s="1"/>
  <c r="Y167" i="1" s="1"/>
  <c r="AA167" i="1" s="1"/>
  <c r="O88" i="1"/>
  <c r="Q88" i="1" s="1"/>
  <c r="S88" i="1" s="1"/>
  <c r="U88" i="1" s="1"/>
  <c r="W88" i="1" s="1"/>
  <c r="Y88" i="1" s="1"/>
  <c r="AA88" i="1" s="1"/>
  <c r="O79" i="1"/>
  <c r="Q79" i="1" s="1"/>
  <c r="S79" i="1" s="1"/>
  <c r="U79" i="1" s="1"/>
  <c r="W79" i="1" s="1"/>
  <c r="Y79" i="1" s="1"/>
  <c r="AA79" i="1" s="1"/>
  <c r="O1678" i="1"/>
  <c r="Q1678" i="1" s="1"/>
  <c r="S1678" i="1" s="1"/>
  <c r="U1678" i="1" s="1"/>
  <c r="W1678" i="1" s="1"/>
  <c r="Y1678" i="1" s="1"/>
  <c r="AA1678" i="1" s="1"/>
  <c r="O1448" i="1"/>
  <c r="Q1448" i="1" s="1"/>
  <c r="S1448" i="1" s="1"/>
  <c r="U1448" i="1" s="1"/>
  <c r="W1448" i="1" s="1"/>
  <c r="Y1448" i="1" s="1"/>
  <c r="AA1448" i="1" s="1"/>
  <c r="O1146" i="1"/>
  <c r="Q1146" i="1" s="1"/>
  <c r="S1146" i="1" s="1"/>
  <c r="U1146" i="1" s="1"/>
  <c r="W1146" i="1" s="1"/>
  <c r="Y1146" i="1" s="1"/>
  <c r="AA1146" i="1" s="1"/>
  <c r="O309" i="1"/>
  <c r="Q309" i="1" s="1"/>
  <c r="S309" i="1" s="1"/>
  <c r="U309" i="1" s="1"/>
  <c r="W309" i="1" s="1"/>
  <c r="Y309" i="1" s="1"/>
  <c r="AA309" i="1" s="1"/>
  <c r="O1604" i="1"/>
  <c r="Q1604" i="1" s="1"/>
  <c r="S1604" i="1" s="1"/>
  <c r="U1604" i="1" s="1"/>
  <c r="W1604" i="1" s="1"/>
  <c r="Y1604" i="1" s="1"/>
  <c r="AA1604" i="1" s="1"/>
  <c r="O1840" i="1"/>
  <c r="Q1840" i="1" s="1"/>
  <c r="S1840" i="1" s="1"/>
  <c r="U1840" i="1" s="1"/>
  <c r="W1840" i="1" s="1"/>
  <c r="Y1840" i="1" s="1"/>
  <c r="AA1840" i="1" s="1"/>
  <c r="O1620" i="1"/>
  <c r="Q1620" i="1" s="1"/>
  <c r="S1620" i="1" s="1"/>
  <c r="U1620" i="1" s="1"/>
  <c r="W1620" i="1" s="1"/>
  <c r="Y1620" i="1" s="1"/>
  <c r="AA1620" i="1" s="1"/>
  <c r="O1224" i="1"/>
  <c r="Q1224" i="1" s="1"/>
  <c r="S1224" i="1" s="1"/>
  <c r="U1224" i="1" s="1"/>
  <c r="W1224" i="1" s="1"/>
  <c r="Y1224" i="1" s="1"/>
  <c r="AA1224" i="1" s="1"/>
  <c r="O282" i="1"/>
  <c r="Q282" i="1" s="1"/>
  <c r="S282" i="1" s="1"/>
  <c r="U282" i="1" s="1"/>
  <c r="W282" i="1" s="1"/>
  <c r="Y282" i="1" s="1"/>
  <c r="AA282" i="1" s="1"/>
  <c r="O1603" i="1"/>
  <c r="Q1603" i="1" s="1"/>
  <c r="S1603" i="1" s="1"/>
  <c r="U1603" i="1" s="1"/>
  <c r="W1603" i="1" s="1"/>
  <c r="Y1603" i="1" s="1"/>
  <c r="AA1603" i="1" s="1"/>
  <c r="O139" i="1"/>
  <c r="Q139" i="1" s="1"/>
  <c r="S139" i="1" s="1"/>
  <c r="U139" i="1" s="1"/>
  <c r="W139" i="1" s="1"/>
  <c r="Y139" i="1" s="1"/>
  <c r="AA139" i="1" s="1"/>
  <c r="O1328" i="1"/>
  <c r="Q1328" i="1" s="1"/>
  <c r="S1328" i="1" s="1"/>
  <c r="U1328" i="1" s="1"/>
  <c r="W1328" i="1" s="1"/>
  <c r="Y1328" i="1" s="1"/>
  <c r="AA1328" i="1" s="1"/>
  <c r="O1826" i="1"/>
  <c r="Q1826" i="1" s="1"/>
  <c r="S1826" i="1" s="1"/>
  <c r="U1826" i="1" s="1"/>
  <c r="W1826" i="1" s="1"/>
  <c r="Y1826" i="1" s="1"/>
  <c r="AA1826" i="1" s="1"/>
  <c r="O1739" i="1"/>
  <c r="Q1739" i="1" s="1"/>
  <c r="S1739" i="1" s="1"/>
  <c r="U1739" i="1" s="1"/>
  <c r="W1739" i="1" s="1"/>
  <c r="Y1739" i="1" s="1"/>
  <c r="AA1739" i="1" s="1"/>
  <c r="O1580" i="1"/>
  <c r="Q1580" i="1" s="1"/>
  <c r="S1580" i="1" s="1"/>
  <c r="U1580" i="1" s="1"/>
  <c r="W1580" i="1" s="1"/>
  <c r="Y1580" i="1" s="1"/>
  <c r="AA1580" i="1" s="1"/>
  <c r="O1506" i="1"/>
  <c r="Q1506" i="1" s="1"/>
  <c r="S1506" i="1" s="1"/>
  <c r="U1506" i="1" s="1"/>
  <c r="W1506" i="1" s="1"/>
  <c r="Y1506" i="1" s="1"/>
  <c r="AA1506" i="1" s="1"/>
  <c r="O1330" i="1"/>
  <c r="Q1330" i="1" s="1"/>
  <c r="S1330" i="1" s="1"/>
  <c r="U1330" i="1" s="1"/>
  <c r="W1330" i="1" s="1"/>
  <c r="Y1330" i="1" s="1"/>
  <c r="AA1330" i="1" s="1"/>
  <c r="O1275" i="1"/>
  <c r="Q1275" i="1" s="1"/>
  <c r="S1275" i="1" s="1"/>
  <c r="U1275" i="1" s="1"/>
  <c r="W1275" i="1" s="1"/>
  <c r="Y1275" i="1" s="1"/>
  <c r="AA1275" i="1" s="1"/>
  <c r="O984" i="1"/>
  <c r="Q984" i="1" s="1"/>
  <c r="S984" i="1" s="1"/>
  <c r="U984" i="1" s="1"/>
  <c r="W984" i="1" s="1"/>
  <c r="Y984" i="1" s="1"/>
  <c r="AA984" i="1" s="1"/>
  <c r="O883" i="1"/>
  <c r="Q883" i="1" s="1"/>
  <c r="S883" i="1" s="1"/>
  <c r="U883" i="1" s="1"/>
  <c r="W883" i="1" s="1"/>
  <c r="Y883" i="1" s="1"/>
  <c r="AA883" i="1" s="1"/>
  <c r="O824" i="1"/>
  <c r="Q824" i="1" s="1"/>
  <c r="S824" i="1" s="1"/>
  <c r="U824" i="1" s="1"/>
  <c r="W824" i="1" s="1"/>
  <c r="Y824" i="1" s="1"/>
  <c r="AA824" i="1" s="1"/>
  <c r="O308" i="1"/>
  <c r="Q308" i="1" s="1"/>
  <c r="S308" i="1" s="1"/>
  <c r="U308" i="1" s="1"/>
  <c r="W308" i="1" s="1"/>
  <c r="Y308" i="1" s="1"/>
  <c r="AA308" i="1" s="1"/>
  <c r="O233" i="1"/>
  <c r="Q233" i="1" s="1"/>
  <c r="S233" i="1" s="1"/>
  <c r="U233" i="1" s="1"/>
  <c r="W233" i="1" s="1"/>
  <c r="Y233" i="1" s="1"/>
  <c r="AA233" i="1" s="1"/>
  <c r="O146" i="1"/>
  <c r="Q146" i="1" s="1"/>
  <c r="S146" i="1" s="1"/>
  <c r="U146" i="1" s="1"/>
  <c r="W146" i="1" s="1"/>
  <c r="Y146" i="1" s="1"/>
  <c r="AA146" i="1" s="1"/>
  <c r="O84" i="1"/>
  <c r="Q84" i="1" s="1"/>
  <c r="S84" i="1" s="1"/>
  <c r="U84" i="1" s="1"/>
  <c r="W84" i="1" s="1"/>
  <c r="Y84" i="1" s="1"/>
  <c r="AA84" i="1" s="1"/>
  <c r="O1130" i="1"/>
  <c r="Q1130" i="1" s="1"/>
  <c r="S1130" i="1" s="1"/>
  <c r="U1130" i="1" s="1"/>
  <c r="W1130" i="1" s="1"/>
  <c r="Y1130" i="1" s="1"/>
  <c r="AA1130" i="1" s="1"/>
  <c r="O795" i="1"/>
  <c r="Q795" i="1" s="1"/>
  <c r="S795" i="1" s="1"/>
  <c r="U795" i="1" s="1"/>
  <c r="W795" i="1" s="1"/>
  <c r="Y795" i="1" s="1"/>
  <c r="AA795" i="1" s="1"/>
  <c r="O1707" i="1"/>
  <c r="Q1707" i="1" s="1"/>
  <c r="S1707" i="1" s="1"/>
  <c r="U1707" i="1" s="1"/>
  <c r="W1707" i="1" s="1"/>
  <c r="Y1707" i="1" s="1"/>
  <c r="AA1707" i="1" s="1"/>
  <c r="O1460" i="1"/>
  <c r="Q1460" i="1" s="1"/>
  <c r="S1460" i="1" s="1"/>
  <c r="U1460" i="1" s="1"/>
  <c r="W1460" i="1" s="1"/>
  <c r="Y1460" i="1" s="1"/>
  <c r="AA1460" i="1" s="1"/>
  <c r="O1241" i="1"/>
  <c r="Q1241" i="1" s="1"/>
  <c r="S1241" i="1" s="1"/>
  <c r="U1241" i="1" s="1"/>
  <c r="W1241" i="1" s="1"/>
  <c r="Y1241" i="1" s="1"/>
  <c r="AA1241" i="1" s="1"/>
  <c r="O852" i="1"/>
  <c r="Q852" i="1" s="1"/>
  <c r="S852" i="1" s="1"/>
  <c r="U852" i="1" s="1"/>
  <c r="W852" i="1" s="1"/>
  <c r="Y852" i="1" s="1"/>
  <c r="AA852" i="1" s="1"/>
  <c r="O268" i="1"/>
  <c r="Q268" i="1" s="1"/>
  <c r="S268" i="1" s="1"/>
  <c r="U268" i="1" s="1"/>
  <c r="W268" i="1" s="1"/>
  <c r="Y268" i="1" s="1"/>
  <c r="AA268" i="1" s="1"/>
  <c r="O69" i="1"/>
  <c r="Q69" i="1" s="1"/>
  <c r="S69" i="1" s="1"/>
  <c r="U69" i="1" s="1"/>
  <c r="W69" i="1" s="1"/>
  <c r="Y69" i="1" s="1"/>
  <c r="AA69" i="1" s="1"/>
  <c r="O1839" i="1"/>
  <c r="Q1839" i="1" s="1"/>
  <c r="S1839" i="1" s="1"/>
  <c r="U1839" i="1" s="1"/>
  <c r="W1839" i="1" s="1"/>
  <c r="Y1839" i="1" s="1"/>
  <c r="AA1839" i="1" s="1"/>
  <c r="O1768" i="1"/>
  <c r="Q1768" i="1" s="1"/>
  <c r="S1768" i="1" s="1"/>
  <c r="U1768" i="1" s="1"/>
  <c r="W1768" i="1" s="1"/>
  <c r="Y1768" i="1" s="1"/>
  <c r="AA1768" i="1" s="1"/>
  <c r="O1703" i="1"/>
  <c r="Q1703" i="1" s="1"/>
  <c r="S1703" i="1" s="1"/>
  <c r="U1703" i="1" s="1"/>
  <c r="W1703" i="1" s="1"/>
  <c r="Y1703" i="1" s="1"/>
  <c r="AA1703" i="1" s="1"/>
  <c r="O1618" i="1"/>
  <c r="Q1618" i="1" s="1"/>
  <c r="S1618" i="1" s="1"/>
  <c r="U1618" i="1" s="1"/>
  <c r="W1618" i="1" s="1"/>
  <c r="Y1618" i="1" s="1"/>
  <c r="AA1618" i="1" s="1"/>
  <c r="O1534" i="1"/>
  <c r="Q1534" i="1" s="1"/>
  <c r="S1534" i="1" s="1"/>
  <c r="U1534" i="1" s="1"/>
  <c r="W1534" i="1" s="1"/>
  <c r="Y1534" i="1" s="1"/>
  <c r="AA1534" i="1" s="1"/>
  <c r="O1474" i="1"/>
  <c r="Q1474" i="1" s="1"/>
  <c r="S1474" i="1" s="1"/>
  <c r="U1474" i="1" s="1"/>
  <c r="W1474" i="1" s="1"/>
  <c r="Y1474" i="1" s="1"/>
  <c r="AA1474" i="1" s="1"/>
  <c r="O1352" i="1"/>
  <c r="Q1352" i="1" s="1"/>
  <c r="S1352" i="1" s="1"/>
  <c r="U1352" i="1" s="1"/>
  <c r="W1352" i="1" s="1"/>
  <c r="Y1352" i="1" s="1"/>
  <c r="AA1352" i="1" s="1"/>
  <c r="O1303" i="1"/>
  <c r="Q1303" i="1" s="1"/>
  <c r="S1303" i="1" s="1"/>
  <c r="U1303" i="1" s="1"/>
  <c r="W1303" i="1" s="1"/>
  <c r="Y1303" i="1" s="1"/>
  <c r="AA1303" i="1" s="1"/>
  <c r="O1223" i="1"/>
  <c r="Q1223" i="1" s="1"/>
  <c r="S1223" i="1" s="1"/>
  <c r="U1223" i="1" s="1"/>
  <c r="W1223" i="1" s="1"/>
  <c r="Y1223" i="1" s="1"/>
  <c r="AA1223" i="1" s="1"/>
  <c r="O1136" i="1"/>
  <c r="Q1136" i="1" s="1"/>
  <c r="S1136" i="1" s="1"/>
  <c r="U1136" i="1" s="1"/>
  <c r="W1136" i="1" s="1"/>
  <c r="Y1136" i="1" s="1"/>
  <c r="AA1136" i="1" s="1"/>
  <c r="O940" i="1"/>
  <c r="Q940" i="1" s="1"/>
  <c r="S940" i="1" s="1"/>
  <c r="U940" i="1" s="1"/>
  <c r="W940" i="1" s="1"/>
  <c r="Y940" i="1" s="1"/>
  <c r="AA940" i="1" s="1"/>
  <c r="O838" i="1"/>
  <c r="Q838" i="1" s="1"/>
  <c r="S838" i="1" s="1"/>
  <c r="U838" i="1" s="1"/>
  <c r="W838" i="1" s="1"/>
  <c r="Y838" i="1" s="1"/>
  <c r="AA838" i="1" s="1"/>
  <c r="O783" i="1"/>
  <c r="Q783" i="1" s="1"/>
  <c r="S783" i="1" s="1"/>
  <c r="U783" i="1" s="1"/>
  <c r="W783" i="1" s="1"/>
  <c r="Y783" i="1" s="1"/>
  <c r="AA783" i="1" s="1"/>
  <c r="O271" i="1"/>
  <c r="Q271" i="1" s="1"/>
  <c r="S271" i="1" s="1"/>
  <c r="U271" i="1" s="1"/>
  <c r="W271" i="1" s="1"/>
  <c r="Y271" i="1" s="1"/>
  <c r="AA271" i="1" s="1"/>
  <c r="O176" i="1"/>
  <c r="Q176" i="1" s="1"/>
  <c r="S176" i="1" s="1"/>
  <c r="U176" i="1" s="1"/>
  <c r="W176" i="1" s="1"/>
  <c r="Y176" i="1" s="1"/>
  <c r="AA176" i="1" s="1"/>
  <c r="O107" i="1"/>
  <c r="Q107" i="1" s="1"/>
  <c r="S107" i="1" s="1"/>
  <c r="U107" i="1" s="1"/>
  <c r="W107" i="1" s="1"/>
  <c r="Y107" i="1" s="1"/>
  <c r="AA107" i="1" s="1"/>
  <c r="O54" i="1"/>
  <c r="Q54" i="1" s="1"/>
  <c r="S54" i="1" s="1"/>
  <c r="U54" i="1" s="1"/>
  <c r="W54" i="1" s="1"/>
  <c r="Y54" i="1" s="1"/>
  <c r="AA54" i="1" s="1"/>
  <c r="O1846" i="1"/>
  <c r="Q1846" i="1" s="1"/>
  <c r="S1846" i="1" s="1"/>
  <c r="U1846" i="1" s="1"/>
  <c r="W1846" i="1" s="1"/>
  <c r="Y1846" i="1" s="1"/>
  <c r="AA1846" i="1" s="1"/>
  <c r="O1624" i="1"/>
  <c r="Q1624" i="1" s="1"/>
  <c r="S1624" i="1" s="1"/>
  <c r="U1624" i="1" s="1"/>
  <c r="W1624" i="1" s="1"/>
  <c r="Y1624" i="1" s="1"/>
  <c r="AA1624" i="1" s="1"/>
  <c r="O1414" i="1"/>
  <c r="Q1414" i="1" s="1"/>
  <c r="S1414" i="1" s="1"/>
  <c r="U1414" i="1" s="1"/>
  <c r="W1414" i="1" s="1"/>
  <c r="Y1414" i="1" s="1"/>
  <c r="AA1414" i="1" s="1"/>
  <c r="O1185" i="1"/>
  <c r="Q1185" i="1" s="1"/>
  <c r="S1185" i="1" s="1"/>
  <c r="U1185" i="1" s="1"/>
  <c r="W1185" i="1" s="1"/>
  <c r="Y1185" i="1" s="1"/>
  <c r="AA1185" i="1" s="1"/>
  <c r="O836" i="1"/>
  <c r="Q836" i="1" s="1"/>
  <c r="S836" i="1" s="1"/>
  <c r="U836" i="1" s="1"/>
  <c r="W836" i="1" s="1"/>
  <c r="Y836" i="1" s="1"/>
  <c r="AA836" i="1" s="1"/>
  <c r="O170" i="1"/>
  <c r="Q170" i="1" s="1"/>
  <c r="S170" i="1" s="1"/>
  <c r="U170" i="1" s="1"/>
  <c r="W170" i="1" s="1"/>
  <c r="Y170" i="1" s="1"/>
  <c r="AA170" i="1" s="1"/>
  <c r="O1211" i="1"/>
  <c r="Q1211" i="1" s="1"/>
  <c r="S1211" i="1" s="1"/>
  <c r="U1211" i="1" s="1"/>
  <c r="W1211" i="1" s="1"/>
  <c r="Y1211" i="1" s="1"/>
  <c r="AA1211" i="1" s="1"/>
  <c r="O1806" i="1"/>
  <c r="Q1806" i="1" s="1"/>
  <c r="S1806" i="1" s="1"/>
  <c r="U1806" i="1" s="1"/>
  <c r="W1806" i="1" s="1"/>
  <c r="Y1806" i="1" s="1"/>
  <c r="AA1806" i="1" s="1"/>
  <c r="O1729" i="1"/>
  <c r="Q1729" i="1" s="1"/>
  <c r="S1729" i="1" s="1"/>
  <c r="U1729" i="1" s="1"/>
  <c r="W1729" i="1" s="1"/>
  <c r="Y1729" i="1" s="1"/>
  <c r="AA1729" i="1" s="1"/>
  <c r="O1670" i="1"/>
  <c r="Q1670" i="1" s="1"/>
  <c r="S1670" i="1" s="1"/>
  <c r="U1670" i="1" s="1"/>
  <c r="W1670" i="1" s="1"/>
  <c r="Y1670" i="1" s="1"/>
  <c r="AA1670" i="1" s="1"/>
  <c r="O1566" i="1"/>
  <c r="Q1566" i="1" s="1"/>
  <c r="S1566" i="1" s="1"/>
  <c r="U1566" i="1" s="1"/>
  <c r="W1566" i="1" s="1"/>
  <c r="Y1566" i="1" s="1"/>
  <c r="AA1566" i="1" s="1"/>
  <c r="O1494" i="1"/>
  <c r="Q1494" i="1" s="1"/>
  <c r="S1494" i="1" s="1"/>
  <c r="U1494" i="1" s="1"/>
  <c r="W1494" i="1" s="1"/>
  <c r="Y1494" i="1" s="1"/>
  <c r="AA1494" i="1" s="1"/>
  <c r="O1415" i="1"/>
  <c r="Q1415" i="1" s="1"/>
  <c r="S1415" i="1" s="1"/>
  <c r="U1415" i="1" s="1"/>
  <c r="W1415" i="1" s="1"/>
  <c r="Y1415" i="1" s="1"/>
  <c r="AA1415" i="1" s="1"/>
  <c r="O1327" i="1"/>
  <c r="Q1327" i="1" s="1"/>
  <c r="S1327" i="1" s="1"/>
  <c r="U1327" i="1" s="1"/>
  <c r="W1327" i="1" s="1"/>
  <c r="Y1327" i="1" s="1"/>
  <c r="AA1327" i="1" s="1"/>
  <c r="O1244" i="1"/>
  <c r="Q1244" i="1" s="1"/>
  <c r="S1244" i="1" s="1"/>
  <c r="U1244" i="1" s="1"/>
  <c r="W1244" i="1" s="1"/>
  <c r="Y1244" i="1" s="1"/>
  <c r="AA1244" i="1" s="1"/>
  <c r="O1186" i="1"/>
  <c r="Q1186" i="1" s="1"/>
  <c r="S1186" i="1" s="1"/>
  <c r="U1186" i="1" s="1"/>
  <c r="W1186" i="1" s="1"/>
  <c r="Y1186" i="1" s="1"/>
  <c r="AA1186" i="1" s="1"/>
  <c r="O971" i="1"/>
  <c r="Q971" i="1" s="1"/>
  <c r="S971" i="1" s="1"/>
  <c r="U971" i="1" s="1"/>
  <c r="W971" i="1" s="1"/>
  <c r="Y971" i="1" s="1"/>
  <c r="AA971" i="1" s="1"/>
  <c r="O866" i="1"/>
  <c r="Q866" i="1" s="1"/>
  <c r="S866" i="1" s="1"/>
  <c r="U866" i="1" s="1"/>
  <c r="W866" i="1" s="1"/>
  <c r="Y866" i="1" s="1"/>
  <c r="AA866" i="1" s="1"/>
  <c r="O821" i="1"/>
  <c r="Q821" i="1" s="1"/>
  <c r="S821" i="1" s="1"/>
  <c r="U821" i="1" s="1"/>
  <c r="W821" i="1" s="1"/>
  <c r="Y821" i="1" s="1"/>
  <c r="AA821" i="1" s="1"/>
  <c r="O305" i="1"/>
  <c r="Q305" i="1" s="1"/>
  <c r="S305" i="1" s="1"/>
  <c r="U305" i="1" s="1"/>
  <c r="W305" i="1" s="1"/>
  <c r="Y305" i="1" s="1"/>
  <c r="AA305" i="1" s="1"/>
  <c r="O219" i="1"/>
  <c r="Q219" i="1" s="1"/>
  <c r="S219" i="1" s="1"/>
  <c r="U219" i="1" s="1"/>
  <c r="W219" i="1" s="1"/>
  <c r="Y219" i="1" s="1"/>
  <c r="AA219" i="1" s="1"/>
  <c r="O140" i="1"/>
  <c r="Q140" i="1" s="1"/>
  <c r="S140" i="1" s="1"/>
  <c r="U140" i="1" s="1"/>
  <c r="W140" i="1" s="1"/>
  <c r="Y140" i="1" s="1"/>
  <c r="AA140" i="1" s="1"/>
  <c r="O76" i="1"/>
  <c r="Q76" i="1" s="1"/>
  <c r="S76" i="1" s="1"/>
  <c r="U76" i="1" s="1"/>
  <c r="W76" i="1" s="1"/>
  <c r="Y76" i="1" s="1"/>
  <c r="AA76" i="1" s="1"/>
  <c r="O1822" i="1"/>
  <c r="Q1822" i="1" s="1"/>
  <c r="S1822" i="1" s="1"/>
  <c r="U1822" i="1" s="1"/>
  <c r="W1822" i="1" s="1"/>
  <c r="Y1822" i="1" s="1"/>
  <c r="AA1822" i="1" s="1"/>
  <c r="O1606" i="1"/>
  <c r="Q1606" i="1" s="1"/>
  <c r="S1606" i="1" s="1"/>
  <c r="U1606" i="1" s="1"/>
  <c r="W1606" i="1" s="1"/>
  <c r="Y1606" i="1" s="1"/>
  <c r="AA1606" i="1" s="1"/>
  <c r="O1349" i="1"/>
  <c r="Q1349" i="1" s="1"/>
  <c r="S1349" i="1" s="1"/>
  <c r="U1349" i="1" s="1"/>
  <c r="W1349" i="1" s="1"/>
  <c r="Y1349" i="1" s="1"/>
  <c r="AA1349" i="1" s="1"/>
  <c r="O965" i="1"/>
  <c r="Q965" i="1" s="1"/>
  <c r="S965" i="1" s="1"/>
  <c r="U965" i="1" s="1"/>
  <c r="W965" i="1" s="1"/>
  <c r="Y965" i="1" s="1"/>
  <c r="AA965" i="1" s="1"/>
  <c r="O235" i="1"/>
  <c r="Q235" i="1" s="1"/>
  <c r="S235" i="1" s="1"/>
  <c r="U235" i="1" s="1"/>
  <c r="W235" i="1" s="1"/>
  <c r="Y235" i="1" s="1"/>
  <c r="AA235" i="1" s="1"/>
  <c r="O1706" i="1"/>
  <c r="Q1706" i="1" s="1"/>
  <c r="S1706" i="1" s="1"/>
  <c r="U1706" i="1" s="1"/>
  <c r="W1706" i="1" s="1"/>
  <c r="Y1706" i="1" s="1"/>
  <c r="AA1706" i="1" s="1"/>
  <c r="O1543" i="1"/>
  <c r="Q1543" i="1" s="1"/>
  <c r="S1543" i="1" s="1"/>
  <c r="U1543" i="1" s="1"/>
  <c r="W1543" i="1" s="1"/>
  <c r="Y1543" i="1" s="1"/>
  <c r="AA1543" i="1" s="1"/>
  <c r="O1354" i="1"/>
  <c r="Q1354" i="1" s="1"/>
  <c r="S1354" i="1" s="1"/>
  <c r="U1354" i="1" s="1"/>
  <c r="W1354" i="1" s="1"/>
  <c r="Y1354" i="1" s="1"/>
  <c r="AA1354" i="1" s="1"/>
  <c r="O1139" i="1"/>
  <c r="Q1139" i="1" s="1"/>
  <c r="S1139" i="1" s="1"/>
  <c r="U1139" i="1" s="1"/>
  <c r="W1139" i="1" s="1"/>
  <c r="Y1139" i="1" s="1"/>
  <c r="AA1139" i="1" s="1"/>
  <c r="O785" i="1"/>
  <c r="Q785" i="1" s="1"/>
  <c r="S785" i="1" s="1"/>
  <c r="U785" i="1" s="1"/>
  <c r="W785" i="1" s="1"/>
  <c r="Y785" i="1" s="1"/>
  <c r="AA785" i="1" s="1"/>
  <c r="O108" i="1"/>
  <c r="Q108" i="1" s="1"/>
  <c r="S108" i="1" s="1"/>
  <c r="U108" i="1" s="1"/>
  <c r="W108" i="1" s="1"/>
  <c r="Y108" i="1" s="1"/>
  <c r="AA108" i="1" s="1"/>
  <c r="O1804" i="1"/>
  <c r="Q1804" i="1" s="1"/>
  <c r="S1804" i="1" s="1"/>
  <c r="U1804" i="1" s="1"/>
  <c r="W1804" i="1" s="1"/>
  <c r="Y1804" i="1" s="1"/>
  <c r="AA1804" i="1" s="1"/>
  <c r="O1333" i="1"/>
  <c r="Q1333" i="1" s="1"/>
  <c r="S1333" i="1" s="1"/>
  <c r="U1333" i="1" s="1"/>
  <c r="W1333" i="1" s="1"/>
  <c r="Y1333" i="1" s="1"/>
  <c r="AA1333" i="1" s="1"/>
  <c r="O793" i="1"/>
  <c r="Q793" i="1" s="1"/>
  <c r="S793" i="1" s="1"/>
  <c r="U793" i="1" s="1"/>
  <c r="W793" i="1" s="1"/>
  <c r="Y793" i="1" s="1"/>
  <c r="AA793" i="1" s="1"/>
  <c r="O1733" i="1"/>
  <c r="Q1733" i="1" s="1"/>
  <c r="S1733" i="1" s="1"/>
  <c r="U1733" i="1" s="1"/>
  <c r="W1733" i="1" s="1"/>
  <c r="Y1733" i="1" s="1"/>
  <c r="AA1733" i="1" s="1"/>
  <c r="O1569" i="1"/>
  <c r="Q1569" i="1" s="1"/>
  <c r="S1569" i="1" s="1"/>
  <c r="U1569" i="1" s="1"/>
  <c r="W1569" i="1" s="1"/>
  <c r="Y1569" i="1" s="1"/>
  <c r="AA1569" i="1" s="1"/>
  <c r="O1419" i="1"/>
  <c r="Q1419" i="1" s="1"/>
  <c r="S1419" i="1" s="1"/>
  <c r="U1419" i="1" s="1"/>
  <c r="W1419" i="1" s="1"/>
  <c r="Y1419" i="1" s="1"/>
  <c r="AA1419" i="1" s="1"/>
  <c r="O1187" i="1"/>
  <c r="Q1187" i="1" s="1"/>
  <c r="S1187" i="1" s="1"/>
  <c r="U1187" i="1" s="1"/>
  <c r="W1187" i="1" s="1"/>
  <c r="Y1187" i="1" s="1"/>
  <c r="AA1187" i="1" s="1"/>
  <c r="O880" i="1"/>
  <c r="Q880" i="1" s="1"/>
  <c r="S880" i="1" s="1"/>
  <c r="U880" i="1" s="1"/>
  <c r="W880" i="1" s="1"/>
  <c r="Y880" i="1" s="1"/>
  <c r="AA880" i="1" s="1"/>
  <c r="O306" i="1"/>
  <c r="Q306" i="1" s="1"/>
  <c r="S306" i="1" s="1"/>
  <c r="U306" i="1" s="1"/>
  <c r="W306" i="1" s="1"/>
  <c r="Y306" i="1" s="1"/>
  <c r="AA306" i="1" s="1"/>
  <c r="O80" i="1"/>
  <c r="Q80" i="1" s="1"/>
  <c r="S80" i="1" s="1"/>
  <c r="U80" i="1" s="1"/>
  <c r="W80" i="1" s="1"/>
  <c r="Y80" i="1" s="1"/>
  <c r="AA80" i="1" s="1"/>
  <c r="O1698" i="1"/>
  <c r="Q1698" i="1" s="1"/>
  <c r="S1698" i="1" s="1"/>
  <c r="U1698" i="1" s="1"/>
  <c r="W1698" i="1" s="1"/>
  <c r="Y1698" i="1" s="1"/>
  <c r="AA1698" i="1" s="1"/>
  <c r="O1810" i="1"/>
  <c r="Q1810" i="1" s="1"/>
  <c r="S1810" i="1" s="1"/>
  <c r="U1810" i="1" s="1"/>
  <c r="W1810" i="1" s="1"/>
  <c r="Y1810" i="1" s="1"/>
  <c r="AA1810" i="1" s="1"/>
  <c r="O1674" i="1"/>
  <c r="Q1674" i="1" s="1"/>
  <c r="S1674" i="1" s="1"/>
  <c r="U1674" i="1" s="1"/>
  <c r="W1674" i="1" s="1"/>
  <c r="Y1674" i="1" s="1"/>
  <c r="AA1674" i="1" s="1"/>
  <c r="O1425" i="1"/>
  <c r="Q1425" i="1" s="1"/>
  <c r="S1425" i="1" s="1"/>
  <c r="U1425" i="1" s="1"/>
  <c r="W1425" i="1" s="1"/>
  <c r="Y1425" i="1" s="1"/>
  <c r="AA1425" i="1" s="1"/>
  <c r="O1197" i="1"/>
  <c r="Q1197" i="1" s="1"/>
  <c r="S1197" i="1" s="1"/>
  <c r="U1197" i="1" s="1"/>
  <c r="W1197" i="1" s="1"/>
  <c r="Y1197" i="1" s="1"/>
  <c r="AA1197" i="1" s="1"/>
  <c r="O1857" i="1"/>
  <c r="Q1857" i="1" s="1"/>
  <c r="S1857" i="1" s="1"/>
  <c r="U1857" i="1" s="1"/>
  <c r="W1857" i="1" s="1"/>
  <c r="Y1857" i="1" s="1"/>
  <c r="AA1857" i="1" s="1"/>
  <c r="O1798" i="1"/>
  <c r="Q1798" i="1" s="1"/>
  <c r="S1798" i="1" s="1"/>
  <c r="U1798" i="1" s="1"/>
  <c r="W1798" i="1" s="1"/>
  <c r="Y1798" i="1" s="1"/>
  <c r="AA1798" i="1" s="1"/>
  <c r="O1722" i="1"/>
  <c r="Q1722" i="1" s="1"/>
  <c r="S1722" i="1" s="1"/>
  <c r="U1722" i="1" s="1"/>
  <c r="W1722" i="1" s="1"/>
  <c r="Y1722" i="1" s="1"/>
  <c r="AA1722" i="1" s="1"/>
  <c r="O1664" i="1"/>
  <c r="Q1664" i="1" s="1"/>
  <c r="S1664" i="1" s="1"/>
  <c r="U1664" i="1" s="1"/>
  <c r="W1664" i="1" s="1"/>
  <c r="Y1664" i="1" s="1"/>
  <c r="AA1664" i="1" s="1"/>
  <c r="O1561" i="1"/>
  <c r="Q1561" i="1" s="1"/>
  <c r="S1561" i="1" s="1"/>
  <c r="U1561" i="1" s="1"/>
  <c r="W1561" i="1" s="1"/>
  <c r="Y1561" i="1" s="1"/>
  <c r="AA1561" i="1" s="1"/>
  <c r="O1487" i="1"/>
  <c r="Q1487" i="1" s="1"/>
  <c r="S1487" i="1" s="1"/>
  <c r="U1487" i="1" s="1"/>
  <c r="W1487" i="1" s="1"/>
  <c r="Y1487" i="1" s="1"/>
  <c r="AA1487" i="1" s="1"/>
  <c r="O1412" i="1"/>
  <c r="Q1412" i="1" s="1"/>
  <c r="S1412" i="1" s="1"/>
  <c r="U1412" i="1" s="1"/>
  <c r="W1412" i="1" s="1"/>
  <c r="Y1412" i="1" s="1"/>
  <c r="AA1412" i="1" s="1"/>
  <c r="O1324" i="1"/>
  <c r="Q1324" i="1" s="1"/>
  <c r="S1324" i="1" s="1"/>
  <c r="U1324" i="1" s="1"/>
  <c r="W1324" i="1" s="1"/>
  <c r="Y1324" i="1" s="1"/>
  <c r="AA1324" i="1" s="1"/>
  <c r="O1239" i="1"/>
  <c r="Q1239" i="1" s="1"/>
  <c r="S1239" i="1" s="1"/>
  <c r="U1239" i="1" s="1"/>
  <c r="W1239" i="1" s="1"/>
  <c r="Y1239" i="1" s="1"/>
  <c r="AA1239" i="1" s="1"/>
  <c r="O1171" i="1"/>
  <c r="Q1171" i="1" s="1"/>
  <c r="S1171" i="1" s="1"/>
  <c r="U1171" i="1" s="1"/>
  <c r="W1171" i="1" s="1"/>
  <c r="Y1171" i="1" s="1"/>
  <c r="AA1171" i="1" s="1"/>
  <c r="O959" i="1"/>
  <c r="Q959" i="1" s="1"/>
  <c r="S959" i="1" s="1"/>
  <c r="U959" i="1" s="1"/>
  <c r="W959" i="1" s="1"/>
  <c r="Y959" i="1" s="1"/>
  <c r="AA959" i="1" s="1"/>
  <c r="O855" i="1"/>
  <c r="Q855" i="1" s="1"/>
  <c r="S855" i="1" s="1"/>
  <c r="U855" i="1" s="1"/>
  <c r="W855" i="1" s="1"/>
  <c r="Y855" i="1" s="1"/>
  <c r="AA855" i="1" s="1"/>
  <c r="O808" i="1"/>
  <c r="Q808" i="1" s="1"/>
  <c r="S808" i="1" s="1"/>
  <c r="U808" i="1" s="1"/>
  <c r="W808" i="1" s="1"/>
  <c r="Y808" i="1" s="1"/>
  <c r="AA808" i="1" s="1"/>
  <c r="O295" i="1"/>
  <c r="Q295" i="1" s="1"/>
  <c r="S295" i="1" s="1"/>
  <c r="U295" i="1" s="1"/>
  <c r="W295" i="1" s="1"/>
  <c r="Y295" i="1" s="1"/>
  <c r="AA295" i="1" s="1"/>
  <c r="O202" i="1"/>
  <c r="Q202" i="1" s="1"/>
  <c r="S202" i="1" s="1"/>
  <c r="U202" i="1" s="1"/>
  <c r="W202" i="1" s="1"/>
  <c r="Y202" i="1" s="1"/>
  <c r="AA202" i="1" s="1"/>
  <c r="O124" i="1"/>
  <c r="Q124" i="1" s="1"/>
  <c r="S124" i="1" s="1"/>
  <c r="U124" i="1" s="1"/>
  <c r="W124" i="1" s="1"/>
  <c r="Y124" i="1" s="1"/>
  <c r="AA124" i="1" s="1"/>
  <c r="O72" i="1"/>
  <c r="Q72" i="1" s="1"/>
  <c r="S72" i="1" s="1"/>
  <c r="U72" i="1" s="1"/>
  <c r="W72" i="1" s="1"/>
  <c r="Y72" i="1" s="1"/>
  <c r="AA72" i="1" s="1"/>
  <c r="O875" i="1"/>
  <c r="Q875" i="1" s="1"/>
  <c r="S875" i="1" s="1"/>
  <c r="U875" i="1" s="1"/>
  <c r="W875" i="1" s="1"/>
  <c r="Y875" i="1" s="1"/>
  <c r="AA875" i="1" s="1"/>
  <c r="O1867" i="1"/>
  <c r="Q1867" i="1" s="1"/>
  <c r="S1867" i="1" s="1"/>
  <c r="U1867" i="1" s="1"/>
  <c r="W1867" i="1" s="1"/>
  <c r="Y1867" i="1" s="1"/>
  <c r="AA1867" i="1" s="1"/>
  <c r="O1669" i="1"/>
  <c r="Q1669" i="1" s="1"/>
  <c r="S1669" i="1" s="1"/>
  <c r="U1669" i="1" s="1"/>
  <c r="W1669" i="1" s="1"/>
  <c r="Y1669" i="1" s="1"/>
  <c r="AA1669" i="1" s="1"/>
  <c r="O1363" i="1"/>
  <c r="Q1363" i="1" s="1"/>
  <c r="S1363" i="1" s="1"/>
  <c r="U1363" i="1" s="1"/>
  <c r="W1363" i="1" s="1"/>
  <c r="Y1363" i="1" s="1"/>
  <c r="AA1363" i="1" s="1"/>
  <c r="O1199" i="1"/>
  <c r="Q1199" i="1" s="1"/>
  <c r="S1199" i="1" s="1"/>
  <c r="U1199" i="1" s="1"/>
  <c r="W1199" i="1" s="1"/>
  <c r="Y1199" i="1" s="1"/>
  <c r="AA1199" i="1" s="1"/>
  <c r="O832" i="1"/>
  <c r="Q832" i="1" s="1"/>
  <c r="S832" i="1" s="1"/>
  <c r="U832" i="1" s="1"/>
  <c r="W832" i="1" s="1"/>
  <c r="Y832" i="1" s="1"/>
  <c r="AA832" i="1" s="1"/>
  <c r="O186" i="1"/>
  <c r="Q186" i="1" s="1"/>
  <c r="S186" i="1" s="1"/>
  <c r="U186" i="1" s="1"/>
  <c r="W186" i="1" s="1"/>
  <c r="Y186" i="1" s="1"/>
  <c r="AA186" i="1" s="1"/>
  <c r="O82" i="1"/>
  <c r="Q82" i="1" s="1"/>
  <c r="S82" i="1" s="1"/>
  <c r="U82" i="1" s="1"/>
  <c r="W82" i="1" s="1"/>
  <c r="Y82" i="1" s="1"/>
  <c r="AA82" i="1" s="1"/>
  <c r="O1816" i="1"/>
  <c r="Q1816" i="1" s="1"/>
  <c r="S1816" i="1" s="1"/>
  <c r="U1816" i="1" s="1"/>
  <c r="W1816" i="1" s="1"/>
  <c r="Y1816" i="1" s="1"/>
  <c r="AA1816" i="1" s="1"/>
  <c r="O1748" i="1"/>
  <c r="Q1748" i="1" s="1"/>
  <c r="S1748" i="1" s="1"/>
  <c r="U1748" i="1" s="1"/>
  <c r="W1748" i="1" s="1"/>
  <c r="Y1748" i="1" s="1"/>
  <c r="AA1748" i="1" s="1"/>
  <c r="O1686" i="1"/>
  <c r="Q1686" i="1" s="1"/>
  <c r="S1686" i="1" s="1"/>
  <c r="U1686" i="1" s="1"/>
  <c r="W1686" i="1" s="1"/>
  <c r="Y1686" i="1" s="1"/>
  <c r="AA1686" i="1" s="1"/>
  <c r="O1599" i="1"/>
  <c r="Q1599" i="1" s="1"/>
  <c r="S1599" i="1" s="1"/>
  <c r="U1599" i="1" s="1"/>
  <c r="W1599" i="1" s="1"/>
  <c r="Y1599" i="1" s="1"/>
  <c r="AA1599" i="1" s="1"/>
  <c r="O1513" i="1"/>
  <c r="Q1513" i="1" s="1"/>
  <c r="S1513" i="1" s="1"/>
  <c r="U1513" i="1" s="1"/>
  <c r="W1513" i="1" s="1"/>
  <c r="Y1513" i="1" s="1"/>
  <c r="AA1513" i="1" s="1"/>
  <c r="O1455" i="1"/>
  <c r="Q1455" i="1" s="1"/>
  <c r="S1455" i="1" s="1"/>
  <c r="U1455" i="1" s="1"/>
  <c r="W1455" i="1" s="1"/>
  <c r="Y1455" i="1" s="1"/>
  <c r="AA1455" i="1" s="1"/>
  <c r="O1337" i="1"/>
  <c r="Q1337" i="1" s="1"/>
  <c r="S1337" i="1" s="1"/>
  <c r="U1337" i="1" s="1"/>
  <c r="W1337" i="1" s="1"/>
  <c r="Y1337" i="1" s="1"/>
  <c r="AA1337" i="1" s="1"/>
  <c r="O1286" i="1"/>
  <c r="Q1286" i="1" s="1"/>
  <c r="S1286" i="1" s="1"/>
  <c r="U1286" i="1" s="1"/>
  <c r="W1286" i="1" s="1"/>
  <c r="Y1286" i="1" s="1"/>
  <c r="AA1286" i="1" s="1"/>
  <c r="O1209" i="1"/>
  <c r="Q1209" i="1" s="1"/>
  <c r="S1209" i="1" s="1"/>
  <c r="U1209" i="1" s="1"/>
  <c r="W1209" i="1" s="1"/>
  <c r="Y1209" i="1" s="1"/>
  <c r="AA1209" i="1" s="1"/>
  <c r="O1128" i="1"/>
  <c r="Q1128" i="1" s="1"/>
  <c r="S1128" i="1" s="1"/>
  <c r="U1128" i="1" s="1"/>
  <c r="W1128" i="1" s="1"/>
  <c r="Y1128" i="1" s="1"/>
  <c r="AA1128" i="1" s="1"/>
  <c r="O897" i="1"/>
  <c r="Q897" i="1" s="1"/>
  <c r="S897" i="1" s="1"/>
  <c r="U897" i="1" s="1"/>
  <c r="W897" i="1" s="1"/>
  <c r="Y897" i="1" s="1"/>
  <c r="AA897" i="1" s="1"/>
  <c r="O834" i="1"/>
  <c r="Q834" i="1" s="1"/>
  <c r="S834" i="1" s="1"/>
  <c r="U834" i="1" s="1"/>
  <c r="W834" i="1" s="1"/>
  <c r="Y834" i="1" s="1"/>
  <c r="AA834" i="1" s="1"/>
  <c r="O331" i="1"/>
  <c r="Q331" i="1" s="1"/>
  <c r="S331" i="1" s="1"/>
  <c r="U331" i="1" s="1"/>
  <c r="W331" i="1" s="1"/>
  <c r="Y331" i="1" s="1"/>
  <c r="AA331" i="1" s="1"/>
  <c r="O252" i="1"/>
  <c r="Q252" i="1" s="1"/>
  <c r="S252" i="1" s="1"/>
  <c r="U252" i="1" s="1"/>
  <c r="W252" i="1" s="1"/>
  <c r="Y252" i="1" s="1"/>
  <c r="AA252" i="1" s="1"/>
  <c r="O168" i="1"/>
  <c r="Q168" i="1" s="1"/>
  <c r="S168" i="1" s="1"/>
  <c r="U168" i="1" s="1"/>
  <c r="W168" i="1" s="1"/>
  <c r="Y168" i="1" s="1"/>
  <c r="AA168" i="1" s="1"/>
  <c r="O89" i="1"/>
  <c r="Q89" i="1" s="1"/>
  <c r="S89" i="1" s="1"/>
  <c r="U89" i="1" s="1"/>
  <c r="W89" i="1" s="1"/>
  <c r="Y89" i="1" s="1"/>
  <c r="AA89" i="1" s="1"/>
  <c r="O248" i="1"/>
  <c r="Q248" i="1" s="1"/>
  <c r="S248" i="1" s="1"/>
  <c r="U248" i="1" s="1"/>
  <c r="W248" i="1" s="1"/>
  <c r="Y248" i="1" s="1"/>
  <c r="AA248" i="1" s="1"/>
  <c r="O1811" i="1"/>
  <c r="Q1811" i="1" s="1"/>
  <c r="S1811" i="1" s="1"/>
  <c r="U1811" i="1" s="1"/>
  <c r="W1811" i="1" s="1"/>
  <c r="Y1811" i="1" s="1"/>
  <c r="AA1811" i="1" s="1"/>
  <c r="O1562" i="1"/>
  <c r="Q1562" i="1" s="1"/>
  <c r="S1562" i="1" s="1"/>
  <c r="U1562" i="1" s="1"/>
  <c r="W1562" i="1" s="1"/>
  <c r="Y1562" i="1" s="1"/>
  <c r="AA1562" i="1" s="1"/>
  <c r="O1325" i="1"/>
  <c r="Q1325" i="1" s="1"/>
  <c r="S1325" i="1" s="1"/>
  <c r="U1325" i="1" s="1"/>
  <c r="W1325" i="1" s="1"/>
  <c r="Y1325" i="1" s="1"/>
  <c r="AA1325" i="1" s="1"/>
  <c r="O986" i="1"/>
  <c r="Q986" i="1" s="1"/>
  <c r="S986" i="1" s="1"/>
  <c r="U986" i="1" s="1"/>
  <c r="W986" i="1" s="1"/>
  <c r="Y986" i="1" s="1"/>
  <c r="AA986" i="1" s="1"/>
  <c r="O791" i="1"/>
  <c r="Q791" i="1" s="1"/>
  <c r="S791" i="1" s="1"/>
  <c r="U791" i="1" s="1"/>
  <c r="W791" i="1" s="1"/>
  <c r="Y791" i="1" s="1"/>
  <c r="AA791" i="1" s="1"/>
  <c r="O113" i="1"/>
  <c r="Q113" i="1" s="1"/>
  <c r="S113" i="1" s="1"/>
  <c r="U113" i="1" s="1"/>
  <c r="W113" i="1" s="1"/>
  <c r="Y113" i="1" s="1"/>
  <c r="AA113" i="1" s="1"/>
  <c r="O1848" i="1"/>
  <c r="Q1848" i="1" s="1"/>
  <c r="S1848" i="1" s="1"/>
  <c r="U1848" i="1" s="1"/>
  <c r="W1848" i="1" s="1"/>
  <c r="Y1848" i="1" s="1"/>
  <c r="AA1848" i="1" s="1"/>
  <c r="O1778" i="1"/>
  <c r="Q1778" i="1" s="1"/>
  <c r="S1778" i="1" s="1"/>
  <c r="U1778" i="1" s="1"/>
  <c r="W1778" i="1" s="1"/>
  <c r="Y1778" i="1" s="1"/>
  <c r="AA1778" i="1" s="1"/>
  <c r="O1708" i="1"/>
  <c r="Q1708" i="1" s="1"/>
  <c r="S1708" i="1" s="1"/>
  <c r="U1708" i="1" s="1"/>
  <c r="W1708" i="1" s="1"/>
  <c r="Y1708" i="1" s="1"/>
  <c r="AA1708" i="1" s="1"/>
  <c r="O1661" i="1"/>
  <c r="Q1661" i="1" s="1"/>
  <c r="S1661" i="1" s="1"/>
  <c r="U1661" i="1" s="1"/>
  <c r="W1661" i="1" s="1"/>
  <c r="Y1661" i="1" s="1"/>
  <c r="AA1661" i="1" s="1"/>
  <c r="O1552" i="1"/>
  <c r="Q1552" i="1" s="1"/>
  <c r="S1552" i="1" s="1"/>
  <c r="U1552" i="1" s="1"/>
  <c r="W1552" i="1" s="1"/>
  <c r="Y1552" i="1" s="1"/>
  <c r="AA1552" i="1" s="1"/>
  <c r="O1479" i="1"/>
  <c r="Q1479" i="1" s="1"/>
  <c r="S1479" i="1" s="1"/>
  <c r="U1479" i="1" s="1"/>
  <c r="W1479" i="1" s="1"/>
  <c r="Y1479" i="1" s="1"/>
  <c r="AA1479" i="1" s="1"/>
  <c r="O1364" i="1"/>
  <c r="Q1364" i="1" s="1"/>
  <c r="S1364" i="1" s="1"/>
  <c r="U1364" i="1" s="1"/>
  <c r="W1364" i="1" s="1"/>
  <c r="Y1364" i="1" s="1"/>
  <c r="AA1364" i="1" s="1"/>
  <c r="O1318" i="1"/>
  <c r="Q1318" i="1" s="1"/>
  <c r="S1318" i="1" s="1"/>
  <c r="U1318" i="1" s="1"/>
  <c r="W1318" i="1" s="1"/>
  <c r="Y1318" i="1" s="1"/>
  <c r="AA1318" i="1" s="1"/>
  <c r="O1230" i="1"/>
  <c r="Q1230" i="1" s="1"/>
  <c r="S1230" i="1" s="1"/>
  <c r="U1230" i="1" s="1"/>
  <c r="W1230" i="1" s="1"/>
  <c r="Y1230" i="1" s="1"/>
  <c r="AA1230" i="1" s="1"/>
  <c r="O1152" i="1"/>
  <c r="Q1152" i="1" s="1"/>
  <c r="S1152" i="1" s="1"/>
  <c r="U1152" i="1" s="1"/>
  <c r="W1152" i="1" s="1"/>
  <c r="Y1152" i="1" s="1"/>
  <c r="AA1152" i="1" s="1"/>
  <c r="O944" i="1"/>
  <c r="Q944" i="1" s="1"/>
  <c r="S944" i="1" s="1"/>
  <c r="U944" i="1" s="1"/>
  <c r="W944" i="1" s="1"/>
  <c r="Y944" i="1" s="1"/>
  <c r="AA944" i="1" s="1"/>
  <c r="O853" i="1"/>
  <c r="Q853" i="1" s="1"/>
  <c r="S853" i="1" s="1"/>
  <c r="U853" i="1" s="1"/>
  <c r="W853" i="1" s="1"/>
  <c r="Y853" i="1" s="1"/>
  <c r="AA853" i="1" s="1"/>
  <c r="O802" i="1"/>
  <c r="Q802" i="1" s="1"/>
  <c r="S802" i="1" s="1"/>
  <c r="U802" i="1" s="1"/>
  <c r="W802" i="1" s="1"/>
  <c r="Y802" i="1" s="1"/>
  <c r="AA802" i="1" s="1"/>
  <c r="O287" i="1"/>
  <c r="Q287" i="1" s="1"/>
  <c r="S287" i="1" s="1"/>
  <c r="U287" i="1" s="1"/>
  <c r="W287" i="1" s="1"/>
  <c r="Y287" i="1" s="1"/>
  <c r="AA287" i="1" s="1"/>
  <c r="O187" i="1"/>
  <c r="Q187" i="1" s="1"/>
  <c r="S187" i="1" s="1"/>
  <c r="U187" i="1" s="1"/>
  <c r="W187" i="1" s="1"/>
  <c r="Y187" i="1" s="1"/>
  <c r="AA187" i="1" s="1"/>
  <c r="O122" i="1"/>
  <c r="Q122" i="1" s="1"/>
  <c r="S122" i="1" s="1"/>
  <c r="U122" i="1" s="1"/>
  <c r="W122" i="1" s="1"/>
  <c r="Y122" i="1" s="1"/>
  <c r="AA122" i="1" s="1"/>
  <c r="O70" i="1"/>
  <c r="Q70" i="1" s="1"/>
  <c r="S70" i="1" s="1"/>
  <c r="U70" i="1" s="1"/>
  <c r="W70" i="1" s="1"/>
  <c r="Y70" i="1" s="1"/>
  <c r="AA70" i="1" s="1"/>
  <c r="O1775" i="1"/>
  <c r="Q1775" i="1" s="1"/>
  <c r="S1775" i="1" s="1"/>
  <c r="U1775" i="1" s="1"/>
  <c r="W1775" i="1" s="1"/>
  <c r="Y1775" i="1" s="1"/>
  <c r="AA1775" i="1" s="1"/>
  <c r="O1547" i="1"/>
  <c r="Q1547" i="1" s="1"/>
  <c r="S1547" i="1" s="1"/>
  <c r="U1547" i="1" s="1"/>
  <c r="W1547" i="1" s="1"/>
  <c r="Y1547" i="1" s="1"/>
  <c r="AA1547" i="1" s="1"/>
  <c r="O1294" i="1"/>
  <c r="Q1294" i="1" s="1"/>
  <c r="S1294" i="1" s="1"/>
  <c r="U1294" i="1" s="1"/>
  <c r="W1294" i="1" s="1"/>
  <c r="Y1294" i="1" s="1"/>
  <c r="AA1294" i="1" s="1"/>
  <c r="O864" i="1"/>
  <c r="Q864" i="1" s="1"/>
  <c r="S864" i="1" s="1"/>
  <c r="U864" i="1" s="1"/>
  <c r="W864" i="1" s="1"/>
  <c r="Y864" i="1" s="1"/>
  <c r="AA864" i="1" s="1"/>
  <c r="O154" i="1"/>
  <c r="Q154" i="1" s="1"/>
  <c r="S154" i="1" s="1"/>
  <c r="U154" i="1" s="1"/>
  <c r="W154" i="1" s="1"/>
  <c r="Y154" i="1" s="1"/>
  <c r="AA154" i="1" s="1"/>
  <c r="M1582" i="1"/>
  <c r="F1499" i="1"/>
  <c r="F1467" i="1" s="1"/>
  <c r="F1466" i="1" s="1"/>
  <c r="F1298" i="1"/>
  <c r="F1268" i="1" s="1"/>
  <c r="F1267" i="1" s="1"/>
  <c r="F38" i="1"/>
  <c r="F1799" i="1"/>
  <c r="F1118" i="1"/>
  <c r="F1117" i="1" s="1"/>
  <c r="F975" i="1" s="1"/>
  <c r="E1724" i="1"/>
  <c r="G1724" i="1" s="1"/>
  <c r="I1724" i="1" s="1"/>
  <c r="K1724" i="1" s="1"/>
  <c r="M1724" i="1" s="1"/>
  <c r="O1724" i="1" s="1"/>
  <c r="Q1724" i="1" s="1"/>
  <c r="S1724" i="1" s="1"/>
  <c r="U1724" i="1" s="1"/>
  <c r="W1724" i="1" s="1"/>
  <c r="Y1724" i="1" s="1"/>
  <c r="G1725" i="1"/>
  <c r="I1725" i="1" s="1"/>
  <c r="K1725" i="1" s="1"/>
  <c r="M1725" i="1" s="1"/>
  <c r="O1725" i="1" s="1"/>
  <c r="Q1725" i="1" s="1"/>
  <c r="S1725" i="1" s="1"/>
  <c r="U1725" i="1" s="1"/>
  <c r="W1725" i="1" s="1"/>
  <c r="Y1725" i="1" s="1"/>
  <c r="F1699" i="1"/>
  <c r="F1653" i="1" s="1"/>
  <c r="F1760" i="1"/>
  <c r="F1759" i="1" s="1"/>
  <c r="F1217" i="1"/>
  <c r="F1202" i="1" s="1"/>
  <c r="F927" i="1"/>
  <c r="F826" i="1"/>
  <c r="F778" i="1"/>
  <c r="F213" i="1"/>
  <c r="F272" i="1"/>
  <c r="F1735" i="1"/>
  <c r="F1734" i="1" s="1"/>
  <c r="F1573" i="1"/>
  <c r="E1852" i="1"/>
  <c r="G1852" i="1" s="1"/>
  <c r="I1852" i="1" s="1"/>
  <c r="K1852" i="1" s="1"/>
  <c r="E1853" i="1"/>
  <c r="G1853" i="1" s="1"/>
  <c r="I1853" i="1" s="1"/>
  <c r="K1853" i="1" s="1"/>
  <c r="E1845" i="1"/>
  <c r="G1845" i="1" s="1"/>
  <c r="I1845" i="1" s="1"/>
  <c r="K1845" i="1" s="1"/>
  <c r="M1845" i="1" s="1"/>
  <c r="O1845" i="1" s="1"/>
  <c r="Q1845" i="1" s="1"/>
  <c r="S1845" i="1" s="1"/>
  <c r="U1845" i="1" s="1"/>
  <c r="W1845" i="1" s="1"/>
  <c r="Y1845" i="1" s="1"/>
  <c r="E1598" i="1"/>
  <c r="G1598" i="1" s="1"/>
  <c r="I1598" i="1" s="1"/>
  <c r="K1598" i="1" s="1"/>
  <c r="M1598" i="1" s="1"/>
  <c r="O1598" i="1" s="1"/>
  <c r="Q1598" i="1" s="1"/>
  <c r="S1598" i="1" s="1"/>
  <c r="U1598" i="1" s="1"/>
  <c r="W1598" i="1" s="1"/>
  <c r="Y1598" i="1" s="1"/>
  <c r="E1326" i="1"/>
  <c r="G1326" i="1" s="1"/>
  <c r="I1326" i="1" s="1"/>
  <c r="K1326" i="1" s="1"/>
  <c r="M1326" i="1" s="1"/>
  <c r="O1326" i="1" s="1"/>
  <c r="Q1326" i="1" s="1"/>
  <c r="S1326" i="1" s="1"/>
  <c r="U1326" i="1" s="1"/>
  <c r="W1326" i="1" s="1"/>
  <c r="Y1326" i="1" s="1"/>
  <c r="E1238" i="1"/>
  <c r="G1238" i="1" s="1"/>
  <c r="I1238" i="1" s="1"/>
  <c r="K1238" i="1" s="1"/>
  <c r="M1238" i="1" s="1"/>
  <c r="O1238" i="1" s="1"/>
  <c r="Q1238" i="1" s="1"/>
  <c r="S1238" i="1" s="1"/>
  <c r="U1238" i="1" s="1"/>
  <c r="W1238" i="1" s="1"/>
  <c r="Y1238" i="1" s="1"/>
  <c r="E1127" i="1"/>
  <c r="G1127" i="1" s="1"/>
  <c r="I1127" i="1" s="1"/>
  <c r="K1127" i="1" s="1"/>
  <c r="M1127" i="1" s="1"/>
  <c r="O1127" i="1" s="1"/>
  <c r="Q1127" i="1" s="1"/>
  <c r="S1127" i="1" s="1"/>
  <c r="U1127" i="1" s="1"/>
  <c r="W1127" i="1" s="1"/>
  <c r="Y1127" i="1" s="1"/>
  <c r="O1582" i="1" l="1"/>
  <c r="Q1582" i="1" s="1"/>
  <c r="S1582" i="1" s="1"/>
  <c r="U1582" i="1" s="1"/>
  <c r="W1582" i="1" s="1"/>
  <c r="Y1582" i="1" s="1"/>
  <c r="AA1582" i="1" s="1"/>
  <c r="M1853" i="1"/>
  <c r="M1852" i="1"/>
  <c r="F1752" i="1"/>
  <c r="F1572" i="1"/>
  <c r="F1201" i="1"/>
  <c r="F926" i="1"/>
  <c r="F825" i="1"/>
  <c r="F773" i="1"/>
  <c r="F212" i="1"/>
  <c r="E863" i="1"/>
  <c r="O1852" i="1" l="1"/>
  <c r="Q1852" i="1" s="1"/>
  <c r="S1852" i="1" s="1"/>
  <c r="U1852" i="1" s="1"/>
  <c r="W1852" i="1" s="1"/>
  <c r="Y1852" i="1" s="1"/>
  <c r="AA1852" i="1" s="1"/>
  <c r="O1853" i="1"/>
  <c r="E856" i="1"/>
  <c r="G856" i="1" s="1"/>
  <c r="I856" i="1" s="1"/>
  <c r="K856" i="1" s="1"/>
  <c r="M856" i="1" s="1"/>
  <c r="O856" i="1" s="1"/>
  <c r="Q856" i="1" s="1"/>
  <c r="S856" i="1" s="1"/>
  <c r="U856" i="1" s="1"/>
  <c r="W856" i="1" s="1"/>
  <c r="Y856" i="1" s="1"/>
  <c r="G863" i="1"/>
  <c r="I863" i="1" s="1"/>
  <c r="K863" i="1" s="1"/>
  <c r="M863" i="1" s="1"/>
  <c r="O863" i="1" s="1"/>
  <c r="Q863" i="1" s="1"/>
  <c r="S863" i="1" s="1"/>
  <c r="U863" i="1" s="1"/>
  <c r="W863" i="1" s="1"/>
  <c r="Y863" i="1" s="1"/>
  <c r="F1571" i="1"/>
  <c r="F1200" i="1"/>
  <c r="F915" i="1"/>
  <c r="F798" i="1"/>
  <c r="F368" i="1"/>
  <c r="F364" i="1" s="1"/>
  <c r="G364" i="1" s="1"/>
  <c r="I364" i="1" s="1"/>
  <c r="K364" i="1" s="1"/>
  <c r="M364" i="1" s="1"/>
  <c r="O364" i="1" s="1"/>
  <c r="F147" i="1"/>
  <c r="E1805" i="1"/>
  <c r="G1805" i="1" s="1"/>
  <c r="I1805" i="1" s="1"/>
  <c r="K1805" i="1" s="1"/>
  <c r="M1805" i="1" s="1"/>
  <c r="O1805" i="1" s="1"/>
  <c r="Q1805" i="1" s="1"/>
  <c r="S1805" i="1" s="1"/>
  <c r="U1805" i="1" s="1"/>
  <c r="W1805" i="1" s="1"/>
  <c r="Y1805" i="1" s="1"/>
  <c r="E104" i="1"/>
  <c r="E1851" i="1"/>
  <c r="G1851" i="1" s="1"/>
  <c r="I1851" i="1" s="1"/>
  <c r="K1851" i="1" s="1"/>
  <c r="M1851" i="1" s="1"/>
  <c r="O1851" i="1" s="1"/>
  <c r="Q1851" i="1" s="1"/>
  <c r="S1851" i="1" s="1"/>
  <c r="U1851" i="1" s="1"/>
  <c r="W1851" i="1" s="1"/>
  <c r="Y1851" i="1" s="1"/>
  <c r="E53" i="1"/>
  <c r="E101" i="1"/>
  <c r="G101" i="1" s="1"/>
  <c r="I101" i="1" s="1"/>
  <c r="K101" i="1" s="1"/>
  <c r="M101" i="1" s="1"/>
  <c r="O101" i="1" s="1"/>
  <c r="Q101" i="1" s="1"/>
  <c r="S101" i="1" s="1"/>
  <c r="U101" i="1" s="1"/>
  <c r="W101" i="1" s="1"/>
  <c r="Y101" i="1" s="1"/>
  <c r="E112" i="1"/>
  <c r="E145" i="1"/>
  <c r="E153" i="1"/>
  <c r="E173" i="1"/>
  <c r="G173" i="1" s="1"/>
  <c r="I173" i="1" s="1"/>
  <c r="K173" i="1" s="1"/>
  <c r="M173" i="1" s="1"/>
  <c r="O173" i="1" s="1"/>
  <c r="Q173" i="1" s="1"/>
  <c r="S173" i="1" s="1"/>
  <c r="U173" i="1" s="1"/>
  <c r="W173" i="1" s="1"/>
  <c r="Y173" i="1" s="1"/>
  <c r="E175" i="1"/>
  <c r="G175" i="1" s="1"/>
  <c r="I175" i="1" s="1"/>
  <c r="K175" i="1" s="1"/>
  <c r="M175" i="1" s="1"/>
  <c r="O175" i="1" s="1"/>
  <c r="Q175" i="1" s="1"/>
  <c r="S175" i="1" s="1"/>
  <c r="U175" i="1" s="1"/>
  <c r="W175" i="1" s="1"/>
  <c r="Y175" i="1" s="1"/>
  <c r="E201" i="1"/>
  <c r="E215" i="1"/>
  <c r="E218" i="1"/>
  <c r="E231" i="1"/>
  <c r="G231" i="1" s="1"/>
  <c r="I231" i="1" s="1"/>
  <c r="K231" i="1" s="1"/>
  <c r="M231" i="1" s="1"/>
  <c r="O231" i="1" s="1"/>
  <c r="Q231" i="1" s="1"/>
  <c r="S231" i="1" s="1"/>
  <c r="U231" i="1" s="1"/>
  <c r="W231" i="1" s="1"/>
  <c r="Y231" i="1" s="1"/>
  <c r="E234" i="1"/>
  <c r="G234" i="1" s="1"/>
  <c r="I234" i="1" s="1"/>
  <c r="K234" i="1" s="1"/>
  <c r="M234" i="1" s="1"/>
  <c r="O234" i="1" s="1"/>
  <c r="Q234" i="1" s="1"/>
  <c r="S234" i="1" s="1"/>
  <c r="U234" i="1" s="1"/>
  <c r="W234" i="1" s="1"/>
  <c r="Y234" i="1" s="1"/>
  <c r="E247" i="1"/>
  <c r="G247" i="1" s="1"/>
  <c r="I247" i="1" s="1"/>
  <c r="K247" i="1" s="1"/>
  <c r="M247" i="1" s="1"/>
  <c r="O247" i="1" s="1"/>
  <c r="Q247" i="1" s="1"/>
  <c r="S247" i="1" s="1"/>
  <c r="U247" i="1" s="1"/>
  <c r="W247" i="1" s="1"/>
  <c r="Y247" i="1" s="1"/>
  <c r="E251" i="1"/>
  <c r="E259" i="1"/>
  <c r="E266" i="1"/>
  <c r="E281" i="1"/>
  <c r="E286" i="1"/>
  <c r="E297" i="1"/>
  <c r="G297" i="1" s="1"/>
  <c r="I297" i="1" s="1"/>
  <c r="K297" i="1" s="1"/>
  <c r="M297" i="1" s="1"/>
  <c r="O297" i="1" s="1"/>
  <c r="Q297" i="1" s="1"/>
  <c r="S297" i="1" s="1"/>
  <c r="U297" i="1" s="1"/>
  <c r="W297" i="1" s="1"/>
  <c r="Y297" i="1" s="1"/>
  <c r="E329" i="1"/>
  <c r="E336" i="1"/>
  <c r="E339" i="1"/>
  <c r="E347" i="1"/>
  <c r="E782" i="1"/>
  <c r="G782" i="1" s="1"/>
  <c r="I782" i="1" s="1"/>
  <c r="K782" i="1" s="1"/>
  <c r="M782" i="1" s="1"/>
  <c r="O782" i="1" s="1"/>
  <c r="Q782" i="1" s="1"/>
  <c r="S782" i="1" s="1"/>
  <c r="U782" i="1" s="1"/>
  <c r="W782" i="1" s="1"/>
  <c r="Y782" i="1" s="1"/>
  <c r="E784" i="1"/>
  <c r="G784" i="1" s="1"/>
  <c r="I784" i="1" s="1"/>
  <c r="K784" i="1" s="1"/>
  <c r="M784" i="1" s="1"/>
  <c r="O784" i="1" s="1"/>
  <c r="Q784" i="1" s="1"/>
  <c r="S784" i="1" s="1"/>
  <c r="U784" i="1" s="1"/>
  <c r="W784" i="1" s="1"/>
  <c r="Y784" i="1" s="1"/>
  <c r="E790" i="1"/>
  <c r="G790" i="1" s="1"/>
  <c r="I790" i="1" s="1"/>
  <c r="K790" i="1" s="1"/>
  <c r="M790" i="1" s="1"/>
  <c r="O790" i="1" s="1"/>
  <c r="Q790" i="1" s="1"/>
  <c r="S790" i="1" s="1"/>
  <c r="U790" i="1" s="1"/>
  <c r="W790" i="1" s="1"/>
  <c r="Y790" i="1" s="1"/>
  <c r="E792" i="1"/>
  <c r="G792" i="1" s="1"/>
  <c r="I792" i="1" s="1"/>
  <c r="K792" i="1" s="1"/>
  <c r="M792" i="1" s="1"/>
  <c r="O792" i="1" s="1"/>
  <c r="Q792" i="1" s="1"/>
  <c r="S792" i="1" s="1"/>
  <c r="U792" i="1" s="1"/>
  <c r="W792" i="1" s="1"/>
  <c r="Y792" i="1" s="1"/>
  <c r="E794" i="1"/>
  <c r="G794" i="1" s="1"/>
  <c r="I794" i="1" s="1"/>
  <c r="K794" i="1" s="1"/>
  <c r="M794" i="1" s="1"/>
  <c r="O794" i="1" s="1"/>
  <c r="Q794" i="1" s="1"/>
  <c r="S794" i="1" s="1"/>
  <c r="U794" i="1" s="1"/>
  <c r="W794" i="1" s="1"/>
  <c r="Y794" i="1" s="1"/>
  <c r="E801" i="1"/>
  <c r="E804" i="1"/>
  <c r="E807" i="1"/>
  <c r="E810" i="1"/>
  <c r="E820" i="1"/>
  <c r="G820" i="1" s="1"/>
  <c r="I820" i="1" s="1"/>
  <c r="K820" i="1" s="1"/>
  <c r="M820" i="1" s="1"/>
  <c r="O820" i="1" s="1"/>
  <c r="Q820" i="1" s="1"/>
  <c r="S820" i="1" s="1"/>
  <c r="U820" i="1" s="1"/>
  <c r="W820" i="1" s="1"/>
  <c r="Y820" i="1" s="1"/>
  <c r="E822" i="1"/>
  <c r="G822" i="1" s="1"/>
  <c r="I822" i="1" s="1"/>
  <c r="K822" i="1" s="1"/>
  <c r="M822" i="1" s="1"/>
  <c r="O822" i="1" s="1"/>
  <c r="Q822" i="1" s="1"/>
  <c r="S822" i="1" s="1"/>
  <c r="U822" i="1" s="1"/>
  <c r="W822" i="1" s="1"/>
  <c r="Y822" i="1" s="1"/>
  <c r="E831" i="1"/>
  <c r="G831" i="1" s="1"/>
  <c r="I831" i="1" s="1"/>
  <c r="K831" i="1" s="1"/>
  <c r="M831" i="1" s="1"/>
  <c r="O831" i="1" s="1"/>
  <c r="Q831" i="1" s="1"/>
  <c r="S831" i="1" s="1"/>
  <c r="U831" i="1" s="1"/>
  <c r="W831" i="1" s="1"/>
  <c r="Y831" i="1" s="1"/>
  <c r="E843" i="1"/>
  <c r="G843" i="1" s="1"/>
  <c r="I843" i="1" s="1"/>
  <c r="K843" i="1" s="1"/>
  <c r="M843" i="1" s="1"/>
  <c r="O843" i="1" s="1"/>
  <c r="Q843" i="1" s="1"/>
  <c r="S843" i="1" s="1"/>
  <c r="U843" i="1" s="1"/>
  <c r="W843" i="1" s="1"/>
  <c r="Y843" i="1" s="1"/>
  <c r="E851" i="1"/>
  <c r="E874" i="1"/>
  <c r="E879" i="1"/>
  <c r="E882" i="1"/>
  <c r="E889" i="1"/>
  <c r="G889" i="1" s="1"/>
  <c r="I889" i="1" s="1"/>
  <c r="K889" i="1" s="1"/>
  <c r="M889" i="1" s="1"/>
  <c r="O889" i="1" s="1"/>
  <c r="Q889" i="1" s="1"/>
  <c r="S889" i="1" s="1"/>
  <c r="U889" i="1" s="1"/>
  <c r="W889" i="1" s="1"/>
  <c r="Y889" i="1" s="1"/>
  <c r="E895" i="1"/>
  <c r="E906" i="1"/>
  <c r="E929" i="1"/>
  <c r="G929" i="1" s="1"/>
  <c r="I929" i="1" s="1"/>
  <c r="K929" i="1" s="1"/>
  <c r="M929" i="1" s="1"/>
  <c r="O929" i="1" s="1"/>
  <c r="Q929" i="1" s="1"/>
  <c r="S929" i="1" s="1"/>
  <c r="U929" i="1" s="1"/>
  <c r="W929" i="1" s="1"/>
  <c r="Y929" i="1" s="1"/>
  <c r="E934" i="1"/>
  <c r="G934" i="1" s="1"/>
  <c r="I934" i="1" s="1"/>
  <c r="K934" i="1" s="1"/>
  <c r="M934" i="1" s="1"/>
  <c r="O934" i="1" s="1"/>
  <c r="Q934" i="1" s="1"/>
  <c r="S934" i="1" s="1"/>
  <c r="U934" i="1" s="1"/>
  <c r="W934" i="1" s="1"/>
  <c r="Y934" i="1" s="1"/>
  <c r="E939" i="1"/>
  <c r="G939" i="1" s="1"/>
  <c r="I939" i="1" s="1"/>
  <c r="K939" i="1" s="1"/>
  <c r="M939" i="1" s="1"/>
  <c r="O939" i="1" s="1"/>
  <c r="Q939" i="1" s="1"/>
  <c r="S939" i="1" s="1"/>
  <c r="U939" i="1" s="1"/>
  <c r="W939" i="1" s="1"/>
  <c r="Y939" i="1" s="1"/>
  <c r="E942" i="1"/>
  <c r="G942" i="1" s="1"/>
  <c r="I942" i="1" s="1"/>
  <c r="K942" i="1" s="1"/>
  <c r="M942" i="1" s="1"/>
  <c r="O942" i="1" s="1"/>
  <c r="Q942" i="1" s="1"/>
  <c r="S942" i="1" s="1"/>
  <c r="U942" i="1" s="1"/>
  <c r="W942" i="1" s="1"/>
  <c r="Y942" i="1" s="1"/>
  <c r="E949" i="1"/>
  <c r="G949" i="1" s="1"/>
  <c r="I949" i="1" s="1"/>
  <c r="K949" i="1" s="1"/>
  <c r="M949" i="1" s="1"/>
  <c r="O949" i="1" s="1"/>
  <c r="Q949" i="1" s="1"/>
  <c r="S949" i="1" s="1"/>
  <c r="U949" i="1" s="1"/>
  <c r="W949" i="1" s="1"/>
  <c r="Y949" i="1" s="1"/>
  <c r="E957" i="1"/>
  <c r="E963" i="1"/>
  <c r="E970" i="1"/>
  <c r="E979" i="1"/>
  <c r="E983" i="1"/>
  <c r="G983" i="1" s="1"/>
  <c r="I983" i="1" s="1"/>
  <c r="K983" i="1" s="1"/>
  <c r="M983" i="1" s="1"/>
  <c r="O983" i="1" s="1"/>
  <c r="Q983" i="1" s="1"/>
  <c r="S983" i="1" s="1"/>
  <c r="U983" i="1" s="1"/>
  <c r="W983" i="1" s="1"/>
  <c r="Y983" i="1" s="1"/>
  <c r="E985" i="1"/>
  <c r="G985" i="1" s="1"/>
  <c r="I985" i="1" s="1"/>
  <c r="K985" i="1" s="1"/>
  <c r="M985" i="1" s="1"/>
  <c r="O985" i="1" s="1"/>
  <c r="Q985" i="1" s="1"/>
  <c r="S985" i="1" s="1"/>
  <c r="U985" i="1" s="1"/>
  <c r="W985" i="1" s="1"/>
  <c r="Y985" i="1" s="1"/>
  <c r="E1125" i="1"/>
  <c r="G1125" i="1" s="1"/>
  <c r="I1125" i="1" s="1"/>
  <c r="K1125" i="1" s="1"/>
  <c r="M1125" i="1" s="1"/>
  <c r="O1125" i="1" s="1"/>
  <c r="Q1125" i="1" s="1"/>
  <c r="S1125" i="1" s="1"/>
  <c r="U1125" i="1" s="1"/>
  <c r="W1125" i="1" s="1"/>
  <c r="Y1125" i="1" s="1"/>
  <c r="E1129" i="1"/>
  <c r="G1129" i="1" s="1"/>
  <c r="I1129" i="1" s="1"/>
  <c r="K1129" i="1" s="1"/>
  <c r="M1129" i="1" s="1"/>
  <c r="O1129" i="1" s="1"/>
  <c r="Q1129" i="1" s="1"/>
  <c r="S1129" i="1" s="1"/>
  <c r="U1129" i="1" s="1"/>
  <c r="W1129" i="1" s="1"/>
  <c r="Y1129" i="1" s="1"/>
  <c r="E1138" i="1"/>
  <c r="G1138" i="1" s="1"/>
  <c r="I1138" i="1" s="1"/>
  <c r="K1138" i="1" s="1"/>
  <c r="M1138" i="1" s="1"/>
  <c r="O1138" i="1" s="1"/>
  <c r="Q1138" i="1" s="1"/>
  <c r="S1138" i="1" s="1"/>
  <c r="U1138" i="1" s="1"/>
  <c r="W1138" i="1" s="1"/>
  <c r="Y1138" i="1" s="1"/>
  <c r="E1145" i="1"/>
  <c r="G1145" i="1" s="1"/>
  <c r="I1145" i="1" s="1"/>
  <c r="K1145" i="1" s="1"/>
  <c r="M1145" i="1" s="1"/>
  <c r="O1145" i="1" s="1"/>
  <c r="Q1145" i="1" s="1"/>
  <c r="S1145" i="1" s="1"/>
  <c r="U1145" i="1" s="1"/>
  <c r="W1145" i="1" s="1"/>
  <c r="Y1145" i="1" s="1"/>
  <c r="E1151" i="1"/>
  <c r="E1168" i="1"/>
  <c r="G1168" i="1" s="1"/>
  <c r="I1168" i="1" s="1"/>
  <c r="K1168" i="1" s="1"/>
  <c r="M1168" i="1" s="1"/>
  <c r="O1168" i="1" s="1"/>
  <c r="Q1168" i="1" s="1"/>
  <c r="S1168" i="1" s="1"/>
  <c r="U1168" i="1" s="1"/>
  <c r="W1168" i="1" s="1"/>
  <c r="Y1168" i="1" s="1"/>
  <c r="E1170" i="1"/>
  <c r="G1170" i="1" s="1"/>
  <c r="I1170" i="1" s="1"/>
  <c r="K1170" i="1" s="1"/>
  <c r="M1170" i="1" s="1"/>
  <c r="O1170" i="1" s="1"/>
  <c r="Q1170" i="1" s="1"/>
  <c r="S1170" i="1" s="1"/>
  <c r="U1170" i="1" s="1"/>
  <c r="W1170" i="1" s="1"/>
  <c r="Y1170" i="1" s="1"/>
  <c r="E1184" i="1"/>
  <c r="E1196" i="1"/>
  <c r="G1196" i="1" s="1"/>
  <c r="I1196" i="1" s="1"/>
  <c r="K1196" i="1" s="1"/>
  <c r="M1196" i="1" s="1"/>
  <c r="O1196" i="1" s="1"/>
  <c r="Q1196" i="1" s="1"/>
  <c r="S1196" i="1" s="1"/>
  <c r="U1196" i="1" s="1"/>
  <c r="W1196" i="1" s="1"/>
  <c r="Y1196" i="1" s="1"/>
  <c r="E1198" i="1"/>
  <c r="G1198" i="1" s="1"/>
  <c r="I1198" i="1" s="1"/>
  <c r="K1198" i="1" s="1"/>
  <c r="M1198" i="1" s="1"/>
  <c r="O1198" i="1" s="1"/>
  <c r="Q1198" i="1" s="1"/>
  <c r="S1198" i="1" s="1"/>
  <c r="U1198" i="1" s="1"/>
  <c r="W1198" i="1" s="1"/>
  <c r="Y1198" i="1" s="1"/>
  <c r="E1207" i="1"/>
  <c r="G1207" i="1" s="1"/>
  <c r="I1207" i="1" s="1"/>
  <c r="K1207" i="1" s="1"/>
  <c r="M1207" i="1" s="1"/>
  <c r="O1207" i="1" s="1"/>
  <c r="Q1207" i="1" s="1"/>
  <c r="S1207" i="1" s="1"/>
  <c r="U1207" i="1" s="1"/>
  <c r="W1207" i="1" s="1"/>
  <c r="Y1207" i="1" s="1"/>
  <c r="E1210" i="1"/>
  <c r="G1210" i="1" s="1"/>
  <c r="I1210" i="1" s="1"/>
  <c r="K1210" i="1" s="1"/>
  <c r="M1210" i="1" s="1"/>
  <c r="O1210" i="1" s="1"/>
  <c r="Q1210" i="1" s="1"/>
  <c r="S1210" i="1" s="1"/>
  <c r="U1210" i="1" s="1"/>
  <c r="W1210" i="1" s="1"/>
  <c r="Y1210" i="1" s="1"/>
  <c r="E1215" i="1"/>
  <c r="E1219" i="1"/>
  <c r="G1219" i="1" s="1"/>
  <c r="I1219" i="1" s="1"/>
  <c r="K1219" i="1" s="1"/>
  <c r="M1219" i="1" s="1"/>
  <c r="O1219" i="1" s="1"/>
  <c r="Q1219" i="1" s="1"/>
  <c r="S1219" i="1" s="1"/>
  <c r="U1219" i="1" s="1"/>
  <c r="W1219" i="1" s="1"/>
  <c r="Y1219" i="1" s="1"/>
  <c r="E1222" i="1"/>
  <c r="G1222" i="1" s="1"/>
  <c r="I1222" i="1" s="1"/>
  <c r="K1222" i="1" s="1"/>
  <c r="M1222" i="1" s="1"/>
  <c r="O1222" i="1" s="1"/>
  <c r="Q1222" i="1" s="1"/>
  <c r="S1222" i="1" s="1"/>
  <c r="U1222" i="1" s="1"/>
  <c r="W1222" i="1" s="1"/>
  <c r="Y1222" i="1" s="1"/>
  <c r="E1229" i="1"/>
  <c r="G1229" i="1" s="1"/>
  <c r="I1229" i="1" s="1"/>
  <c r="K1229" i="1" s="1"/>
  <c r="M1229" i="1" s="1"/>
  <c r="O1229" i="1" s="1"/>
  <c r="Q1229" i="1" s="1"/>
  <c r="S1229" i="1" s="1"/>
  <c r="U1229" i="1" s="1"/>
  <c r="W1229" i="1" s="1"/>
  <c r="Y1229" i="1" s="1"/>
  <c r="E1236" i="1"/>
  <c r="G1236" i="1" s="1"/>
  <c r="I1236" i="1" s="1"/>
  <c r="K1236" i="1" s="1"/>
  <c r="M1236" i="1" s="1"/>
  <c r="O1236" i="1" s="1"/>
  <c r="Q1236" i="1" s="1"/>
  <c r="S1236" i="1" s="1"/>
  <c r="U1236" i="1" s="1"/>
  <c r="W1236" i="1" s="1"/>
  <c r="Y1236" i="1" s="1"/>
  <c r="E1240" i="1"/>
  <c r="G1240" i="1" s="1"/>
  <c r="I1240" i="1" s="1"/>
  <c r="K1240" i="1" s="1"/>
  <c r="M1240" i="1" s="1"/>
  <c r="O1240" i="1" s="1"/>
  <c r="Q1240" i="1" s="1"/>
  <c r="S1240" i="1" s="1"/>
  <c r="U1240" i="1" s="1"/>
  <c r="W1240" i="1" s="1"/>
  <c r="Y1240" i="1" s="1"/>
  <c r="E1274" i="1"/>
  <c r="G1274" i="1" s="1"/>
  <c r="I1274" i="1" s="1"/>
  <c r="K1274" i="1" s="1"/>
  <c r="M1274" i="1" s="1"/>
  <c r="O1274" i="1" s="1"/>
  <c r="Q1274" i="1" s="1"/>
  <c r="S1274" i="1" s="1"/>
  <c r="U1274" i="1" s="1"/>
  <c r="W1274" i="1" s="1"/>
  <c r="Y1274" i="1" s="1"/>
  <c r="E1280" i="1"/>
  <c r="G1280" i="1" s="1"/>
  <c r="I1280" i="1" s="1"/>
  <c r="K1280" i="1" s="1"/>
  <c r="M1280" i="1" s="1"/>
  <c r="O1280" i="1" s="1"/>
  <c r="Q1280" i="1" s="1"/>
  <c r="S1280" i="1" s="1"/>
  <c r="U1280" i="1" s="1"/>
  <c r="W1280" i="1" s="1"/>
  <c r="Y1280" i="1" s="1"/>
  <c r="E1285" i="1"/>
  <c r="E1293" i="1"/>
  <c r="E1300" i="1"/>
  <c r="G1300" i="1" s="1"/>
  <c r="I1300" i="1" s="1"/>
  <c r="K1300" i="1" s="1"/>
  <c r="M1300" i="1" s="1"/>
  <c r="O1300" i="1" s="1"/>
  <c r="Q1300" i="1" s="1"/>
  <c r="S1300" i="1" s="1"/>
  <c r="U1300" i="1" s="1"/>
  <c r="W1300" i="1" s="1"/>
  <c r="Y1300" i="1" s="1"/>
  <c r="E1302" i="1"/>
  <c r="G1302" i="1" s="1"/>
  <c r="I1302" i="1" s="1"/>
  <c r="K1302" i="1" s="1"/>
  <c r="M1302" i="1" s="1"/>
  <c r="O1302" i="1" s="1"/>
  <c r="Q1302" i="1" s="1"/>
  <c r="S1302" i="1" s="1"/>
  <c r="U1302" i="1" s="1"/>
  <c r="W1302" i="1" s="1"/>
  <c r="Y1302" i="1" s="1"/>
  <c r="E1312" i="1"/>
  <c r="G1312" i="1" s="1"/>
  <c r="I1312" i="1" s="1"/>
  <c r="K1312" i="1" s="1"/>
  <c r="M1312" i="1" s="1"/>
  <c r="O1312" i="1" s="1"/>
  <c r="Q1312" i="1" s="1"/>
  <c r="S1312" i="1" s="1"/>
  <c r="U1312" i="1" s="1"/>
  <c r="W1312" i="1" s="1"/>
  <c r="Y1312" i="1" s="1"/>
  <c r="E1316" i="1"/>
  <c r="G1316" i="1" s="1"/>
  <c r="I1316" i="1" s="1"/>
  <c r="K1316" i="1" s="1"/>
  <c r="M1316" i="1" s="1"/>
  <c r="O1316" i="1" s="1"/>
  <c r="Q1316" i="1" s="1"/>
  <c r="S1316" i="1" s="1"/>
  <c r="U1316" i="1" s="1"/>
  <c r="W1316" i="1" s="1"/>
  <c r="Y1316" i="1" s="1"/>
  <c r="E1319" i="1"/>
  <c r="G1319" i="1" s="1"/>
  <c r="I1319" i="1" s="1"/>
  <c r="K1319" i="1" s="1"/>
  <c r="M1319" i="1" s="1"/>
  <c r="O1319" i="1" s="1"/>
  <c r="Q1319" i="1" s="1"/>
  <c r="S1319" i="1" s="1"/>
  <c r="U1319" i="1" s="1"/>
  <c r="W1319" i="1" s="1"/>
  <c r="Y1319" i="1" s="1"/>
  <c r="E1323" i="1"/>
  <c r="G1323" i="1" s="1"/>
  <c r="I1323" i="1" s="1"/>
  <c r="K1323" i="1" s="1"/>
  <c r="M1323" i="1" s="1"/>
  <c r="O1323" i="1" s="1"/>
  <c r="Q1323" i="1" s="1"/>
  <c r="S1323" i="1" s="1"/>
  <c r="U1323" i="1" s="1"/>
  <c r="W1323" i="1" s="1"/>
  <c r="Y1323" i="1" s="1"/>
  <c r="E1329" i="1"/>
  <c r="G1329" i="1" s="1"/>
  <c r="I1329" i="1" s="1"/>
  <c r="K1329" i="1" s="1"/>
  <c r="M1329" i="1" s="1"/>
  <c r="O1329" i="1" s="1"/>
  <c r="Q1329" i="1" s="1"/>
  <c r="S1329" i="1" s="1"/>
  <c r="U1329" i="1" s="1"/>
  <c r="W1329" i="1" s="1"/>
  <c r="Y1329" i="1" s="1"/>
  <c r="E1336" i="1"/>
  <c r="E1343" i="1"/>
  <c r="E1348" i="1"/>
  <c r="G1348" i="1" s="1"/>
  <c r="I1348" i="1" s="1"/>
  <c r="K1348" i="1" s="1"/>
  <c r="M1348" i="1" s="1"/>
  <c r="O1348" i="1" s="1"/>
  <c r="Q1348" i="1" s="1"/>
  <c r="S1348" i="1" s="1"/>
  <c r="U1348" i="1" s="1"/>
  <c r="W1348" i="1" s="1"/>
  <c r="Y1348" i="1" s="1"/>
  <c r="G1351" i="1"/>
  <c r="I1351" i="1" s="1"/>
  <c r="K1351" i="1" s="1"/>
  <c r="M1351" i="1" s="1"/>
  <c r="O1351" i="1" s="1"/>
  <c r="Q1351" i="1" s="1"/>
  <c r="S1351" i="1" s="1"/>
  <c r="U1351" i="1" s="1"/>
  <c r="W1351" i="1" s="1"/>
  <c r="Y1351" i="1" s="1"/>
  <c r="E1362" i="1"/>
  <c r="G1362" i="1" s="1"/>
  <c r="I1362" i="1" s="1"/>
  <c r="K1362" i="1" s="1"/>
  <c r="M1362" i="1" s="1"/>
  <c r="O1362" i="1" s="1"/>
  <c r="Q1362" i="1" s="1"/>
  <c r="S1362" i="1" s="1"/>
  <c r="U1362" i="1" s="1"/>
  <c r="W1362" i="1" s="1"/>
  <c r="Y1362" i="1" s="1"/>
  <c r="E1409" i="1"/>
  <c r="G1409" i="1" s="1"/>
  <c r="I1409" i="1" s="1"/>
  <c r="K1409" i="1" s="1"/>
  <c r="M1409" i="1" s="1"/>
  <c r="O1409" i="1" s="1"/>
  <c r="Q1409" i="1" s="1"/>
  <c r="S1409" i="1" s="1"/>
  <c r="U1409" i="1" s="1"/>
  <c r="W1409" i="1" s="1"/>
  <c r="Y1409" i="1" s="1"/>
  <c r="E1411" i="1"/>
  <c r="G1411" i="1" s="1"/>
  <c r="I1411" i="1" s="1"/>
  <c r="K1411" i="1" s="1"/>
  <c r="M1411" i="1" s="1"/>
  <c r="O1411" i="1" s="1"/>
  <c r="Q1411" i="1" s="1"/>
  <c r="S1411" i="1" s="1"/>
  <c r="U1411" i="1" s="1"/>
  <c r="W1411" i="1" s="1"/>
  <c r="Y1411" i="1" s="1"/>
  <c r="E1413" i="1"/>
  <c r="G1413" i="1" s="1"/>
  <c r="I1413" i="1" s="1"/>
  <c r="K1413" i="1" s="1"/>
  <c r="M1413" i="1" s="1"/>
  <c r="O1413" i="1" s="1"/>
  <c r="Q1413" i="1" s="1"/>
  <c r="S1413" i="1" s="1"/>
  <c r="U1413" i="1" s="1"/>
  <c r="W1413" i="1" s="1"/>
  <c r="Y1413" i="1" s="1"/>
  <c r="E1418" i="1"/>
  <c r="E1424" i="1"/>
  <c r="E1447" i="1"/>
  <c r="E1453" i="1"/>
  <c r="E1459" i="1"/>
  <c r="E1464" i="1"/>
  <c r="E1473" i="1"/>
  <c r="G1473" i="1" s="1"/>
  <c r="I1473" i="1" s="1"/>
  <c r="K1473" i="1" s="1"/>
  <c r="M1473" i="1" s="1"/>
  <c r="O1473" i="1" s="1"/>
  <c r="Q1473" i="1" s="1"/>
  <c r="S1473" i="1" s="1"/>
  <c r="U1473" i="1" s="1"/>
  <c r="W1473" i="1" s="1"/>
  <c r="Y1473" i="1" s="1"/>
  <c r="E1477" i="1"/>
  <c r="G1477" i="1" s="1"/>
  <c r="I1477" i="1" s="1"/>
  <c r="K1477" i="1" s="1"/>
  <c r="M1477" i="1" s="1"/>
  <c r="O1477" i="1" s="1"/>
  <c r="Q1477" i="1" s="1"/>
  <c r="S1477" i="1" s="1"/>
  <c r="U1477" i="1" s="1"/>
  <c r="W1477" i="1" s="1"/>
  <c r="Y1477" i="1" s="1"/>
  <c r="E1481" i="1"/>
  <c r="E1485" i="1"/>
  <c r="E1491" i="1"/>
  <c r="E1504" i="1"/>
  <c r="G1504" i="1" s="1"/>
  <c r="I1504" i="1" s="1"/>
  <c r="K1504" i="1" s="1"/>
  <c r="M1504" i="1" s="1"/>
  <c r="O1504" i="1" s="1"/>
  <c r="Q1504" i="1" s="1"/>
  <c r="S1504" i="1" s="1"/>
  <c r="U1504" i="1" s="1"/>
  <c r="W1504" i="1" s="1"/>
  <c r="Y1504" i="1" s="1"/>
  <c r="E1512" i="1"/>
  <c r="G1512" i="1" s="1"/>
  <c r="I1512" i="1" s="1"/>
  <c r="K1512" i="1" s="1"/>
  <c r="M1512" i="1" s="1"/>
  <c r="O1512" i="1" s="1"/>
  <c r="Q1512" i="1" s="1"/>
  <c r="S1512" i="1" s="1"/>
  <c r="U1512" i="1" s="1"/>
  <c r="W1512" i="1" s="1"/>
  <c r="Y1512" i="1" s="1"/>
  <c r="E1519" i="1"/>
  <c r="E1526" i="1"/>
  <c r="G1526" i="1" s="1"/>
  <c r="I1526" i="1" s="1"/>
  <c r="K1526" i="1" s="1"/>
  <c r="M1526" i="1" s="1"/>
  <c r="O1526" i="1" s="1"/>
  <c r="Q1526" i="1" s="1"/>
  <c r="S1526" i="1" s="1"/>
  <c r="U1526" i="1" s="1"/>
  <c r="W1526" i="1" s="1"/>
  <c r="Y1526" i="1" s="1"/>
  <c r="E1532" i="1"/>
  <c r="G1532" i="1" s="1"/>
  <c r="I1532" i="1" s="1"/>
  <c r="K1532" i="1" s="1"/>
  <c r="M1532" i="1" s="1"/>
  <c r="O1532" i="1" s="1"/>
  <c r="Q1532" i="1" s="1"/>
  <c r="S1532" i="1" s="1"/>
  <c r="U1532" i="1" s="1"/>
  <c r="W1532" i="1" s="1"/>
  <c r="Y1532" i="1" s="1"/>
  <c r="E1542" i="1"/>
  <c r="Q1853" i="1" l="1"/>
  <c r="S1853" i="1" s="1"/>
  <c r="U1853" i="1" s="1"/>
  <c r="W1853" i="1" s="1"/>
  <c r="Y1853" i="1" s="1"/>
  <c r="AA1853" i="1" s="1"/>
  <c r="G1151" i="1"/>
  <c r="I1151" i="1" s="1"/>
  <c r="K1151" i="1" s="1"/>
  <c r="M1151" i="1" s="1"/>
  <c r="O1151" i="1" s="1"/>
  <c r="Q1151" i="1" s="1"/>
  <c r="S1151" i="1" s="1"/>
  <c r="U1151" i="1" s="1"/>
  <c r="W1151" i="1" s="1"/>
  <c r="Y1151" i="1" s="1"/>
  <c r="E1147" i="1"/>
  <c r="G1147" i="1" s="1"/>
  <c r="I1147" i="1" s="1"/>
  <c r="K1147" i="1" s="1"/>
  <c r="M1147" i="1" s="1"/>
  <c r="O1147" i="1" s="1"/>
  <c r="Q1147" i="1" s="1"/>
  <c r="S1147" i="1" s="1"/>
  <c r="U1147" i="1" s="1"/>
  <c r="W1147" i="1" s="1"/>
  <c r="Y1147" i="1" s="1"/>
  <c r="E1488" i="1"/>
  <c r="G1488" i="1" s="1"/>
  <c r="I1488" i="1" s="1"/>
  <c r="K1488" i="1" s="1"/>
  <c r="M1488" i="1" s="1"/>
  <c r="O1488" i="1" s="1"/>
  <c r="Q1488" i="1" s="1"/>
  <c r="S1488" i="1" s="1"/>
  <c r="U1488" i="1" s="1"/>
  <c r="W1488" i="1" s="1"/>
  <c r="Y1488" i="1" s="1"/>
  <c r="G1491" i="1"/>
  <c r="I1491" i="1" s="1"/>
  <c r="K1491" i="1" s="1"/>
  <c r="M1491" i="1" s="1"/>
  <c r="O1491" i="1" s="1"/>
  <c r="Q1491" i="1" s="1"/>
  <c r="S1491" i="1" s="1"/>
  <c r="U1491" i="1" s="1"/>
  <c r="W1491" i="1" s="1"/>
  <c r="Y1491" i="1" s="1"/>
  <c r="E1183" i="1"/>
  <c r="G1183" i="1" s="1"/>
  <c r="I1183" i="1" s="1"/>
  <c r="K1183" i="1" s="1"/>
  <c r="M1183" i="1" s="1"/>
  <c r="O1183" i="1" s="1"/>
  <c r="Q1183" i="1" s="1"/>
  <c r="S1183" i="1" s="1"/>
  <c r="U1183" i="1" s="1"/>
  <c r="W1183" i="1" s="1"/>
  <c r="Y1183" i="1" s="1"/>
  <c r="G1184" i="1"/>
  <c r="I1184" i="1" s="1"/>
  <c r="K1184" i="1" s="1"/>
  <c r="M1184" i="1" s="1"/>
  <c r="O1184" i="1" s="1"/>
  <c r="Q1184" i="1" s="1"/>
  <c r="S1184" i="1" s="1"/>
  <c r="U1184" i="1" s="1"/>
  <c r="W1184" i="1" s="1"/>
  <c r="Y1184" i="1" s="1"/>
  <c r="E960" i="1"/>
  <c r="G960" i="1" s="1"/>
  <c r="I960" i="1" s="1"/>
  <c r="K960" i="1" s="1"/>
  <c r="M960" i="1" s="1"/>
  <c r="O960" i="1" s="1"/>
  <c r="Q960" i="1" s="1"/>
  <c r="S960" i="1" s="1"/>
  <c r="U960" i="1" s="1"/>
  <c r="W960" i="1" s="1"/>
  <c r="Y960" i="1" s="1"/>
  <c r="G963" i="1"/>
  <c r="I963" i="1" s="1"/>
  <c r="K963" i="1" s="1"/>
  <c r="M963" i="1" s="1"/>
  <c r="O963" i="1" s="1"/>
  <c r="Q963" i="1" s="1"/>
  <c r="S963" i="1" s="1"/>
  <c r="U963" i="1" s="1"/>
  <c r="W963" i="1" s="1"/>
  <c r="Y963" i="1" s="1"/>
  <c r="E894" i="1"/>
  <c r="G894" i="1" s="1"/>
  <c r="I894" i="1" s="1"/>
  <c r="K894" i="1" s="1"/>
  <c r="M894" i="1" s="1"/>
  <c r="O894" i="1" s="1"/>
  <c r="Q894" i="1" s="1"/>
  <c r="S894" i="1" s="1"/>
  <c r="U894" i="1" s="1"/>
  <c r="W894" i="1" s="1"/>
  <c r="Y894" i="1" s="1"/>
  <c r="G895" i="1"/>
  <c r="I895" i="1" s="1"/>
  <c r="K895" i="1" s="1"/>
  <c r="M895" i="1" s="1"/>
  <c r="O895" i="1" s="1"/>
  <c r="Q895" i="1" s="1"/>
  <c r="S895" i="1" s="1"/>
  <c r="U895" i="1" s="1"/>
  <c r="W895" i="1" s="1"/>
  <c r="Y895" i="1" s="1"/>
  <c r="E803" i="1"/>
  <c r="G803" i="1" s="1"/>
  <c r="I803" i="1" s="1"/>
  <c r="K803" i="1" s="1"/>
  <c r="M803" i="1" s="1"/>
  <c r="O803" i="1" s="1"/>
  <c r="Q803" i="1" s="1"/>
  <c r="S803" i="1" s="1"/>
  <c r="U803" i="1" s="1"/>
  <c r="W803" i="1" s="1"/>
  <c r="Y803" i="1" s="1"/>
  <c r="G804" i="1"/>
  <c r="I804" i="1" s="1"/>
  <c r="K804" i="1" s="1"/>
  <c r="M804" i="1" s="1"/>
  <c r="O804" i="1" s="1"/>
  <c r="Q804" i="1" s="1"/>
  <c r="S804" i="1" s="1"/>
  <c r="U804" i="1" s="1"/>
  <c r="W804" i="1" s="1"/>
  <c r="Y804" i="1" s="1"/>
  <c r="E338" i="1"/>
  <c r="G338" i="1" s="1"/>
  <c r="I338" i="1" s="1"/>
  <c r="K338" i="1" s="1"/>
  <c r="M338" i="1" s="1"/>
  <c r="O338" i="1" s="1"/>
  <c r="Q338" i="1" s="1"/>
  <c r="S338" i="1" s="1"/>
  <c r="U338" i="1" s="1"/>
  <c r="W338" i="1" s="1"/>
  <c r="Y338" i="1" s="1"/>
  <c r="G339" i="1"/>
  <c r="I339" i="1" s="1"/>
  <c r="K339" i="1" s="1"/>
  <c r="M339" i="1" s="1"/>
  <c r="O339" i="1" s="1"/>
  <c r="Q339" i="1" s="1"/>
  <c r="S339" i="1" s="1"/>
  <c r="U339" i="1" s="1"/>
  <c r="W339" i="1" s="1"/>
  <c r="Y339" i="1" s="1"/>
  <c r="E217" i="1"/>
  <c r="G217" i="1" s="1"/>
  <c r="I217" i="1" s="1"/>
  <c r="K217" i="1" s="1"/>
  <c r="M217" i="1" s="1"/>
  <c r="O217" i="1" s="1"/>
  <c r="Q217" i="1" s="1"/>
  <c r="S217" i="1" s="1"/>
  <c r="U217" i="1" s="1"/>
  <c r="W217" i="1" s="1"/>
  <c r="Y217" i="1" s="1"/>
  <c r="G218" i="1"/>
  <c r="I218" i="1" s="1"/>
  <c r="K218" i="1" s="1"/>
  <c r="M218" i="1" s="1"/>
  <c r="O218" i="1" s="1"/>
  <c r="Q218" i="1" s="1"/>
  <c r="S218" i="1" s="1"/>
  <c r="U218" i="1" s="1"/>
  <c r="W218" i="1" s="1"/>
  <c r="Y218" i="1" s="1"/>
  <c r="E1514" i="1"/>
  <c r="G1514" i="1" s="1"/>
  <c r="I1514" i="1" s="1"/>
  <c r="K1514" i="1" s="1"/>
  <c r="M1514" i="1" s="1"/>
  <c r="O1514" i="1" s="1"/>
  <c r="Q1514" i="1" s="1"/>
  <c r="S1514" i="1" s="1"/>
  <c r="U1514" i="1" s="1"/>
  <c r="W1514" i="1" s="1"/>
  <c r="Y1514" i="1" s="1"/>
  <c r="G1519" i="1"/>
  <c r="I1519" i="1" s="1"/>
  <c r="K1519" i="1" s="1"/>
  <c r="M1519" i="1" s="1"/>
  <c r="O1519" i="1" s="1"/>
  <c r="Q1519" i="1" s="1"/>
  <c r="S1519" i="1" s="1"/>
  <c r="U1519" i="1" s="1"/>
  <c r="W1519" i="1" s="1"/>
  <c r="Y1519" i="1" s="1"/>
  <c r="E1461" i="1"/>
  <c r="G1461" i="1" s="1"/>
  <c r="I1461" i="1" s="1"/>
  <c r="K1461" i="1" s="1"/>
  <c r="M1461" i="1" s="1"/>
  <c r="O1461" i="1" s="1"/>
  <c r="Q1461" i="1" s="1"/>
  <c r="S1461" i="1" s="1"/>
  <c r="U1461" i="1" s="1"/>
  <c r="W1461" i="1" s="1"/>
  <c r="Y1461" i="1" s="1"/>
  <c r="G1464" i="1"/>
  <c r="I1464" i="1" s="1"/>
  <c r="K1464" i="1" s="1"/>
  <c r="M1464" i="1" s="1"/>
  <c r="O1464" i="1" s="1"/>
  <c r="Q1464" i="1" s="1"/>
  <c r="S1464" i="1" s="1"/>
  <c r="U1464" i="1" s="1"/>
  <c r="W1464" i="1" s="1"/>
  <c r="Y1464" i="1" s="1"/>
  <c r="E1342" i="1"/>
  <c r="G1342" i="1" s="1"/>
  <c r="I1342" i="1" s="1"/>
  <c r="K1342" i="1" s="1"/>
  <c r="M1342" i="1" s="1"/>
  <c r="O1342" i="1" s="1"/>
  <c r="Q1342" i="1" s="1"/>
  <c r="S1342" i="1" s="1"/>
  <c r="U1342" i="1" s="1"/>
  <c r="W1342" i="1" s="1"/>
  <c r="Y1342" i="1" s="1"/>
  <c r="G1343" i="1"/>
  <c r="I1343" i="1" s="1"/>
  <c r="K1343" i="1" s="1"/>
  <c r="M1343" i="1" s="1"/>
  <c r="O1343" i="1" s="1"/>
  <c r="Q1343" i="1" s="1"/>
  <c r="S1343" i="1" s="1"/>
  <c r="U1343" i="1" s="1"/>
  <c r="W1343" i="1" s="1"/>
  <c r="Y1343" i="1" s="1"/>
  <c r="E954" i="1"/>
  <c r="G954" i="1" s="1"/>
  <c r="I954" i="1" s="1"/>
  <c r="K954" i="1" s="1"/>
  <c r="M954" i="1" s="1"/>
  <c r="O954" i="1" s="1"/>
  <c r="Q954" i="1" s="1"/>
  <c r="S954" i="1" s="1"/>
  <c r="U954" i="1" s="1"/>
  <c r="W954" i="1" s="1"/>
  <c r="Y954" i="1" s="1"/>
  <c r="G957" i="1"/>
  <c r="I957" i="1" s="1"/>
  <c r="K957" i="1" s="1"/>
  <c r="M957" i="1" s="1"/>
  <c r="O957" i="1" s="1"/>
  <c r="Q957" i="1" s="1"/>
  <c r="S957" i="1" s="1"/>
  <c r="U957" i="1" s="1"/>
  <c r="W957" i="1" s="1"/>
  <c r="Y957" i="1" s="1"/>
  <c r="E846" i="1"/>
  <c r="G846" i="1" s="1"/>
  <c r="I846" i="1" s="1"/>
  <c r="K846" i="1" s="1"/>
  <c r="M846" i="1" s="1"/>
  <c r="O846" i="1" s="1"/>
  <c r="Q846" i="1" s="1"/>
  <c r="S846" i="1" s="1"/>
  <c r="U846" i="1" s="1"/>
  <c r="W846" i="1" s="1"/>
  <c r="Y846" i="1" s="1"/>
  <c r="G851" i="1"/>
  <c r="I851" i="1" s="1"/>
  <c r="K851" i="1" s="1"/>
  <c r="M851" i="1" s="1"/>
  <c r="O851" i="1" s="1"/>
  <c r="Q851" i="1" s="1"/>
  <c r="S851" i="1" s="1"/>
  <c r="U851" i="1" s="1"/>
  <c r="W851" i="1" s="1"/>
  <c r="Y851" i="1" s="1"/>
  <c r="E800" i="1"/>
  <c r="G800" i="1" s="1"/>
  <c r="I800" i="1" s="1"/>
  <c r="K800" i="1" s="1"/>
  <c r="M800" i="1" s="1"/>
  <c r="O800" i="1" s="1"/>
  <c r="Q800" i="1" s="1"/>
  <c r="S800" i="1" s="1"/>
  <c r="U800" i="1" s="1"/>
  <c r="W800" i="1" s="1"/>
  <c r="Y800" i="1" s="1"/>
  <c r="G801" i="1"/>
  <c r="I801" i="1" s="1"/>
  <c r="K801" i="1" s="1"/>
  <c r="M801" i="1" s="1"/>
  <c r="O801" i="1" s="1"/>
  <c r="Q801" i="1" s="1"/>
  <c r="S801" i="1" s="1"/>
  <c r="U801" i="1" s="1"/>
  <c r="W801" i="1" s="1"/>
  <c r="Y801" i="1" s="1"/>
  <c r="E335" i="1"/>
  <c r="G335" i="1" s="1"/>
  <c r="I335" i="1" s="1"/>
  <c r="K335" i="1" s="1"/>
  <c r="M335" i="1" s="1"/>
  <c r="O335" i="1" s="1"/>
  <c r="Q335" i="1" s="1"/>
  <c r="S335" i="1" s="1"/>
  <c r="U335" i="1" s="1"/>
  <c r="W335" i="1" s="1"/>
  <c r="Y335" i="1" s="1"/>
  <c r="G336" i="1"/>
  <c r="I336" i="1" s="1"/>
  <c r="K336" i="1" s="1"/>
  <c r="M336" i="1" s="1"/>
  <c r="O336" i="1" s="1"/>
  <c r="Q336" i="1" s="1"/>
  <c r="S336" i="1" s="1"/>
  <c r="U336" i="1" s="1"/>
  <c r="W336" i="1" s="1"/>
  <c r="Y336" i="1" s="1"/>
  <c r="E280" i="1"/>
  <c r="G280" i="1" s="1"/>
  <c r="I280" i="1" s="1"/>
  <c r="K280" i="1" s="1"/>
  <c r="M280" i="1" s="1"/>
  <c r="O280" i="1" s="1"/>
  <c r="Q280" i="1" s="1"/>
  <c r="S280" i="1" s="1"/>
  <c r="U280" i="1" s="1"/>
  <c r="W280" i="1" s="1"/>
  <c r="Y280" i="1" s="1"/>
  <c r="G281" i="1"/>
  <c r="I281" i="1" s="1"/>
  <c r="K281" i="1" s="1"/>
  <c r="M281" i="1" s="1"/>
  <c r="O281" i="1" s="1"/>
  <c r="Q281" i="1" s="1"/>
  <c r="S281" i="1" s="1"/>
  <c r="U281" i="1" s="1"/>
  <c r="W281" i="1" s="1"/>
  <c r="Y281" i="1" s="1"/>
  <c r="E214" i="1"/>
  <c r="G214" i="1" s="1"/>
  <c r="I214" i="1" s="1"/>
  <c r="K214" i="1" s="1"/>
  <c r="M214" i="1" s="1"/>
  <c r="O214" i="1" s="1"/>
  <c r="Q214" i="1" s="1"/>
  <c r="S214" i="1" s="1"/>
  <c r="U214" i="1" s="1"/>
  <c r="W214" i="1" s="1"/>
  <c r="Y214" i="1" s="1"/>
  <c r="G215" i="1"/>
  <c r="I215" i="1" s="1"/>
  <c r="K215" i="1" s="1"/>
  <c r="M215" i="1" s="1"/>
  <c r="O215" i="1" s="1"/>
  <c r="Q215" i="1" s="1"/>
  <c r="S215" i="1" s="1"/>
  <c r="U215" i="1" s="1"/>
  <c r="W215" i="1" s="1"/>
  <c r="Y215" i="1" s="1"/>
  <c r="E52" i="1"/>
  <c r="G53" i="1"/>
  <c r="I53" i="1" s="1"/>
  <c r="K53" i="1" s="1"/>
  <c r="M53" i="1" s="1"/>
  <c r="O53" i="1" s="1"/>
  <c r="Q53" i="1" s="1"/>
  <c r="S53" i="1" s="1"/>
  <c r="U53" i="1" s="1"/>
  <c r="W53" i="1" s="1"/>
  <c r="Y53" i="1" s="1"/>
  <c r="E1484" i="1"/>
  <c r="G1484" i="1" s="1"/>
  <c r="I1484" i="1" s="1"/>
  <c r="K1484" i="1" s="1"/>
  <c r="M1484" i="1" s="1"/>
  <c r="O1484" i="1" s="1"/>
  <c r="Q1484" i="1" s="1"/>
  <c r="S1484" i="1" s="1"/>
  <c r="U1484" i="1" s="1"/>
  <c r="W1484" i="1" s="1"/>
  <c r="Y1484" i="1" s="1"/>
  <c r="G1485" i="1"/>
  <c r="I1485" i="1" s="1"/>
  <c r="K1485" i="1" s="1"/>
  <c r="M1485" i="1" s="1"/>
  <c r="O1485" i="1" s="1"/>
  <c r="Q1485" i="1" s="1"/>
  <c r="S1485" i="1" s="1"/>
  <c r="U1485" i="1" s="1"/>
  <c r="W1485" i="1" s="1"/>
  <c r="Y1485" i="1" s="1"/>
  <c r="E1541" i="1"/>
  <c r="G1541" i="1" s="1"/>
  <c r="I1541" i="1" s="1"/>
  <c r="K1541" i="1" s="1"/>
  <c r="M1541" i="1" s="1"/>
  <c r="O1541" i="1" s="1"/>
  <c r="Q1541" i="1" s="1"/>
  <c r="S1541" i="1" s="1"/>
  <c r="U1541" i="1" s="1"/>
  <c r="W1541" i="1" s="1"/>
  <c r="Y1541" i="1" s="1"/>
  <c r="G1542" i="1"/>
  <c r="I1542" i="1" s="1"/>
  <c r="K1542" i="1" s="1"/>
  <c r="M1542" i="1" s="1"/>
  <c r="O1542" i="1" s="1"/>
  <c r="Q1542" i="1" s="1"/>
  <c r="S1542" i="1" s="1"/>
  <c r="U1542" i="1" s="1"/>
  <c r="W1542" i="1" s="1"/>
  <c r="Y1542" i="1" s="1"/>
  <c r="E1480" i="1"/>
  <c r="G1480" i="1" s="1"/>
  <c r="I1480" i="1" s="1"/>
  <c r="K1480" i="1" s="1"/>
  <c r="M1480" i="1" s="1"/>
  <c r="O1480" i="1" s="1"/>
  <c r="Q1480" i="1" s="1"/>
  <c r="S1480" i="1" s="1"/>
  <c r="U1480" i="1" s="1"/>
  <c r="W1480" i="1" s="1"/>
  <c r="Y1480" i="1" s="1"/>
  <c r="G1481" i="1"/>
  <c r="I1481" i="1" s="1"/>
  <c r="K1481" i="1" s="1"/>
  <c r="M1481" i="1" s="1"/>
  <c r="O1481" i="1" s="1"/>
  <c r="Q1481" i="1" s="1"/>
  <c r="S1481" i="1" s="1"/>
  <c r="U1481" i="1" s="1"/>
  <c r="W1481" i="1" s="1"/>
  <c r="Y1481" i="1" s="1"/>
  <c r="E1458" i="1"/>
  <c r="G1458" i="1" s="1"/>
  <c r="I1458" i="1" s="1"/>
  <c r="K1458" i="1" s="1"/>
  <c r="M1458" i="1" s="1"/>
  <c r="O1458" i="1" s="1"/>
  <c r="Q1458" i="1" s="1"/>
  <c r="S1458" i="1" s="1"/>
  <c r="U1458" i="1" s="1"/>
  <c r="W1458" i="1" s="1"/>
  <c r="Y1458" i="1" s="1"/>
  <c r="G1459" i="1"/>
  <c r="I1459" i="1" s="1"/>
  <c r="K1459" i="1" s="1"/>
  <c r="M1459" i="1" s="1"/>
  <c r="O1459" i="1" s="1"/>
  <c r="Q1459" i="1" s="1"/>
  <c r="S1459" i="1" s="1"/>
  <c r="U1459" i="1" s="1"/>
  <c r="W1459" i="1" s="1"/>
  <c r="Y1459" i="1" s="1"/>
  <c r="E1335" i="1"/>
  <c r="G1335" i="1" s="1"/>
  <c r="I1335" i="1" s="1"/>
  <c r="K1335" i="1" s="1"/>
  <c r="M1335" i="1" s="1"/>
  <c r="O1335" i="1" s="1"/>
  <c r="Q1335" i="1" s="1"/>
  <c r="S1335" i="1" s="1"/>
  <c r="U1335" i="1" s="1"/>
  <c r="W1335" i="1" s="1"/>
  <c r="Y1335" i="1" s="1"/>
  <c r="G1336" i="1"/>
  <c r="I1336" i="1" s="1"/>
  <c r="K1336" i="1" s="1"/>
  <c r="M1336" i="1" s="1"/>
  <c r="O1336" i="1" s="1"/>
  <c r="Q1336" i="1" s="1"/>
  <c r="S1336" i="1" s="1"/>
  <c r="U1336" i="1" s="1"/>
  <c r="W1336" i="1" s="1"/>
  <c r="Y1336" i="1" s="1"/>
  <c r="E881" i="1"/>
  <c r="G881" i="1" s="1"/>
  <c r="I881" i="1" s="1"/>
  <c r="K881" i="1" s="1"/>
  <c r="M881" i="1" s="1"/>
  <c r="O881" i="1" s="1"/>
  <c r="Q881" i="1" s="1"/>
  <c r="S881" i="1" s="1"/>
  <c r="U881" i="1" s="1"/>
  <c r="W881" i="1" s="1"/>
  <c r="Y881" i="1" s="1"/>
  <c r="G882" i="1"/>
  <c r="I882" i="1" s="1"/>
  <c r="K882" i="1" s="1"/>
  <c r="M882" i="1" s="1"/>
  <c r="O882" i="1" s="1"/>
  <c r="Q882" i="1" s="1"/>
  <c r="S882" i="1" s="1"/>
  <c r="U882" i="1" s="1"/>
  <c r="W882" i="1" s="1"/>
  <c r="Y882" i="1" s="1"/>
  <c r="E809" i="1"/>
  <c r="G809" i="1" s="1"/>
  <c r="I809" i="1" s="1"/>
  <c r="K809" i="1" s="1"/>
  <c r="M809" i="1" s="1"/>
  <c r="O809" i="1" s="1"/>
  <c r="Q809" i="1" s="1"/>
  <c r="S809" i="1" s="1"/>
  <c r="U809" i="1" s="1"/>
  <c r="W809" i="1" s="1"/>
  <c r="Y809" i="1" s="1"/>
  <c r="G810" i="1"/>
  <c r="I810" i="1" s="1"/>
  <c r="K810" i="1" s="1"/>
  <c r="M810" i="1" s="1"/>
  <c r="O810" i="1" s="1"/>
  <c r="Q810" i="1" s="1"/>
  <c r="S810" i="1" s="1"/>
  <c r="U810" i="1" s="1"/>
  <c r="W810" i="1" s="1"/>
  <c r="Y810" i="1" s="1"/>
  <c r="E326" i="1"/>
  <c r="G329" i="1"/>
  <c r="I329" i="1" s="1"/>
  <c r="K329" i="1" s="1"/>
  <c r="M329" i="1" s="1"/>
  <c r="O329" i="1" s="1"/>
  <c r="Q329" i="1" s="1"/>
  <c r="S329" i="1" s="1"/>
  <c r="U329" i="1" s="1"/>
  <c r="W329" i="1" s="1"/>
  <c r="Y329" i="1" s="1"/>
  <c r="E265" i="1"/>
  <c r="E264" i="1" s="1"/>
  <c r="G266" i="1"/>
  <c r="I266" i="1" s="1"/>
  <c r="K266" i="1" s="1"/>
  <c r="M266" i="1" s="1"/>
  <c r="O266" i="1" s="1"/>
  <c r="Q266" i="1" s="1"/>
  <c r="S266" i="1" s="1"/>
  <c r="U266" i="1" s="1"/>
  <c r="W266" i="1" s="1"/>
  <c r="Y266" i="1" s="1"/>
  <c r="E194" i="1"/>
  <c r="G194" i="1" s="1"/>
  <c r="I194" i="1" s="1"/>
  <c r="K194" i="1" s="1"/>
  <c r="M194" i="1" s="1"/>
  <c r="O194" i="1" s="1"/>
  <c r="Q194" i="1" s="1"/>
  <c r="S194" i="1" s="1"/>
  <c r="U194" i="1" s="1"/>
  <c r="W194" i="1" s="1"/>
  <c r="Y194" i="1" s="1"/>
  <c r="G201" i="1"/>
  <c r="I201" i="1" s="1"/>
  <c r="K201" i="1" s="1"/>
  <c r="M201" i="1" s="1"/>
  <c r="O201" i="1" s="1"/>
  <c r="Q201" i="1" s="1"/>
  <c r="S201" i="1" s="1"/>
  <c r="U201" i="1" s="1"/>
  <c r="W201" i="1" s="1"/>
  <c r="Y201" i="1" s="1"/>
  <c r="E1452" i="1"/>
  <c r="E1451" i="1" s="1"/>
  <c r="G1453" i="1"/>
  <c r="I1453" i="1" s="1"/>
  <c r="K1453" i="1" s="1"/>
  <c r="M1453" i="1" s="1"/>
  <c r="O1453" i="1" s="1"/>
  <c r="Q1453" i="1" s="1"/>
  <c r="S1453" i="1" s="1"/>
  <c r="U1453" i="1" s="1"/>
  <c r="W1453" i="1" s="1"/>
  <c r="Y1453" i="1" s="1"/>
  <c r="E1284" i="1"/>
  <c r="G1284" i="1" s="1"/>
  <c r="I1284" i="1" s="1"/>
  <c r="K1284" i="1" s="1"/>
  <c r="M1284" i="1" s="1"/>
  <c r="O1284" i="1" s="1"/>
  <c r="Q1284" i="1" s="1"/>
  <c r="S1284" i="1" s="1"/>
  <c r="U1284" i="1" s="1"/>
  <c r="W1284" i="1" s="1"/>
  <c r="Y1284" i="1" s="1"/>
  <c r="G1285" i="1"/>
  <c r="I1285" i="1" s="1"/>
  <c r="K1285" i="1" s="1"/>
  <c r="M1285" i="1" s="1"/>
  <c r="O1285" i="1" s="1"/>
  <c r="Q1285" i="1" s="1"/>
  <c r="S1285" i="1" s="1"/>
  <c r="U1285" i="1" s="1"/>
  <c r="W1285" i="1" s="1"/>
  <c r="Y1285" i="1" s="1"/>
  <c r="E903" i="1"/>
  <c r="G903" i="1" s="1"/>
  <c r="I903" i="1" s="1"/>
  <c r="K903" i="1" s="1"/>
  <c r="M903" i="1" s="1"/>
  <c r="O903" i="1" s="1"/>
  <c r="Q903" i="1" s="1"/>
  <c r="S903" i="1" s="1"/>
  <c r="U903" i="1" s="1"/>
  <c r="W903" i="1" s="1"/>
  <c r="Y903" i="1" s="1"/>
  <c r="G906" i="1"/>
  <c r="I906" i="1" s="1"/>
  <c r="K906" i="1" s="1"/>
  <c r="M906" i="1" s="1"/>
  <c r="O906" i="1" s="1"/>
  <c r="Q906" i="1" s="1"/>
  <c r="S906" i="1" s="1"/>
  <c r="U906" i="1" s="1"/>
  <c r="W906" i="1" s="1"/>
  <c r="Y906" i="1" s="1"/>
  <c r="E878" i="1"/>
  <c r="G878" i="1" s="1"/>
  <c r="I878" i="1" s="1"/>
  <c r="K878" i="1" s="1"/>
  <c r="M878" i="1" s="1"/>
  <c r="O878" i="1" s="1"/>
  <c r="Q878" i="1" s="1"/>
  <c r="S878" i="1" s="1"/>
  <c r="U878" i="1" s="1"/>
  <c r="W878" i="1" s="1"/>
  <c r="Y878" i="1" s="1"/>
  <c r="G879" i="1"/>
  <c r="I879" i="1" s="1"/>
  <c r="K879" i="1" s="1"/>
  <c r="M879" i="1" s="1"/>
  <c r="O879" i="1" s="1"/>
  <c r="Q879" i="1" s="1"/>
  <c r="S879" i="1" s="1"/>
  <c r="U879" i="1" s="1"/>
  <c r="W879" i="1" s="1"/>
  <c r="Y879" i="1" s="1"/>
  <c r="E806" i="1"/>
  <c r="G806" i="1" s="1"/>
  <c r="I806" i="1" s="1"/>
  <c r="K806" i="1" s="1"/>
  <c r="M806" i="1" s="1"/>
  <c r="O806" i="1" s="1"/>
  <c r="Q806" i="1" s="1"/>
  <c r="S806" i="1" s="1"/>
  <c r="U806" i="1" s="1"/>
  <c r="W806" i="1" s="1"/>
  <c r="Y806" i="1" s="1"/>
  <c r="G807" i="1"/>
  <c r="I807" i="1" s="1"/>
  <c r="K807" i="1" s="1"/>
  <c r="M807" i="1" s="1"/>
  <c r="O807" i="1" s="1"/>
  <c r="Q807" i="1" s="1"/>
  <c r="S807" i="1" s="1"/>
  <c r="U807" i="1" s="1"/>
  <c r="W807" i="1" s="1"/>
  <c r="Y807" i="1" s="1"/>
  <c r="E103" i="1"/>
  <c r="G103" i="1" s="1"/>
  <c r="I103" i="1" s="1"/>
  <c r="K103" i="1" s="1"/>
  <c r="M103" i="1" s="1"/>
  <c r="O103" i="1" s="1"/>
  <c r="Q103" i="1" s="1"/>
  <c r="S103" i="1" s="1"/>
  <c r="U103" i="1" s="1"/>
  <c r="W103" i="1" s="1"/>
  <c r="Y103" i="1" s="1"/>
  <c r="G104" i="1"/>
  <c r="I104" i="1" s="1"/>
  <c r="K104" i="1" s="1"/>
  <c r="M104" i="1" s="1"/>
  <c r="O104" i="1" s="1"/>
  <c r="Q104" i="1" s="1"/>
  <c r="S104" i="1" s="1"/>
  <c r="U104" i="1" s="1"/>
  <c r="W104" i="1" s="1"/>
  <c r="Y104" i="1" s="1"/>
  <c r="F342" i="1"/>
  <c r="E967" i="1"/>
  <c r="G970" i="1"/>
  <c r="I970" i="1" s="1"/>
  <c r="K970" i="1" s="1"/>
  <c r="M970" i="1" s="1"/>
  <c r="O970" i="1" s="1"/>
  <c r="Q970" i="1" s="1"/>
  <c r="S970" i="1" s="1"/>
  <c r="U970" i="1" s="1"/>
  <c r="W970" i="1" s="1"/>
  <c r="Y970" i="1" s="1"/>
  <c r="E111" i="1"/>
  <c r="G112" i="1"/>
  <c r="I112" i="1" s="1"/>
  <c r="K112" i="1" s="1"/>
  <c r="M112" i="1" s="1"/>
  <c r="O112" i="1" s="1"/>
  <c r="Q112" i="1" s="1"/>
  <c r="S112" i="1" s="1"/>
  <c r="U112" i="1" s="1"/>
  <c r="W112" i="1" s="1"/>
  <c r="Y112" i="1" s="1"/>
  <c r="E1446" i="1"/>
  <c r="G1447" i="1"/>
  <c r="I1447" i="1" s="1"/>
  <c r="K1447" i="1" s="1"/>
  <c r="M1447" i="1" s="1"/>
  <c r="O1447" i="1" s="1"/>
  <c r="Q1447" i="1" s="1"/>
  <c r="S1447" i="1" s="1"/>
  <c r="U1447" i="1" s="1"/>
  <c r="W1447" i="1" s="1"/>
  <c r="Y1447" i="1" s="1"/>
  <c r="E873" i="1"/>
  <c r="G874" i="1"/>
  <c r="I874" i="1" s="1"/>
  <c r="K874" i="1" s="1"/>
  <c r="M874" i="1" s="1"/>
  <c r="O874" i="1" s="1"/>
  <c r="Q874" i="1" s="1"/>
  <c r="S874" i="1" s="1"/>
  <c r="U874" i="1" s="1"/>
  <c r="W874" i="1" s="1"/>
  <c r="Y874" i="1" s="1"/>
  <c r="E285" i="1"/>
  <c r="G286" i="1"/>
  <c r="I286" i="1" s="1"/>
  <c r="K286" i="1" s="1"/>
  <c r="M286" i="1" s="1"/>
  <c r="O286" i="1" s="1"/>
  <c r="Q286" i="1" s="1"/>
  <c r="S286" i="1" s="1"/>
  <c r="U286" i="1" s="1"/>
  <c r="W286" i="1" s="1"/>
  <c r="Y286" i="1" s="1"/>
  <c r="E250" i="1"/>
  <c r="G251" i="1"/>
  <c r="I251" i="1" s="1"/>
  <c r="K251" i="1" s="1"/>
  <c r="M251" i="1" s="1"/>
  <c r="O251" i="1" s="1"/>
  <c r="Q251" i="1" s="1"/>
  <c r="S251" i="1" s="1"/>
  <c r="U251" i="1" s="1"/>
  <c r="W251" i="1" s="1"/>
  <c r="Y251" i="1" s="1"/>
  <c r="E1214" i="1"/>
  <c r="G1215" i="1"/>
  <c r="I1215" i="1" s="1"/>
  <c r="K1215" i="1" s="1"/>
  <c r="M1215" i="1" s="1"/>
  <c r="O1215" i="1" s="1"/>
  <c r="Q1215" i="1" s="1"/>
  <c r="S1215" i="1" s="1"/>
  <c r="U1215" i="1" s="1"/>
  <c r="W1215" i="1" s="1"/>
  <c r="Y1215" i="1" s="1"/>
  <c r="E346" i="1"/>
  <c r="G347" i="1"/>
  <c r="I347" i="1" s="1"/>
  <c r="K347" i="1" s="1"/>
  <c r="M347" i="1" s="1"/>
  <c r="O347" i="1" s="1"/>
  <c r="Q347" i="1" s="1"/>
  <c r="S347" i="1" s="1"/>
  <c r="U347" i="1" s="1"/>
  <c r="W347" i="1" s="1"/>
  <c r="Y347" i="1" s="1"/>
  <c r="E258" i="1"/>
  <c r="G259" i="1"/>
  <c r="I259" i="1" s="1"/>
  <c r="K259" i="1" s="1"/>
  <c r="M259" i="1" s="1"/>
  <c r="O259" i="1" s="1"/>
  <c r="Q259" i="1" s="1"/>
  <c r="S259" i="1" s="1"/>
  <c r="U259" i="1" s="1"/>
  <c r="W259" i="1" s="1"/>
  <c r="Y259" i="1" s="1"/>
  <c r="E1421" i="1"/>
  <c r="G1424" i="1"/>
  <c r="I1424" i="1" s="1"/>
  <c r="K1424" i="1" s="1"/>
  <c r="M1424" i="1" s="1"/>
  <c r="O1424" i="1" s="1"/>
  <c r="Q1424" i="1" s="1"/>
  <c r="S1424" i="1" s="1"/>
  <c r="U1424" i="1" s="1"/>
  <c r="W1424" i="1" s="1"/>
  <c r="Y1424" i="1" s="1"/>
  <c r="E150" i="1"/>
  <c r="G153" i="1"/>
  <c r="I153" i="1" s="1"/>
  <c r="K153" i="1" s="1"/>
  <c r="M153" i="1" s="1"/>
  <c r="O153" i="1" s="1"/>
  <c r="Q153" i="1" s="1"/>
  <c r="S153" i="1" s="1"/>
  <c r="U153" i="1" s="1"/>
  <c r="W153" i="1" s="1"/>
  <c r="Y153" i="1" s="1"/>
  <c r="E1417" i="1"/>
  <c r="G1418" i="1"/>
  <c r="I1418" i="1" s="1"/>
  <c r="K1418" i="1" s="1"/>
  <c r="M1418" i="1" s="1"/>
  <c r="O1418" i="1" s="1"/>
  <c r="Q1418" i="1" s="1"/>
  <c r="S1418" i="1" s="1"/>
  <c r="U1418" i="1" s="1"/>
  <c r="W1418" i="1" s="1"/>
  <c r="Y1418" i="1" s="1"/>
  <c r="E1292" i="1"/>
  <c r="G1293" i="1"/>
  <c r="I1293" i="1" s="1"/>
  <c r="K1293" i="1" s="1"/>
  <c r="M1293" i="1" s="1"/>
  <c r="O1293" i="1" s="1"/>
  <c r="Q1293" i="1" s="1"/>
  <c r="S1293" i="1" s="1"/>
  <c r="U1293" i="1" s="1"/>
  <c r="W1293" i="1" s="1"/>
  <c r="Y1293" i="1" s="1"/>
  <c r="E978" i="1"/>
  <c r="G979" i="1"/>
  <c r="I979" i="1" s="1"/>
  <c r="K979" i="1" s="1"/>
  <c r="M979" i="1" s="1"/>
  <c r="O979" i="1" s="1"/>
  <c r="Q979" i="1" s="1"/>
  <c r="S979" i="1" s="1"/>
  <c r="U979" i="1" s="1"/>
  <c r="W979" i="1" s="1"/>
  <c r="Y979" i="1" s="1"/>
  <c r="E144" i="1"/>
  <c r="G145" i="1"/>
  <c r="I145" i="1" s="1"/>
  <c r="K145" i="1" s="1"/>
  <c r="M145" i="1" s="1"/>
  <c r="O145" i="1" s="1"/>
  <c r="Q145" i="1" s="1"/>
  <c r="S145" i="1" s="1"/>
  <c r="U145" i="1" s="1"/>
  <c r="W145" i="1" s="1"/>
  <c r="Y145" i="1" s="1"/>
  <c r="F884" i="1"/>
  <c r="F15" i="1"/>
  <c r="E1305" i="1"/>
  <c r="G1305" i="1" s="1"/>
  <c r="I1305" i="1" s="1"/>
  <c r="K1305" i="1" s="1"/>
  <c r="M1305" i="1" s="1"/>
  <c r="O1305" i="1" s="1"/>
  <c r="Q1305" i="1" s="1"/>
  <c r="S1305" i="1" s="1"/>
  <c r="U1305" i="1" s="1"/>
  <c r="W1305" i="1" s="1"/>
  <c r="Y1305" i="1" s="1"/>
  <c r="E1500" i="1"/>
  <c r="G1500" i="1" s="1"/>
  <c r="I1500" i="1" s="1"/>
  <c r="K1500" i="1" s="1"/>
  <c r="M1500" i="1" s="1"/>
  <c r="O1500" i="1" s="1"/>
  <c r="Q1500" i="1" s="1"/>
  <c r="S1500" i="1" s="1"/>
  <c r="U1500" i="1" s="1"/>
  <c r="W1500" i="1" s="1"/>
  <c r="Y1500" i="1" s="1"/>
  <c r="E1225" i="1"/>
  <c r="G1225" i="1" s="1"/>
  <c r="I1225" i="1" s="1"/>
  <c r="K1225" i="1" s="1"/>
  <c r="M1225" i="1" s="1"/>
  <c r="O1225" i="1" s="1"/>
  <c r="Q1225" i="1" s="1"/>
  <c r="S1225" i="1" s="1"/>
  <c r="U1225" i="1" s="1"/>
  <c r="W1225" i="1" s="1"/>
  <c r="Y1225" i="1" s="1"/>
  <c r="E1299" i="1"/>
  <c r="G1299" i="1" s="1"/>
  <c r="I1299" i="1" s="1"/>
  <c r="K1299" i="1" s="1"/>
  <c r="M1299" i="1" s="1"/>
  <c r="O1299" i="1" s="1"/>
  <c r="Q1299" i="1" s="1"/>
  <c r="S1299" i="1" s="1"/>
  <c r="U1299" i="1" s="1"/>
  <c r="W1299" i="1" s="1"/>
  <c r="Y1299" i="1" s="1"/>
  <c r="E1347" i="1"/>
  <c r="E1270" i="1"/>
  <c r="E1195" i="1"/>
  <c r="E1522" i="1"/>
  <c r="E827" i="1"/>
  <c r="G827" i="1" s="1"/>
  <c r="I827" i="1" s="1"/>
  <c r="K827" i="1" s="1"/>
  <c r="M827" i="1" s="1"/>
  <c r="O827" i="1" s="1"/>
  <c r="Q827" i="1" s="1"/>
  <c r="S827" i="1" s="1"/>
  <c r="U827" i="1" s="1"/>
  <c r="W827" i="1" s="1"/>
  <c r="Y827" i="1" s="1"/>
  <c r="E1167" i="1"/>
  <c r="E982" i="1"/>
  <c r="E1469" i="1"/>
  <c r="E1218" i="1"/>
  <c r="E1204" i="1"/>
  <c r="E1144" i="1"/>
  <c r="G1144" i="1" s="1"/>
  <c r="I1144" i="1" s="1"/>
  <c r="K1144" i="1" s="1"/>
  <c r="M1144" i="1" s="1"/>
  <c r="O1144" i="1" s="1"/>
  <c r="Q1144" i="1" s="1"/>
  <c r="S1144" i="1" s="1"/>
  <c r="U1144" i="1" s="1"/>
  <c r="W1144" i="1" s="1"/>
  <c r="Y1144" i="1" s="1"/>
  <c r="E928" i="1"/>
  <c r="G928" i="1" s="1"/>
  <c r="I928" i="1" s="1"/>
  <c r="K928" i="1" s="1"/>
  <c r="M928" i="1" s="1"/>
  <c r="O928" i="1" s="1"/>
  <c r="Q928" i="1" s="1"/>
  <c r="S928" i="1" s="1"/>
  <c r="U928" i="1" s="1"/>
  <c r="W928" i="1" s="1"/>
  <c r="Y928" i="1" s="1"/>
  <c r="E817" i="1"/>
  <c r="E172" i="1"/>
  <c r="G172" i="1" s="1"/>
  <c r="I172" i="1" s="1"/>
  <c r="K172" i="1" s="1"/>
  <c r="M172" i="1" s="1"/>
  <c r="O172" i="1" s="1"/>
  <c r="Q172" i="1" s="1"/>
  <c r="S172" i="1" s="1"/>
  <c r="U172" i="1" s="1"/>
  <c r="W172" i="1" s="1"/>
  <c r="Y172" i="1" s="1"/>
  <c r="E1406" i="1"/>
  <c r="E779" i="1"/>
  <c r="E1545" i="1"/>
  <c r="E1551" i="1"/>
  <c r="E1555" i="1"/>
  <c r="E1560" i="1"/>
  <c r="E1565" i="1"/>
  <c r="E1568" i="1"/>
  <c r="E1574" i="1"/>
  <c r="G1574" i="1" s="1"/>
  <c r="I1574" i="1" s="1"/>
  <c r="K1574" i="1" s="1"/>
  <c r="M1574" i="1" s="1"/>
  <c r="O1574" i="1" s="1"/>
  <c r="Q1574" i="1" s="1"/>
  <c r="S1574" i="1" s="1"/>
  <c r="U1574" i="1" s="1"/>
  <c r="W1574" i="1" s="1"/>
  <c r="Y1574" i="1" s="1"/>
  <c r="E1596" i="1"/>
  <c r="G1596" i="1" s="1"/>
  <c r="I1596" i="1" s="1"/>
  <c r="K1596" i="1" s="1"/>
  <c r="M1596" i="1" s="1"/>
  <c r="O1596" i="1" s="1"/>
  <c r="Q1596" i="1" s="1"/>
  <c r="S1596" i="1" s="1"/>
  <c r="U1596" i="1" s="1"/>
  <c r="W1596" i="1" s="1"/>
  <c r="Y1596" i="1" s="1"/>
  <c r="E1600" i="1"/>
  <c r="G1600" i="1" s="1"/>
  <c r="I1600" i="1" s="1"/>
  <c r="K1600" i="1" s="1"/>
  <c r="M1600" i="1" s="1"/>
  <c r="O1600" i="1" s="1"/>
  <c r="Q1600" i="1" s="1"/>
  <c r="S1600" i="1" s="1"/>
  <c r="U1600" i="1" s="1"/>
  <c r="W1600" i="1" s="1"/>
  <c r="Y1600" i="1" s="1"/>
  <c r="E1602" i="1"/>
  <c r="G1602" i="1" s="1"/>
  <c r="I1602" i="1" s="1"/>
  <c r="K1602" i="1" s="1"/>
  <c r="M1602" i="1" s="1"/>
  <c r="O1602" i="1" s="1"/>
  <c r="Q1602" i="1" s="1"/>
  <c r="S1602" i="1" s="1"/>
  <c r="U1602" i="1" s="1"/>
  <c r="W1602" i="1" s="1"/>
  <c r="Y1602" i="1" s="1"/>
  <c r="E1605" i="1"/>
  <c r="G1605" i="1" s="1"/>
  <c r="I1605" i="1" s="1"/>
  <c r="K1605" i="1" s="1"/>
  <c r="M1605" i="1" s="1"/>
  <c r="O1605" i="1" s="1"/>
  <c r="Q1605" i="1" s="1"/>
  <c r="S1605" i="1" s="1"/>
  <c r="U1605" i="1" s="1"/>
  <c r="W1605" i="1" s="1"/>
  <c r="Y1605" i="1" s="1"/>
  <c r="E1607" i="1"/>
  <c r="G1607" i="1" s="1"/>
  <c r="I1607" i="1" s="1"/>
  <c r="K1607" i="1" s="1"/>
  <c r="M1607" i="1" s="1"/>
  <c r="O1607" i="1" s="1"/>
  <c r="Q1607" i="1" s="1"/>
  <c r="S1607" i="1" s="1"/>
  <c r="U1607" i="1" s="1"/>
  <c r="W1607" i="1" s="1"/>
  <c r="Y1607" i="1" s="1"/>
  <c r="E1617" i="1"/>
  <c r="G1617" i="1" s="1"/>
  <c r="I1617" i="1" s="1"/>
  <c r="K1617" i="1" s="1"/>
  <c r="M1617" i="1" s="1"/>
  <c r="O1617" i="1" s="1"/>
  <c r="Q1617" i="1" s="1"/>
  <c r="S1617" i="1" s="1"/>
  <c r="U1617" i="1" s="1"/>
  <c r="W1617" i="1" s="1"/>
  <c r="Y1617" i="1" s="1"/>
  <c r="E1619" i="1"/>
  <c r="G1619" i="1" s="1"/>
  <c r="I1619" i="1" s="1"/>
  <c r="K1619" i="1" s="1"/>
  <c r="M1619" i="1" s="1"/>
  <c r="O1619" i="1" s="1"/>
  <c r="Q1619" i="1" s="1"/>
  <c r="S1619" i="1" s="1"/>
  <c r="U1619" i="1" s="1"/>
  <c r="W1619" i="1" s="1"/>
  <c r="Y1619" i="1" s="1"/>
  <c r="E1623" i="1"/>
  <c r="E1673" i="1"/>
  <c r="G1673" i="1" s="1"/>
  <c r="I1673" i="1" s="1"/>
  <c r="K1673" i="1" s="1"/>
  <c r="M1673" i="1" s="1"/>
  <c r="O1673" i="1" s="1"/>
  <c r="Q1673" i="1" s="1"/>
  <c r="S1673" i="1" s="1"/>
  <c r="U1673" i="1" s="1"/>
  <c r="W1673" i="1" s="1"/>
  <c r="Y1673" i="1" s="1"/>
  <c r="E1677" i="1"/>
  <c r="E1680" i="1"/>
  <c r="E1685" i="1"/>
  <c r="E1689" i="1"/>
  <c r="E1692" i="1"/>
  <c r="E1483" i="1" l="1"/>
  <c r="G1483" i="1" s="1"/>
  <c r="I1483" i="1" s="1"/>
  <c r="K1483" i="1" s="1"/>
  <c r="M1483" i="1" s="1"/>
  <c r="O1483" i="1" s="1"/>
  <c r="Q1483" i="1" s="1"/>
  <c r="S1483" i="1" s="1"/>
  <c r="U1483" i="1" s="1"/>
  <c r="W1483" i="1" s="1"/>
  <c r="Y1483" i="1" s="1"/>
  <c r="E1457" i="1"/>
  <c r="G1457" i="1" s="1"/>
  <c r="I1457" i="1" s="1"/>
  <c r="K1457" i="1" s="1"/>
  <c r="M1457" i="1" s="1"/>
  <c r="O1457" i="1" s="1"/>
  <c r="Q1457" i="1" s="1"/>
  <c r="S1457" i="1" s="1"/>
  <c r="U1457" i="1" s="1"/>
  <c r="W1457" i="1" s="1"/>
  <c r="Y1457" i="1" s="1"/>
  <c r="E279" i="1"/>
  <c r="G279" i="1" s="1"/>
  <c r="I279" i="1" s="1"/>
  <c r="K279" i="1" s="1"/>
  <c r="M279" i="1" s="1"/>
  <c r="O279" i="1" s="1"/>
  <c r="Q279" i="1" s="1"/>
  <c r="S279" i="1" s="1"/>
  <c r="U279" i="1" s="1"/>
  <c r="W279" i="1" s="1"/>
  <c r="Y279" i="1" s="1"/>
  <c r="E877" i="1"/>
  <c r="E876" i="1" s="1"/>
  <c r="G876" i="1" s="1"/>
  <c r="I876" i="1" s="1"/>
  <c r="K876" i="1" s="1"/>
  <c r="M876" i="1" s="1"/>
  <c r="O876" i="1" s="1"/>
  <c r="Q876" i="1" s="1"/>
  <c r="S876" i="1" s="1"/>
  <c r="U876" i="1" s="1"/>
  <c r="W876" i="1" s="1"/>
  <c r="Y876" i="1" s="1"/>
  <c r="E1182" i="1"/>
  <c r="E1181" i="1" s="1"/>
  <c r="G1452" i="1"/>
  <c r="I1452" i="1" s="1"/>
  <c r="K1452" i="1" s="1"/>
  <c r="M1452" i="1" s="1"/>
  <c r="O1452" i="1" s="1"/>
  <c r="Q1452" i="1" s="1"/>
  <c r="S1452" i="1" s="1"/>
  <c r="U1452" i="1" s="1"/>
  <c r="W1452" i="1" s="1"/>
  <c r="Y1452" i="1" s="1"/>
  <c r="E334" i="1"/>
  <c r="G334" i="1" s="1"/>
  <c r="I334" i="1" s="1"/>
  <c r="K334" i="1" s="1"/>
  <c r="M334" i="1" s="1"/>
  <c r="O334" i="1" s="1"/>
  <c r="Q334" i="1" s="1"/>
  <c r="S334" i="1" s="1"/>
  <c r="U334" i="1" s="1"/>
  <c r="W334" i="1" s="1"/>
  <c r="Y334" i="1" s="1"/>
  <c r="E799" i="1"/>
  <c r="G799" i="1" s="1"/>
  <c r="I799" i="1" s="1"/>
  <c r="K799" i="1" s="1"/>
  <c r="M799" i="1" s="1"/>
  <c r="O799" i="1" s="1"/>
  <c r="Q799" i="1" s="1"/>
  <c r="S799" i="1" s="1"/>
  <c r="U799" i="1" s="1"/>
  <c r="W799" i="1" s="1"/>
  <c r="Y799" i="1" s="1"/>
  <c r="G265" i="1"/>
  <c r="I265" i="1" s="1"/>
  <c r="K265" i="1" s="1"/>
  <c r="M265" i="1" s="1"/>
  <c r="O265" i="1" s="1"/>
  <c r="Q265" i="1" s="1"/>
  <c r="S265" i="1" s="1"/>
  <c r="U265" i="1" s="1"/>
  <c r="W265" i="1" s="1"/>
  <c r="Y265" i="1" s="1"/>
  <c r="E927" i="1"/>
  <c r="G927" i="1" s="1"/>
  <c r="I927" i="1" s="1"/>
  <c r="K927" i="1" s="1"/>
  <c r="M927" i="1" s="1"/>
  <c r="O927" i="1" s="1"/>
  <c r="Q927" i="1" s="1"/>
  <c r="S927" i="1" s="1"/>
  <c r="U927" i="1" s="1"/>
  <c r="W927" i="1" s="1"/>
  <c r="Y927" i="1" s="1"/>
  <c r="E1691" i="1"/>
  <c r="G1691" i="1" s="1"/>
  <c r="I1691" i="1" s="1"/>
  <c r="K1691" i="1" s="1"/>
  <c r="M1691" i="1" s="1"/>
  <c r="O1691" i="1" s="1"/>
  <c r="Q1691" i="1" s="1"/>
  <c r="S1691" i="1" s="1"/>
  <c r="U1691" i="1" s="1"/>
  <c r="W1691" i="1" s="1"/>
  <c r="Y1691" i="1" s="1"/>
  <c r="G1692" i="1"/>
  <c r="I1692" i="1" s="1"/>
  <c r="K1692" i="1" s="1"/>
  <c r="M1692" i="1" s="1"/>
  <c r="O1692" i="1" s="1"/>
  <c r="Q1692" i="1" s="1"/>
  <c r="S1692" i="1" s="1"/>
  <c r="U1692" i="1" s="1"/>
  <c r="W1692" i="1" s="1"/>
  <c r="Y1692" i="1" s="1"/>
  <c r="E1622" i="1"/>
  <c r="G1622" i="1" s="1"/>
  <c r="I1622" i="1" s="1"/>
  <c r="K1622" i="1" s="1"/>
  <c r="M1622" i="1" s="1"/>
  <c r="O1622" i="1" s="1"/>
  <c r="Q1622" i="1" s="1"/>
  <c r="S1622" i="1" s="1"/>
  <c r="U1622" i="1" s="1"/>
  <c r="W1622" i="1" s="1"/>
  <c r="Y1622" i="1" s="1"/>
  <c r="G1623" i="1"/>
  <c r="I1623" i="1" s="1"/>
  <c r="K1623" i="1" s="1"/>
  <c r="M1623" i="1" s="1"/>
  <c r="O1623" i="1" s="1"/>
  <c r="Q1623" i="1" s="1"/>
  <c r="S1623" i="1" s="1"/>
  <c r="U1623" i="1" s="1"/>
  <c r="W1623" i="1" s="1"/>
  <c r="Y1623" i="1" s="1"/>
  <c r="E1679" i="1"/>
  <c r="G1679" i="1" s="1"/>
  <c r="I1679" i="1" s="1"/>
  <c r="K1679" i="1" s="1"/>
  <c r="M1679" i="1" s="1"/>
  <c r="O1679" i="1" s="1"/>
  <c r="Q1679" i="1" s="1"/>
  <c r="S1679" i="1" s="1"/>
  <c r="U1679" i="1" s="1"/>
  <c r="W1679" i="1" s="1"/>
  <c r="Y1679" i="1" s="1"/>
  <c r="G1680" i="1"/>
  <c r="I1680" i="1" s="1"/>
  <c r="K1680" i="1" s="1"/>
  <c r="M1680" i="1" s="1"/>
  <c r="O1680" i="1" s="1"/>
  <c r="Q1680" i="1" s="1"/>
  <c r="S1680" i="1" s="1"/>
  <c r="U1680" i="1" s="1"/>
  <c r="W1680" i="1" s="1"/>
  <c r="Y1680" i="1" s="1"/>
  <c r="E1567" i="1"/>
  <c r="G1567" i="1" s="1"/>
  <c r="I1567" i="1" s="1"/>
  <c r="K1567" i="1" s="1"/>
  <c r="M1567" i="1" s="1"/>
  <c r="O1567" i="1" s="1"/>
  <c r="Q1567" i="1" s="1"/>
  <c r="S1567" i="1" s="1"/>
  <c r="U1567" i="1" s="1"/>
  <c r="W1567" i="1" s="1"/>
  <c r="Y1567" i="1" s="1"/>
  <c r="G1568" i="1"/>
  <c r="I1568" i="1" s="1"/>
  <c r="K1568" i="1" s="1"/>
  <c r="M1568" i="1" s="1"/>
  <c r="O1568" i="1" s="1"/>
  <c r="Q1568" i="1" s="1"/>
  <c r="S1568" i="1" s="1"/>
  <c r="U1568" i="1" s="1"/>
  <c r="W1568" i="1" s="1"/>
  <c r="Y1568" i="1" s="1"/>
  <c r="E1405" i="1"/>
  <c r="G1405" i="1" s="1"/>
  <c r="I1405" i="1" s="1"/>
  <c r="K1405" i="1" s="1"/>
  <c r="M1405" i="1" s="1"/>
  <c r="O1405" i="1" s="1"/>
  <c r="Q1405" i="1" s="1"/>
  <c r="S1405" i="1" s="1"/>
  <c r="U1405" i="1" s="1"/>
  <c r="W1405" i="1" s="1"/>
  <c r="Y1405" i="1" s="1"/>
  <c r="G1406" i="1"/>
  <c r="I1406" i="1" s="1"/>
  <c r="K1406" i="1" s="1"/>
  <c r="M1406" i="1" s="1"/>
  <c r="O1406" i="1" s="1"/>
  <c r="Q1406" i="1" s="1"/>
  <c r="S1406" i="1" s="1"/>
  <c r="U1406" i="1" s="1"/>
  <c r="W1406" i="1" s="1"/>
  <c r="Y1406" i="1" s="1"/>
  <c r="E1346" i="1"/>
  <c r="G1346" i="1" s="1"/>
  <c r="I1346" i="1" s="1"/>
  <c r="K1346" i="1" s="1"/>
  <c r="M1346" i="1" s="1"/>
  <c r="O1346" i="1" s="1"/>
  <c r="Q1346" i="1" s="1"/>
  <c r="S1346" i="1" s="1"/>
  <c r="U1346" i="1" s="1"/>
  <c r="W1346" i="1" s="1"/>
  <c r="Y1346" i="1" s="1"/>
  <c r="G1347" i="1"/>
  <c r="I1347" i="1" s="1"/>
  <c r="K1347" i="1" s="1"/>
  <c r="M1347" i="1" s="1"/>
  <c r="O1347" i="1" s="1"/>
  <c r="Q1347" i="1" s="1"/>
  <c r="S1347" i="1" s="1"/>
  <c r="U1347" i="1" s="1"/>
  <c r="W1347" i="1" s="1"/>
  <c r="Y1347" i="1" s="1"/>
  <c r="E1564" i="1"/>
  <c r="G1564" i="1" s="1"/>
  <c r="I1564" i="1" s="1"/>
  <c r="K1564" i="1" s="1"/>
  <c r="M1564" i="1" s="1"/>
  <c r="O1564" i="1" s="1"/>
  <c r="Q1564" i="1" s="1"/>
  <c r="S1564" i="1" s="1"/>
  <c r="U1564" i="1" s="1"/>
  <c r="W1564" i="1" s="1"/>
  <c r="Y1564" i="1" s="1"/>
  <c r="G1565" i="1"/>
  <c r="I1565" i="1" s="1"/>
  <c r="K1565" i="1" s="1"/>
  <c r="M1565" i="1" s="1"/>
  <c r="O1565" i="1" s="1"/>
  <c r="Q1565" i="1" s="1"/>
  <c r="S1565" i="1" s="1"/>
  <c r="U1565" i="1" s="1"/>
  <c r="W1565" i="1" s="1"/>
  <c r="Y1565" i="1" s="1"/>
  <c r="E1544" i="1"/>
  <c r="G1545" i="1"/>
  <c r="I1545" i="1" s="1"/>
  <c r="K1545" i="1" s="1"/>
  <c r="M1545" i="1" s="1"/>
  <c r="O1545" i="1" s="1"/>
  <c r="Q1545" i="1" s="1"/>
  <c r="S1545" i="1" s="1"/>
  <c r="U1545" i="1" s="1"/>
  <c r="W1545" i="1" s="1"/>
  <c r="Y1545" i="1" s="1"/>
  <c r="E1203" i="1"/>
  <c r="G1203" i="1" s="1"/>
  <c r="I1203" i="1" s="1"/>
  <c r="K1203" i="1" s="1"/>
  <c r="M1203" i="1" s="1"/>
  <c r="O1203" i="1" s="1"/>
  <c r="Q1203" i="1" s="1"/>
  <c r="S1203" i="1" s="1"/>
  <c r="U1203" i="1" s="1"/>
  <c r="W1203" i="1" s="1"/>
  <c r="Y1203" i="1" s="1"/>
  <c r="G1204" i="1"/>
  <c r="I1204" i="1" s="1"/>
  <c r="K1204" i="1" s="1"/>
  <c r="M1204" i="1" s="1"/>
  <c r="O1204" i="1" s="1"/>
  <c r="Q1204" i="1" s="1"/>
  <c r="S1204" i="1" s="1"/>
  <c r="U1204" i="1" s="1"/>
  <c r="W1204" i="1" s="1"/>
  <c r="Y1204" i="1" s="1"/>
  <c r="E1499" i="1"/>
  <c r="G1499" i="1" s="1"/>
  <c r="I1499" i="1" s="1"/>
  <c r="K1499" i="1" s="1"/>
  <c r="M1499" i="1" s="1"/>
  <c r="O1499" i="1" s="1"/>
  <c r="Q1499" i="1" s="1"/>
  <c r="S1499" i="1" s="1"/>
  <c r="U1499" i="1" s="1"/>
  <c r="W1499" i="1" s="1"/>
  <c r="Y1499" i="1" s="1"/>
  <c r="G1522" i="1"/>
  <c r="I1522" i="1" s="1"/>
  <c r="K1522" i="1" s="1"/>
  <c r="M1522" i="1" s="1"/>
  <c r="O1522" i="1" s="1"/>
  <c r="Q1522" i="1" s="1"/>
  <c r="S1522" i="1" s="1"/>
  <c r="U1522" i="1" s="1"/>
  <c r="W1522" i="1" s="1"/>
  <c r="Y1522" i="1" s="1"/>
  <c r="E1676" i="1"/>
  <c r="G1676" i="1" s="1"/>
  <c r="I1676" i="1" s="1"/>
  <c r="K1676" i="1" s="1"/>
  <c r="M1676" i="1" s="1"/>
  <c r="O1676" i="1" s="1"/>
  <c r="Q1676" i="1" s="1"/>
  <c r="S1676" i="1" s="1"/>
  <c r="U1676" i="1" s="1"/>
  <c r="W1676" i="1" s="1"/>
  <c r="Y1676" i="1" s="1"/>
  <c r="G1677" i="1"/>
  <c r="I1677" i="1" s="1"/>
  <c r="K1677" i="1" s="1"/>
  <c r="M1677" i="1" s="1"/>
  <c r="O1677" i="1" s="1"/>
  <c r="Q1677" i="1" s="1"/>
  <c r="S1677" i="1" s="1"/>
  <c r="U1677" i="1" s="1"/>
  <c r="W1677" i="1" s="1"/>
  <c r="Y1677" i="1" s="1"/>
  <c r="E1688" i="1"/>
  <c r="G1688" i="1" s="1"/>
  <c r="I1688" i="1" s="1"/>
  <c r="K1688" i="1" s="1"/>
  <c r="M1688" i="1" s="1"/>
  <c r="O1688" i="1" s="1"/>
  <c r="Q1688" i="1" s="1"/>
  <c r="S1688" i="1" s="1"/>
  <c r="U1688" i="1" s="1"/>
  <c r="W1688" i="1" s="1"/>
  <c r="Y1688" i="1" s="1"/>
  <c r="G1689" i="1"/>
  <c r="I1689" i="1" s="1"/>
  <c r="K1689" i="1" s="1"/>
  <c r="M1689" i="1" s="1"/>
  <c r="O1689" i="1" s="1"/>
  <c r="Q1689" i="1" s="1"/>
  <c r="S1689" i="1" s="1"/>
  <c r="U1689" i="1" s="1"/>
  <c r="W1689" i="1" s="1"/>
  <c r="Y1689" i="1" s="1"/>
  <c r="E1559" i="1"/>
  <c r="G1559" i="1" s="1"/>
  <c r="I1559" i="1" s="1"/>
  <c r="K1559" i="1" s="1"/>
  <c r="M1559" i="1" s="1"/>
  <c r="O1559" i="1" s="1"/>
  <c r="Q1559" i="1" s="1"/>
  <c r="S1559" i="1" s="1"/>
  <c r="U1559" i="1" s="1"/>
  <c r="W1559" i="1" s="1"/>
  <c r="Y1559" i="1" s="1"/>
  <c r="G1560" i="1"/>
  <c r="I1560" i="1" s="1"/>
  <c r="K1560" i="1" s="1"/>
  <c r="M1560" i="1" s="1"/>
  <c r="O1560" i="1" s="1"/>
  <c r="Q1560" i="1" s="1"/>
  <c r="S1560" i="1" s="1"/>
  <c r="U1560" i="1" s="1"/>
  <c r="W1560" i="1" s="1"/>
  <c r="Y1560" i="1" s="1"/>
  <c r="E778" i="1"/>
  <c r="E773" i="1" s="1"/>
  <c r="G779" i="1"/>
  <c r="I779" i="1" s="1"/>
  <c r="K779" i="1" s="1"/>
  <c r="M779" i="1" s="1"/>
  <c r="O779" i="1" s="1"/>
  <c r="Q779" i="1" s="1"/>
  <c r="S779" i="1" s="1"/>
  <c r="U779" i="1" s="1"/>
  <c r="W779" i="1" s="1"/>
  <c r="Y779" i="1" s="1"/>
  <c r="E816" i="1"/>
  <c r="G816" i="1" s="1"/>
  <c r="I816" i="1" s="1"/>
  <c r="K816" i="1" s="1"/>
  <c r="M816" i="1" s="1"/>
  <c r="O816" i="1" s="1"/>
  <c r="Q816" i="1" s="1"/>
  <c r="S816" i="1" s="1"/>
  <c r="U816" i="1" s="1"/>
  <c r="W816" i="1" s="1"/>
  <c r="Y816" i="1" s="1"/>
  <c r="G817" i="1"/>
  <c r="I817" i="1" s="1"/>
  <c r="K817" i="1" s="1"/>
  <c r="M817" i="1" s="1"/>
  <c r="O817" i="1" s="1"/>
  <c r="Q817" i="1" s="1"/>
  <c r="S817" i="1" s="1"/>
  <c r="U817" i="1" s="1"/>
  <c r="W817" i="1" s="1"/>
  <c r="Y817" i="1" s="1"/>
  <c r="E1217" i="1"/>
  <c r="G1217" i="1" s="1"/>
  <c r="I1217" i="1" s="1"/>
  <c r="K1217" i="1" s="1"/>
  <c r="M1217" i="1" s="1"/>
  <c r="O1217" i="1" s="1"/>
  <c r="Q1217" i="1" s="1"/>
  <c r="S1217" i="1" s="1"/>
  <c r="U1217" i="1" s="1"/>
  <c r="W1217" i="1" s="1"/>
  <c r="Y1217" i="1" s="1"/>
  <c r="G1218" i="1"/>
  <c r="I1218" i="1" s="1"/>
  <c r="K1218" i="1" s="1"/>
  <c r="M1218" i="1" s="1"/>
  <c r="O1218" i="1" s="1"/>
  <c r="Q1218" i="1" s="1"/>
  <c r="S1218" i="1" s="1"/>
  <c r="U1218" i="1" s="1"/>
  <c r="W1218" i="1" s="1"/>
  <c r="Y1218" i="1" s="1"/>
  <c r="E981" i="1"/>
  <c r="G981" i="1" s="1"/>
  <c r="I981" i="1" s="1"/>
  <c r="K981" i="1" s="1"/>
  <c r="M981" i="1" s="1"/>
  <c r="O981" i="1" s="1"/>
  <c r="Q981" i="1" s="1"/>
  <c r="S981" i="1" s="1"/>
  <c r="U981" i="1" s="1"/>
  <c r="W981" i="1" s="1"/>
  <c r="Y981" i="1" s="1"/>
  <c r="G982" i="1"/>
  <c r="I982" i="1" s="1"/>
  <c r="K982" i="1" s="1"/>
  <c r="M982" i="1" s="1"/>
  <c r="O982" i="1" s="1"/>
  <c r="Q982" i="1" s="1"/>
  <c r="S982" i="1" s="1"/>
  <c r="U982" i="1" s="1"/>
  <c r="W982" i="1" s="1"/>
  <c r="Y982" i="1" s="1"/>
  <c r="E1194" i="1"/>
  <c r="E1193" i="1" s="1"/>
  <c r="G1195" i="1"/>
  <c r="I1195" i="1" s="1"/>
  <c r="K1195" i="1" s="1"/>
  <c r="M1195" i="1" s="1"/>
  <c r="O1195" i="1" s="1"/>
  <c r="Q1195" i="1" s="1"/>
  <c r="S1195" i="1" s="1"/>
  <c r="U1195" i="1" s="1"/>
  <c r="W1195" i="1" s="1"/>
  <c r="Y1195" i="1" s="1"/>
  <c r="E1468" i="1"/>
  <c r="G1468" i="1" s="1"/>
  <c r="I1468" i="1" s="1"/>
  <c r="K1468" i="1" s="1"/>
  <c r="M1468" i="1" s="1"/>
  <c r="O1468" i="1" s="1"/>
  <c r="Q1468" i="1" s="1"/>
  <c r="S1468" i="1" s="1"/>
  <c r="U1468" i="1" s="1"/>
  <c r="W1468" i="1" s="1"/>
  <c r="Y1468" i="1" s="1"/>
  <c r="G1469" i="1"/>
  <c r="I1469" i="1" s="1"/>
  <c r="K1469" i="1" s="1"/>
  <c r="M1469" i="1" s="1"/>
  <c r="O1469" i="1" s="1"/>
  <c r="Q1469" i="1" s="1"/>
  <c r="S1469" i="1" s="1"/>
  <c r="U1469" i="1" s="1"/>
  <c r="W1469" i="1" s="1"/>
  <c r="Y1469" i="1" s="1"/>
  <c r="E1166" i="1"/>
  <c r="G1167" i="1"/>
  <c r="I1167" i="1" s="1"/>
  <c r="K1167" i="1" s="1"/>
  <c r="M1167" i="1" s="1"/>
  <c r="O1167" i="1" s="1"/>
  <c r="Q1167" i="1" s="1"/>
  <c r="S1167" i="1" s="1"/>
  <c r="U1167" i="1" s="1"/>
  <c r="W1167" i="1" s="1"/>
  <c r="Y1167" i="1" s="1"/>
  <c r="E1269" i="1"/>
  <c r="G1269" i="1" s="1"/>
  <c r="I1269" i="1" s="1"/>
  <c r="K1269" i="1" s="1"/>
  <c r="M1269" i="1" s="1"/>
  <c r="O1269" i="1" s="1"/>
  <c r="Q1269" i="1" s="1"/>
  <c r="S1269" i="1" s="1"/>
  <c r="U1269" i="1" s="1"/>
  <c r="W1269" i="1" s="1"/>
  <c r="Y1269" i="1" s="1"/>
  <c r="G1270" i="1"/>
  <c r="I1270" i="1" s="1"/>
  <c r="K1270" i="1" s="1"/>
  <c r="M1270" i="1" s="1"/>
  <c r="O1270" i="1" s="1"/>
  <c r="Q1270" i="1" s="1"/>
  <c r="S1270" i="1" s="1"/>
  <c r="U1270" i="1" s="1"/>
  <c r="W1270" i="1" s="1"/>
  <c r="Y1270" i="1" s="1"/>
  <c r="E325" i="1"/>
  <c r="G326" i="1"/>
  <c r="I326" i="1" s="1"/>
  <c r="K326" i="1" s="1"/>
  <c r="M326" i="1" s="1"/>
  <c r="O326" i="1" s="1"/>
  <c r="Q326" i="1" s="1"/>
  <c r="S326" i="1" s="1"/>
  <c r="U326" i="1" s="1"/>
  <c r="W326" i="1" s="1"/>
  <c r="Y326" i="1" s="1"/>
  <c r="E51" i="1"/>
  <c r="G51" i="1" s="1"/>
  <c r="I51" i="1" s="1"/>
  <c r="K51" i="1" s="1"/>
  <c r="M51" i="1" s="1"/>
  <c r="O51" i="1" s="1"/>
  <c r="Q51" i="1" s="1"/>
  <c r="S51" i="1" s="1"/>
  <c r="U51" i="1" s="1"/>
  <c r="W51" i="1" s="1"/>
  <c r="Y51" i="1" s="1"/>
  <c r="G52" i="1"/>
  <c r="I52" i="1" s="1"/>
  <c r="K52" i="1" s="1"/>
  <c r="M52" i="1" s="1"/>
  <c r="O52" i="1" s="1"/>
  <c r="Q52" i="1" s="1"/>
  <c r="S52" i="1" s="1"/>
  <c r="U52" i="1" s="1"/>
  <c r="W52" i="1" s="1"/>
  <c r="Y52" i="1" s="1"/>
  <c r="E1684" i="1"/>
  <c r="G1685" i="1"/>
  <c r="I1685" i="1" s="1"/>
  <c r="K1685" i="1" s="1"/>
  <c r="M1685" i="1" s="1"/>
  <c r="O1685" i="1" s="1"/>
  <c r="Q1685" i="1" s="1"/>
  <c r="S1685" i="1" s="1"/>
  <c r="U1685" i="1" s="1"/>
  <c r="W1685" i="1" s="1"/>
  <c r="Y1685" i="1" s="1"/>
  <c r="E1554" i="1"/>
  <c r="G1555" i="1"/>
  <c r="I1555" i="1" s="1"/>
  <c r="K1555" i="1" s="1"/>
  <c r="M1555" i="1" s="1"/>
  <c r="O1555" i="1" s="1"/>
  <c r="Q1555" i="1" s="1"/>
  <c r="S1555" i="1" s="1"/>
  <c r="U1555" i="1" s="1"/>
  <c r="W1555" i="1" s="1"/>
  <c r="Y1555" i="1" s="1"/>
  <c r="E263" i="1"/>
  <c r="G263" i="1" s="1"/>
  <c r="I263" i="1" s="1"/>
  <c r="K263" i="1" s="1"/>
  <c r="M263" i="1" s="1"/>
  <c r="O263" i="1" s="1"/>
  <c r="Q263" i="1" s="1"/>
  <c r="S263" i="1" s="1"/>
  <c r="U263" i="1" s="1"/>
  <c r="W263" i="1" s="1"/>
  <c r="Y263" i="1" s="1"/>
  <c r="G264" i="1"/>
  <c r="I264" i="1" s="1"/>
  <c r="K264" i="1" s="1"/>
  <c r="M264" i="1" s="1"/>
  <c r="O264" i="1" s="1"/>
  <c r="Q264" i="1" s="1"/>
  <c r="S264" i="1" s="1"/>
  <c r="U264" i="1" s="1"/>
  <c r="W264" i="1" s="1"/>
  <c r="Y264" i="1" s="1"/>
  <c r="E1291" i="1"/>
  <c r="G1291" i="1" s="1"/>
  <c r="I1291" i="1" s="1"/>
  <c r="K1291" i="1" s="1"/>
  <c r="M1291" i="1" s="1"/>
  <c r="O1291" i="1" s="1"/>
  <c r="Q1291" i="1" s="1"/>
  <c r="S1291" i="1" s="1"/>
  <c r="U1291" i="1" s="1"/>
  <c r="W1291" i="1" s="1"/>
  <c r="Y1291" i="1" s="1"/>
  <c r="G1292" i="1"/>
  <c r="I1292" i="1" s="1"/>
  <c r="K1292" i="1" s="1"/>
  <c r="M1292" i="1" s="1"/>
  <c r="O1292" i="1" s="1"/>
  <c r="Q1292" i="1" s="1"/>
  <c r="S1292" i="1" s="1"/>
  <c r="U1292" i="1" s="1"/>
  <c r="W1292" i="1" s="1"/>
  <c r="Y1292" i="1" s="1"/>
  <c r="E149" i="1"/>
  <c r="G150" i="1"/>
  <c r="I150" i="1" s="1"/>
  <c r="K150" i="1" s="1"/>
  <c r="M150" i="1" s="1"/>
  <c r="O150" i="1" s="1"/>
  <c r="Q150" i="1" s="1"/>
  <c r="S150" i="1" s="1"/>
  <c r="U150" i="1" s="1"/>
  <c r="W150" i="1" s="1"/>
  <c r="Y150" i="1" s="1"/>
  <c r="E1420" i="1"/>
  <c r="G1420" i="1" s="1"/>
  <c r="I1420" i="1" s="1"/>
  <c r="K1420" i="1" s="1"/>
  <c r="M1420" i="1" s="1"/>
  <c r="O1420" i="1" s="1"/>
  <c r="Q1420" i="1" s="1"/>
  <c r="S1420" i="1" s="1"/>
  <c r="U1420" i="1" s="1"/>
  <c r="W1420" i="1" s="1"/>
  <c r="Y1420" i="1" s="1"/>
  <c r="G1421" i="1"/>
  <c r="I1421" i="1" s="1"/>
  <c r="K1421" i="1" s="1"/>
  <c r="M1421" i="1" s="1"/>
  <c r="O1421" i="1" s="1"/>
  <c r="Q1421" i="1" s="1"/>
  <c r="S1421" i="1" s="1"/>
  <c r="U1421" i="1" s="1"/>
  <c r="W1421" i="1" s="1"/>
  <c r="Y1421" i="1" s="1"/>
  <c r="E345" i="1"/>
  <c r="G346" i="1"/>
  <c r="I346" i="1" s="1"/>
  <c r="K346" i="1" s="1"/>
  <c r="M346" i="1" s="1"/>
  <c r="O346" i="1" s="1"/>
  <c r="Q346" i="1" s="1"/>
  <c r="S346" i="1" s="1"/>
  <c r="U346" i="1" s="1"/>
  <c r="W346" i="1" s="1"/>
  <c r="Y346" i="1" s="1"/>
  <c r="E249" i="1"/>
  <c r="G249" i="1" s="1"/>
  <c r="I249" i="1" s="1"/>
  <c r="K249" i="1" s="1"/>
  <c r="M249" i="1" s="1"/>
  <c r="O249" i="1" s="1"/>
  <c r="Q249" i="1" s="1"/>
  <c r="S249" i="1" s="1"/>
  <c r="U249" i="1" s="1"/>
  <c r="W249" i="1" s="1"/>
  <c r="Y249" i="1" s="1"/>
  <c r="G250" i="1"/>
  <c r="I250" i="1" s="1"/>
  <c r="K250" i="1" s="1"/>
  <c r="M250" i="1" s="1"/>
  <c r="O250" i="1" s="1"/>
  <c r="Q250" i="1" s="1"/>
  <c r="S250" i="1" s="1"/>
  <c r="U250" i="1" s="1"/>
  <c r="W250" i="1" s="1"/>
  <c r="Y250" i="1" s="1"/>
  <c r="E872" i="1"/>
  <c r="G872" i="1" s="1"/>
  <c r="I872" i="1" s="1"/>
  <c r="K872" i="1" s="1"/>
  <c r="M872" i="1" s="1"/>
  <c r="O872" i="1" s="1"/>
  <c r="Q872" i="1" s="1"/>
  <c r="S872" i="1" s="1"/>
  <c r="U872" i="1" s="1"/>
  <c r="W872" i="1" s="1"/>
  <c r="Y872" i="1" s="1"/>
  <c r="G873" i="1"/>
  <c r="I873" i="1" s="1"/>
  <c r="K873" i="1" s="1"/>
  <c r="M873" i="1" s="1"/>
  <c r="O873" i="1" s="1"/>
  <c r="Q873" i="1" s="1"/>
  <c r="S873" i="1" s="1"/>
  <c r="U873" i="1" s="1"/>
  <c r="W873" i="1" s="1"/>
  <c r="Y873" i="1" s="1"/>
  <c r="E1445" i="1"/>
  <c r="G1446" i="1"/>
  <c r="I1446" i="1" s="1"/>
  <c r="K1446" i="1" s="1"/>
  <c r="M1446" i="1" s="1"/>
  <c r="O1446" i="1" s="1"/>
  <c r="Q1446" i="1" s="1"/>
  <c r="S1446" i="1" s="1"/>
  <c r="U1446" i="1" s="1"/>
  <c r="W1446" i="1" s="1"/>
  <c r="Y1446" i="1" s="1"/>
  <c r="E966" i="1"/>
  <c r="G966" i="1" s="1"/>
  <c r="I966" i="1" s="1"/>
  <c r="K966" i="1" s="1"/>
  <c r="M966" i="1" s="1"/>
  <c r="O966" i="1" s="1"/>
  <c r="Q966" i="1" s="1"/>
  <c r="S966" i="1" s="1"/>
  <c r="U966" i="1" s="1"/>
  <c r="W966" i="1" s="1"/>
  <c r="Y966" i="1" s="1"/>
  <c r="G967" i="1"/>
  <c r="I967" i="1" s="1"/>
  <c r="K967" i="1" s="1"/>
  <c r="M967" i="1" s="1"/>
  <c r="O967" i="1" s="1"/>
  <c r="Q967" i="1" s="1"/>
  <c r="S967" i="1" s="1"/>
  <c r="U967" i="1" s="1"/>
  <c r="W967" i="1" s="1"/>
  <c r="Y967" i="1" s="1"/>
  <c r="E1550" i="1"/>
  <c r="G1551" i="1"/>
  <c r="I1551" i="1" s="1"/>
  <c r="K1551" i="1" s="1"/>
  <c r="M1551" i="1" s="1"/>
  <c r="O1551" i="1" s="1"/>
  <c r="Q1551" i="1" s="1"/>
  <c r="S1551" i="1" s="1"/>
  <c r="U1551" i="1" s="1"/>
  <c r="W1551" i="1" s="1"/>
  <c r="Y1551" i="1" s="1"/>
  <c r="E143" i="1"/>
  <c r="G144" i="1"/>
  <c r="I144" i="1" s="1"/>
  <c r="K144" i="1" s="1"/>
  <c r="M144" i="1" s="1"/>
  <c r="O144" i="1" s="1"/>
  <c r="Q144" i="1" s="1"/>
  <c r="S144" i="1" s="1"/>
  <c r="U144" i="1" s="1"/>
  <c r="W144" i="1" s="1"/>
  <c r="Y144" i="1" s="1"/>
  <c r="E977" i="1"/>
  <c r="G978" i="1"/>
  <c r="I978" i="1" s="1"/>
  <c r="K978" i="1" s="1"/>
  <c r="M978" i="1" s="1"/>
  <c r="O978" i="1" s="1"/>
  <c r="Q978" i="1" s="1"/>
  <c r="S978" i="1" s="1"/>
  <c r="U978" i="1" s="1"/>
  <c r="W978" i="1" s="1"/>
  <c r="Y978" i="1" s="1"/>
  <c r="E1416" i="1"/>
  <c r="G1416" i="1" s="1"/>
  <c r="I1416" i="1" s="1"/>
  <c r="K1416" i="1" s="1"/>
  <c r="M1416" i="1" s="1"/>
  <c r="O1416" i="1" s="1"/>
  <c r="Q1416" i="1" s="1"/>
  <c r="S1416" i="1" s="1"/>
  <c r="U1416" i="1" s="1"/>
  <c r="W1416" i="1" s="1"/>
  <c r="Y1416" i="1" s="1"/>
  <c r="G1417" i="1"/>
  <c r="I1417" i="1" s="1"/>
  <c r="K1417" i="1" s="1"/>
  <c r="M1417" i="1" s="1"/>
  <c r="O1417" i="1" s="1"/>
  <c r="Q1417" i="1" s="1"/>
  <c r="S1417" i="1" s="1"/>
  <c r="U1417" i="1" s="1"/>
  <c r="W1417" i="1" s="1"/>
  <c r="Y1417" i="1" s="1"/>
  <c r="E253" i="1"/>
  <c r="G253" i="1" s="1"/>
  <c r="I253" i="1" s="1"/>
  <c r="K253" i="1" s="1"/>
  <c r="M253" i="1" s="1"/>
  <c r="O253" i="1" s="1"/>
  <c r="Q253" i="1" s="1"/>
  <c r="S253" i="1" s="1"/>
  <c r="U253" i="1" s="1"/>
  <c r="W253" i="1" s="1"/>
  <c r="Y253" i="1" s="1"/>
  <c r="G258" i="1"/>
  <c r="I258" i="1" s="1"/>
  <c r="K258" i="1" s="1"/>
  <c r="M258" i="1" s="1"/>
  <c r="O258" i="1" s="1"/>
  <c r="Q258" i="1" s="1"/>
  <c r="S258" i="1" s="1"/>
  <c r="U258" i="1" s="1"/>
  <c r="W258" i="1" s="1"/>
  <c r="Y258" i="1" s="1"/>
  <c r="E1213" i="1"/>
  <c r="G1213" i="1" s="1"/>
  <c r="I1213" i="1" s="1"/>
  <c r="K1213" i="1" s="1"/>
  <c r="M1213" i="1" s="1"/>
  <c r="O1213" i="1" s="1"/>
  <c r="Q1213" i="1" s="1"/>
  <c r="S1213" i="1" s="1"/>
  <c r="U1213" i="1" s="1"/>
  <c r="W1213" i="1" s="1"/>
  <c r="Y1213" i="1" s="1"/>
  <c r="G1214" i="1"/>
  <c r="I1214" i="1" s="1"/>
  <c r="K1214" i="1" s="1"/>
  <c r="M1214" i="1" s="1"/>
  <c r="O1214" i="1" s="1"/>
  <c r="Q1214" i="1" s="1"/>
  <c r="S1214" i="1" s="1"/>
  <c r="U1214" i="1" s="1"/>
  <c r="W1214" i="1" s="1"/>
  <c r="Y1214" i="1" s="1"/>
  <c r="E284" i="1"/>
  <c r="G284" i="1" s="1"/>
  <c r="I284" i="1" s="1"/>
  <c r="K284" i="1" s="1"/>
  <c r="M284" i="1" s="1"/>
  <c r="O284" i="1" s="1"/>
  <c r="Q284" i="1" s="1"/>
  <c r="S284" i="1" s="1"/>
  <c r="U284" i="1" s="1"/>
  <c r="W284" i="1" s="1"/>
  <c r="Y284" i="1" s="1"/>
  <c r="G285" i="1"/>
  <c r="I285" i="1" s="1"/>
  <c r="K285" i="1" s="1"/>
  <c r="M285" i="1" s="1"/>
  <c r="O285" i="1" s="1"/>
  <c r="Q285" i="1" s="1"/>
  <c r="S285" i="1" s="1"/>
  <c r="U285" i="1" s="1"/>
  <c r="W285" i="1" s="1"/>
  <c r="Y285" i="1" s="1"/>
  <c r="E110" i="1"/>
  <c r="G110" i="1" s="1"/>
  <c r="I110" i="1" s="1"/>
  <c r="K110" i="1" s="1"/>
  <c r="M110" i="1" s="1"/>
  <c r="O110" i="1" s="1"/>
  <c r="Q110" i="1" s="1"/>
  <c r="S110" i="1" s="1"/>
  <c r="U110" i="1" s="1"/>
  <c r="W110" i="1" s="1"/>
  <c r="Y110" i="1" s="1"/>
  <c r="G111" i="1"/>
  <c r="I111" i="1" s="1"/>
  <c r="K111" i="1" s="1"/>
  <c r="M111" i="1" s="1"/>
  <c r="O111" i="1" s="1"/>
  <c r="Q111" i="1" s="1"/>
  <c r="S111" i="1" s="1"/>
  <c r="U111" i="1" s="1"/>
  <c r="W111" i="1" s="1"/>
  <c r="Y111" i="1" s="1"/>
  <c r="E1450" i="1"/>
  <c r="G1451" i="1"/>
  <c r="I1451" i="1" s="1"/>
  <c r="K1451" i="1" s="1"/>
  <c r="M1451" i="1" s="1"/>
  <c r="O1451" i="1" s="1"/>
  <c r="Q1451" i="1" s="1"/>
  <c r="S1451" i="1" s="1"/>
  <c r="U1451" i="1" s="1"/>
  <c r="W1451" i="1" s="1"/>
  <c r="Y1451" i="1" s="1"/>
  <c r="F1870" i="1"/>
  <c r="F1868" i="1"/>
  <c r="E826" i="1"/>
  <c r="E1587" i="1"/>
  <c r="G1587" i="1" s="1"/>
  <c r="I1587" i="1" s="1"/>
  <c r="K1587" i="1" s="1"/>
  <c r="M1587" i="1" s="1"/>
  <c r="O1587" i="1" s="1"/>
  <c r="Q1587" i="1" s="1"/>
  <c r="S1587" i="1" s="1"/>
  <c r="U1587" i="1" s="1"/>
  <c r="W1587" i="1" s="1"/>
  <c r="Y1587" i="1" s="1"/>
  <c r="E1298" i="1"/>
  <c r="E1612" i="1"/>
  <c r="G1612" i="1" s="1"/>
  <c r="I1612" i="1" s="1"/>
  <c r="K1612" i="1" s="1"/>
  <c r="M1612" i="1" s="1"/>
  <c r="O1612" i="1" s="1"/>
  <c r="Q1612" i="1" s="1"/>
  <c r="S1612" i="1" s="1"/>
  <c r="U1612" i="1" s="1"/>
  <c r="W1612" i="1" s="1"/>
  <c r="Y1612" i="1" s="1"/>
  <c r="E1697" i="1"/>
  <c r="E1702" i="1"/>
  <c r="E1705" i="1"/>
  <c r="G1705" i="1" s="1"/>
  <c r="I1705" i="1" s="1"/>
  <c r="K1705" i="1" s="1"/>
  <c r="M1705" i="1" s="1"/>
  <c r="O1705" i="1" s="1"/>
  <c r="Q1705" i="1" s="1"/>
  <c r="S1705" i="1" s="1"/>
  <c r="U1705" i="1" s="1"/>
  <c r="W1705" i="1" s="1"/>
  <c r="Y1705" i="1" s="1"/>
  <c r="E1721" i="1"/>
  <c r="E1728" i="1"/>
  <c r="E1732" i="1"/>
  <c r="E1738" i="1"/>
  <c r="G1738" i="1" s="1"/>
  <c r="I1738" i="1" s="1"/>
  <c r="K1738" i="1" s="1"/>
  <c r="M1738" i="1" s="1"/>
  <c r="O1738" i="1" s="1"/>
  <c r="Q1738" i="1" s="1"/>
  <c r="S1738" i="1" s="1"/>
  <c r="U1738" i="1" s="1"/>
  <c r="W1738" i="1" s="1"/>
  <c r="Y1738" i="1" s="1"/>
  <c r="E1740" i="1"/>
  <c r="G1740" i="1" s="1"/>
  <c r="I1740" i="1" s="1"/>
  <c r="K1740" i="1" s="1"/>
  <c r="M1740" i="1" s="1"/>
  <c r="O1740" i="1" s="1"/>
  <c r="Q1740" i="1" s="1"/>
  <c r="S1740" i="1" s="1"/>
  <c r="U1740" i="1" s="1"/>
  <c r="W1740" i="1" s="1"/>
  <c r="Y1740" i="1" s="1"/>
  <c r="E1743" i="1"/>
  <c r="E1747" i="1"/>
  <c r="E1750" i="1"/>
  <c r="E1757" i="1"/>
  <c r="E1763" i="1"/>
  <c r="E1767" i="1"/>
  <c r="E1771" i="1"/>
  <c r="E1774" i="1"/>
  <c r="E1777" i="1"/>
  <c r="G1777" i="1" s="1"/>
  <c r="I1777" i="1" s="1"/>
  <c r="K1777" i="1" s="1"/>
  <c r="M1777" i="1" s="1"/>
  <c r="O1777" i="1" s="1"/>
  <c r="Q1777" i="1" s="1"/>
  <c r="S1777" i="1" s="1"/>
  <c r="U1777" i="1" s="1"/>
  <c r="W1777" i="1" s="1"/>
  <c r="Y1777" i="1" s="1"/>
  <c r="E1782" i="1"/>
  <c r="G1782" i="1" s="1"/>
  <c r="I1782" i="1" s="1"/>
  <c r="K1782" i="1" s="1"/>
  <c r="M1782" i="1" s="1"/>
  <c r="O1782" i="1" s="1"/>
  <c r="Q1782" i="1" s="1"/>
  <c r="S1782" i="1" s="1"/>
  <c r="U1782" i="1" s="1"/>
  <c r="W1782" i="1" s="1"/>
  <c r="Y1782" i="1" s="1"/>
  <c r="E1797" i="1"/>
  <c r="E1803" i="1"/>
  <c r="G1803" i="1" s="1"/>
  <c r="I1803" i="1" s="1"/>
  <c r="K1803" i="1" s="1"/>
  <c r="M1803" i="1" s="1"/>
  <c r="O1803" i="1" s="1"/>
  <c r="Q1803" i="1" s="1"/>
  <c r="S1803" i="1" s="1"/>
  <c r="U1803" i="1" s="1"/>
  <c r="W1803" i="1" s="1"/>
  <c r="Y1803" i="1" s="1"/>
  <c r="E1807" i="1"/>
  <c r="G1807" i="1" s="1"/>
  <c r="I1807" i="1" s="1"/>
  <c r="K1807" i="1" s="1"/>
  <c r="M1807" i="1" s="1"/>
  <c r="O1807" i="1" s="1"/>
  <c r="Q1807" i="1" s="1"/>
  <c r="S1807" i="1" s="1"/>
  <c r="U1807" i="1" s="1"/>
  <c r="W1807" i="1" s="1"/>
  <c r="Y1807" i="1" s="1"/>
  <c r="E1809" i="1"/>
  <c r="G1809" i="1" s="1"/>
  <c r="I1809" i="1" s="1"/>
  <c r="K1809" i="1" s="1"/>
  <c r="M1809" i="1" s="1"/>
  <c r="O1809" i="1" s="1"/>
  <c r="Q1809" i="1" s="1"/>
  <c r="S1809" i="1" s="1"/>
  <c r="U1809" i="1" s="1"/>
  <c r="W1809" i="1" s="1"/>
  <c r="Y1809" i="1" s="1"/>
  <c r="E1814" i="1"/>
  <c r="E1820" i="1"/>
  <c r="E1825" i="1"/>
  <c r="E1838" i="1"/>
  <c r="G1838" i="1" s="1"/>
  <c r="I1838" i="1" s="1"/>
  <c r="K1838" i="1" s="1"/>
  <c r="M1838" i="1" s="1"/>
  <c r="O1838" i="1" s="1"/>
  <c r="Q1838" i="1" s="1"/>
  <c r="S1838" i="1" s="1"/>
  <c r="U1838" i="1" s="1"/>
  <c r="W1838" i="1" s="1"/>
  <c r="Y1838" i="1" s="1"/>
  <c r="E1854" i="1"/>
  <c r="G1854" i="1" s="1"/>
  <c r="I1854" i="1" s="1"/>
  <c r="K1854" i="1" s="1"/>
  <c r="M1854" i="1" s="1"/>
  <c r="O1854" i="1" s="1"/>
  <c r="Q1854" i="1" s="1"/>
  <c r="S1854" i="1" s="1"/>
  <c r="U1854" i="1" s="1"/>
  <c r="W1854" i="1" s="1"/>
  <c r="Y1854" i="1" s="1"/>
  <c r="E1856" i="1"/>
  <c r="G1856" i="1" s="1"/>
  <c r="I1856" i="1" s="1"/>
  <c r="K1856" i="1" s="1"/>
  <c r="M1856" i="1" s="1"/>
  <c r="O1856" i="1" s="1"/>
  <c r="Q1856" i="1" s="1"/>
  <c r="S1856" i="1" s="1"/>
  <c r="U1856" i="1" s="1"/>
  <c r="W1856" i="1" s="1"/>
  <c r="Y1856" i="1" s="1"/>
  <c r="E1866" i="1"/>
  <c r="E293" i="1"/>
  <c r="E307" i="1"/>
  <c r="G307" i="1" s="1"/>
  <c r="I307" i="1" s="1"/>
  <c r="K307" i="1" s="1"/>
  <c r="E278" i="1" l="1"/>
  <c r="G278" i="1" s="1"/>
  <c r="I278" i="1" s="1"/>
  <c r="K278" i="1" s="1"/>
  <c r="M278" i="1" s="1"/>
  <c r="O278" i="1" s="1"/>
  <c r="Q278" i="1" s="1"/>
  <c r="S278" i="1" s="1"/>
  <c r="U278" i="1" s="1"/>
  <c r="W278" i="1" s="1"/>
  <c r="Y278" i="1" s="1"/>
  <c r="M307" i="1"/>
  <c r="G877" i="1"/>
  <c r="I877" i="1" s="1"/>
  <c r="K877" i="1" s="1"/>
  <c r="M877" i="1" s="1"/>
  <c r="O877" i="1" s="1"/>
  <c r="Q877" i="1" s="1"/>
  <c r="S877" i="1" s="1"/>
  <c r="U877" i="1" s="1"/>
  <c r="W877" i="1" s="1"/>
  <c r="Y877" i="1" s="1"/>
  <c r="G1182" i="1"/>
  <c r="I1182" i="1" s="1"/>
  <c r="K1182" i="1" s="1"/>
  <c r="M1182" i="1" s="1"/>
  <c r="O1182" i="1" s="1"/>
  <c r="Q1182" i="1" s="1"/>
  <c r="S1182" i="1" s="1"/>
  <c r="U1182" i="1" s="1"/>
  <c r="W1182" i="1" s="1"/>
  <c r="Y1182" i="1" s="1"/>
  <c r="E1675" i="1"/>
  <c r="G1675" i="1" s="1"/>
  <c r="I1675" i="1" s="1"/>
  <c r="K1675" i="1" s="1"/>
  <c r="M1675" i="1" s="1"/>
  <c r="O1675" i="1" s="1"/>
  <c r="Q1675" i="1" s="1"/>
  <c r="S1675" i="1" s="1"/>
  <c r="U1675" i="1" s="1"/>
  <c r="W1675" i="1" s="1"/>
  <c r="Y1675" i="1" s="1"/>
  <c r="E1558" i="1"/>
  <c r="E1557" i="1" s="1"/>
  <c r="G1557" i="1" s="1"/>
  <c r="I1557" i="1" s="1"/>
  <c r="K1557" i="1" s="1"/>
  <c r="M1557" i="1" s="1"/>
  <c r="O1557" i="1" s="1"/>
  <c r="Q1557" i="1" s="1"/>
  <c r="S1557" i="1" s="1"/>
  <c r="U1557" i="1" s="1"/>
  <c r="W1557" i="1" s="1"/>
  <c r="Y1557" i="1" s="1"/>
  <c r="E1563" i="1"/>
  <c r="G1563" i="1" s="1"/>
  <c r="I1563" i="1" s="1"/>
  <c r="K1563" i="1" s="1"/>
  <c r="M1563" i="1" s="1"/>
  <c r="O1563" i="1" s="1"/>
  <c r="Q1563" i="1" s="1"/>
  <c r="S1563" i="1" s="1"/>
  <c r="U1563" i="1" s="1"/>
  <c r="W1563" i="1" s="1"/>
  <c r="Y1563" i="1" s="1"/>
  <c r="G1194" i="1"/>
  <c r="I1194" i="1" s="1"/>
  <c r="K1194" i="1" s="1"/>
  <c r="M1194" i="1" s="1"/>
  <c r="O1194" i="1" s="1"/>
  <c r="Q1194" i="1" s="1"/>
  <c r="S1194" i="1" s="1"/>
  <c r="U1194" i="1" s="1"/>
  <c r="W1194" i="1" s="1"/>
  <c r="Y1194" i="1" s="1"/>
  <c r="G778" i="1"/>
  <c r="I778" i="1" s="1"/>
  <c r="K778" i="1" s="1"/>
  <c r="M778" i="1" s="1"/>
  <c r="O778" i="1" s="1"/>
  <c r="Q778" i="1" s="1"/>
  <c r="S778" i="1" s="1"/>
  <c r="U778" i="1" s="1"/>
  <c r="W778" i="1" s="1"/>
  <c r="Y778" i="1" s="1"/>
  <c r="E1467" i="1"/>
  <c r="G1467" i="1" s="1"/>
  <c r="I1467" i="1" s="1"/>
  <c r="K1467" i="1" s="1"/>
  <c r="M1467" i="1" s="1"/>
  <c r="O1467" i="1" s="1"/>
  <c r="Q1467" i="1" s="1"/>
  <c r="S1467" i="1" s="1"/>
  <c r="U1467" i="1" s="1"/>
  <c r="W1467" i="1" s="1"/>
  <c r="Y1467" i="1" s="1"/>
  <c r="E1687" i="1"/>
  <c r="G1687" i="1" s="1"/>
  <c r="I1687" i="1" s="1"/>
  <c r="K1687" i="1" s="1"/>
  <c r="M1687" i="1" s="1"/>
  <c r="O1687" i="1" s="1"/>
  <c r="Q1687" i="1" s="1"/>
  <c r="S1687" i="1" s="1"/>
  <c r="U1687" i="1" s="1"/>
  <c r="W1687" i="1" s="1"/>
  <c r="Y1687" i="1" s="1"/>
  <c r="E1865" i="1"/>
  <c r="G1866" i="1"/>
  <c r="I1866" i="1" s="1"/>
  <c r="K1866" i="1" s="1"/>
  <c r="M1866" i="1" s="1"/>
  <c r="O1866" i="1" s="1"/>
  <c r="Q1866" i="1" s="1"/>
  <c r="S1866" i="1" s="1"/>
  <c r="U1866" i="1" s="1"/>
  <c r="W1866" i="1" s="1"/>
  <c r="Y1866" i="1" s="1"/>
  <c r="E1819" i="1"/>
  <c r="G1820" i="1"/>
  <c r="I1820" i="1" s="1"/>
  <c r="K1820" i="1" s="1"/>
  <c r="M1820" i="1" s="1"/>
  <c r="O1820" i="1" s="1"/>
  <c r="Q1820" i="1" s="1"/>
  <c r="S1820" i="1" s="1"/>
  <c r="U1820" i="1" s="1"/>
  <c r="W1820" i="1" s="1"/>
  <c r="Y1820" i="1" s="1"/>
  <c r="E1773" i="1"/>
  <c r="G1773" i="1" s="1"/>
  <c r="I1773" i="1" s="1"/>
  <c r="K1773" i="1" s="1"/>
  <c r="M1773" i="1" s="1"/>
  <c r="O1773" i="1" s="1"/>
  <c r="Q1773" i="1" s="1"/>
  <c r="S1773" i="1" s="1"/>
  <c r="U1773" i="1" s="1"/>
  <c r="W1773" i="1" s="1"/>
  <c r="Y1773" i="1" s="1"/>
  <c r="G1774" i="1"/>
  <c r="I1774" i="1" s="1"/>
  <c r="K1774" i="1" s="1"/>
  <c r="M1774" i="1" s="1"/>
  <c r="O1774" i="1" s="1"/>
  <c r="Q1774" i="1" s="1"/>
  <c r="S1774" i="1" s="1"/>
  <c r="U1774" i="1" s="1"/>
  <c r="W1774" i="1" s="1"/>
  <c r="Y1774" i="1" s="1"/>
  <c r="E1813" i="1"/>
  <c r="G1814" i="1"/>
  <c r="I1814" i="1" s="1"/>
  <c r="K1814" i="1" s="1"/>
  <c r="M1814" i="1" s="1"/>
  <c r="O1814" i="1" s="1"/>
  <c r="Q1814" i="1" s="1"/>
  <c r="S1814" i="1" s="1"/>
  <c r="U1814" i="1" s="1"/>
  <c r="W1814" i="1" s="1"/>
  <c r="Y1814" i="1" s="1"/>
  <c r="E1796" i="1"/>
  <c r="G1797" i="1"/>
  <c r="I1797" i="1" s="1"/>
  <c r="K1797" i="1" s="1"/>
  <c r="M1797" i="1" s="1"/>
  <c r="O1797" i="1" s="1"/>
  <c r="Q1797" i="1" s="1"/>
  <c r="S1797" i="1" s="1"/>
  <c r="U1797" i="1" s="1"/>
  <c r="W1797" i="1" s="1"/>
  <c r="Y1797" i="1" s="1"/>
  <c r="E1268" i="1"/>
  <c r="G1268" i="1" s="1"/>
  <c r="I1268" i="1" s="1"/>
  <c r="K1268" i="1" s="1"/>
  <c r="M1268" i="1" s="1"/>
  <c r="O1268" i="1" s="1"/>
  <c r="Q1268" i="1" s="1"/>
  <c r="S1268" i="1" s="1"/>
  <c r="U1268" i="1" s="1"/>
  <c r="W1268" i="1" s="1"/>
  <c r="Y1268" i="1" s="1"/>
  <c r="G1298" i="1"/>
  <c r="I1298" i="1" s="1"/>
  <c r="K1298" i="1" s="1"/>
  <c r="M1298" i="1" s="1"/>
  <c r="O1298" i="1" s="1"/>
  <c r="Q1298" i="1" s="1"/>
  <c r="S1298" i="1" s="1"/>
  <c r="U1298" i="1" s="1"/>
  <c r="W1298" i="1" s="1"/>
  <c r="Y1298" i="1" s="1"/>
  <c r="E1540" i="1"/>
  <c r="G1540" i="1" s="1"/>
  <c r="I1540" i="1" s="1"/>
  <c r="K1540" i="1" s="1"/>
  <c r="M1540" i="1" s="1"/>
  <c r="O1540" i="1" s="1"/>
  <c r="Q1540" i="1" s="1"/>
  <c r="S1540" i="1" s="1"/>
  <c r="U1540" i="1" s="1"/>
  <c r="W1540" i="1" s="1"/>
  <c r="Y1540" i="1" s="1"/>
  <c r="G1544" i="1"/>
  <c r="I1544" i="1" s="1"/>
  <c r="K1544" i="1" s="1"/>
  <c r="M1544" i="1" s="1"/>
  <c r="O1544" i="1" s="1"/>
  <c r="Q1544" i="1" s="1"/>
  <c r="S1544" i="1" s="1"/>
  <c r="U1544" i="1" s="1"/>
  <c r="W1544" i="1" s="1"/>
  <c r="Y1544" i="1" s="1"/>
  <c r="E1749" i="1"/>
  <c r="G1749" i="1" s="1"/>
  <c r="I1749" i="1" s="1"/>
  <c r="K1749" i="1" s="1"/>
  <c r="M1749" i="1" s="1"/>
  <c r="O1749" i="1" s="1"/>
  <c r="Q1749" i="1" s="1"/>
  <c r="S1749" i="1" s="1"/>
  <c r="U1749" i="1" s="1"/>
  <c r="W1749" i="1" s="1"/>
  <c r="Y1749" i="1" s="1"/>
  <c r="G1750" i="1"/>
  <c r="I1750" i="1" s="1"/>
  <c r="K1750" i="1" s="1"/>
  <c r="M1750" i="1" s="1"/>
  <c r="O1750" i="1" s="1"/>
  <c r="Q1750" i="1" s="1"/>
  <c r="S1750" i="1" s="1"/>
  <c r="U1750" i="1" s="1"/>
  <c r="W1750" i="1" s="1"/>
  <c r="Y1750" i="1" s="1"/>
  <c r="E1746" i="1"/>
  <c r="G1746" i="1" s="1"/>
  <c r="I1746" i="1" s="1"/>
  <c r="K1746" i="1" s="1"/>
  <c r="M1746" i="1" s="1"/>
  <c r="O1746" i="1" s="1"/>
  <c r="Q1746" i="1" s="1"/>
  <c r="S1746" i="1" s="1"/>
  <c r="U1746" i="1" s="1"/>
  <c r="W1746" i="1" s="1"/>
  <c r="Y1746" i="1" s="1"/>
  <c r="G1747" i="1"/>
  <c r="I1747" i="1" s="1"/>
  <c r="K1747" i="1" s="1"/>
  <c r="M1747" i="1" s="1"/>
  <c r="O1747" i="1" s="1"/>
  <c r="Q1747" i="1" s="1"/>
  <c r="S1747" i="1" s="1"/>
  <c r="U1747" i="1" s="1"/>
  <c r="W1747" i="1" s="1"/>
  <c r="Y1747" i="1" s="1"/>
  <c r="E1701" i="1"/>
  <c r="G1701" i="1" s="1"/>
  <c r="I1701" i="1" s="1"/>
  <c r="K1701" i="1" s="1"/>
  <c r="M1701" i="1" s="1"/>
  <c r="O1701" i="1" s="1"/>
  <c r="Q1701" i="1" s="1"/>
  <c r="S1701" i="1" s="1"/>
  <c r="U1701" i="1" s="1"/>
  <c r="W1701" i="1" s="1"/>
  <c r="Y1701" i="1" s="1"/>
  <c r="G1702" i="1"/>
  <c r="I1702" i="1" s="1"/>
  <c r="K1702" i="1" s="1"/>
  <c r="M1702" i="1" s="1"/>
  <c r="O1702" i="1" s="1"/>
  <c r="Q1702" i="1" s="1"/>
  <c r="S1702" i="1" s="1"/>
  <c r="U1702" i="1" s="1"/>
  <c r="W1702" i="1" s="1"/>
  <c r="Y1702" i="1" s="1"/>
  <c r="E1770" i="1"/>
  <c r="G1770" i="1" s="1"/>
  <c r="I1770" i="1" s="1"/>
  <c r="K1770" i="1" s="1"/>
  <c r="M1770" i="1" s="1"/>
  <c r="O1770" i="1" s="1"/>
  <c r="Q1770" i="1" s="1"/>
  <c r="S1770" i="1" s="1"/>
  <c r="U1770" i="1" s="1"/>
  <c r="W1770" i="1" s="1"/>
  <c r="Y1770" i="1" s="1"/>
  <c r="G1771" i="1"/>
  <c r="I1771" i="1" s="1"/>
  <c r="K1771" i="1" s="1"/>
  <c r="M1771" i="1" s="1"/>
  <c r="O1771" i="1" s="1"/>
  <c r="Q1771" i="1" s="1"/>
  <c r="S1771" i="1" s="1"/>
  <c r="U1771" i="1" s="1"/>
  <c r="W1771" i="1" s="1"/>
  <c r="Y1771" i="1" s="1"/>
  <c r="E292" i="1"/>
  <c r="G293" i="1"/>
  <c r="I293" i="1" s="1"/>
  <c r="K293" i="1" s="1"/>
  <c r="E1824" i="1"/>
  <c r="G1825" i="1"/>
  <c r="I1825" i="1" s="1"/>
  <c r="K1825" i="1" s="1"/>
  <c r="M1825" i="1" s="1"/>
  <c r="O1825" i="1" s="1"/>
  <c r="Q1825" i="1" s="1"/>
  <c r="S1825" i="1" s="1"/>
  <c r="U1825" i="1" s="1"/>
  <c r="W1825" i="1" s="1"/>
  <c r="Y1825" i="1" s="1"/>
  <c r="E1742" i="1"/>
  <c r="G1742" i="1" s="1"/>
  <c r="I1742" i="1" s="1"/>
  <c r="K1742" i="1" s="1"/>
  <c r="M1742" i="1" s="1"/>
  <c r="O1742" i="1" s="1"/>
  <c r="Q1742" i="1" s="1"/>
  <c r="S1742" i="1" s="1"/>
  <c r="U1742" i="1" s="1"/>
  <c r="W1742" i="1" s="1"/>
  <c r="Y1742" i="1" s="1"/>
  <c r="G1743" i="1"/>
  <c r="I1743" i="1" s="1"/>
  <c r="K1743" i="1" s="1"/>
  <c r="M1743" i="1" s="1"/>
  <c r="O1743" i="1" s="1"/>
  <c r="Q1743" i="1" s="1"/>
  <c r="S1743" i="1" s="1"/>
  <c r="U1743" i="1" s="1"/>
  <c r="W1743" i="1" s="1"/>
  <c r="Y1743" i="1" s="1"/>
  <c r="E1727" i="1"/>
  <c r="G1728" i="1"/>
  <c r="I1728" i="1" s="1"/>
  <c r="K1728" i="1" s="1"/>
  <c r="M1728" i="1" s="1"/>
  <c r="O1728" i="1" s="1"/>
  <c r="Q1728" i="1" s="1"/>
  <c r="S1728" i="1" s="1"/>
  <c r="U1728" i="1" s="1"/>
  <c r="W1728" i="1" s="1"/>
  <c r="Y1728" i="1" s="1"/>
  <c r="E825" i="1"/>
  <c r="G825" i="1" s="1"/>
  <c r="I825" i="1" s="1"/>
  <c r="K825" i="1" s="1"/>
  <c r="M825" i="1" s="1"/>
  <c r="O825" i="1" s="1"/>
  <c r="Q825" i="1" s="1"/>
  <c r="S825" i="1" s="1"/>
  <c r="U825" i="1" s="1"/>
  <c r="W825" i="1" s="1"/>
  <c r="Y825" i="1" s="1"/>
  <c r="G826" i="1"/>
  <c r="I826" i="1" s="1"/>
  <c r="K826" i="1" s="1"/>
  <c r="M826" i="1" s="1"/>
  <c r="O826" i="1" s="1"/>
  <c r="Q826" i="1" s="1"/>
  <c r="S826" i="1" s="1"/>
  <c r="U826" i="1" s="1"/>
  <c r="W826" i="1" s="1"/>
  <c r="Y826" i="1" s="1"/>
  <c r="G325" i="1"/>
  <c r="I325" i="1" s="1"/>
  <c r="K325" i="1" s="1"/>
  <c r="M325" i="1" s="1"/>
  <c r="O325" i="1" s="1"/>
  <c r="Q325" i="1" s="1"/>
  <c r="S325" i="1" s="1"/>
  <c r="U325" i="1" s="1"/>
  <c r="W325" i="1" s="1"/>
  <c r="Y325" i="1" s="1"/>
  <c r="E324" i="1"/>
  <c r="E1165" i="1"/>
  <c r="G1165" i="1" s="1"/>
  <c r="I1165" i="1" s="1"/>
  <c r="K1165" i="1" s="1"/>
  <c r="M1165" i="1" s="1"/>
  <c r="O1165" i="1" s="1"/>
  <c r="Q1165" i="1" s="1"/>
  <c r="S1165" i="1" s="1"/>
  <c r="U1165" i="1" s="1"/>
  <c r="W1165" i="1" s="1"/>
  <c r="Y1165" i="1" s="1"/>
  <c r="G1166" i="1"/>
  <c r="I1166" i="1" s="1"/>
  <c r="K1166" i="1" s="1"/>
  <c r="M1166" i="1" s="1"/>
  <c r="O1166" i="1" s="1"/>
  <c r="Q1166" i="1" s="1"/>
  <c r="S1166" i="1" s="1"/>
  <c r="U1166" i="1" s="1"/>
  <c r="W1166" i="1" s="1"/>
  <c r="Y1166" i="1" s="1"/>
  <c r="E1180" i="1"/>
  <c r="G1180" i="1" s="1"/>
  <c r="I1180" i="1" s="1"/>
  <c r="K1180" i="1" s="1"/>
  <c r="M1180" i="1" s="1"/>
  <c r="O1180" i="1" s="1"/>
  <c r="Q1180" i="1" s="1"/>
  <c r="S1180" i="1" s="1"/>
  <c r="U1180" i="1" s="1"/>
  <c r="W1180" i="1" s="1"/>
  <c r="Y1180" i="1" s="1"/>
  <c r="G1181" i="1"/>
  <c r="I1181" i="1" s="1"/>
  <c r="K1181" i="1" s="1"/>
  <c r="M1181" i="1" s="1"/>
  <c r="O1181" i="1" s="1"/>
  <c r="Q1181" i="1" s="1"/>
  <c r="S1181" i="1" s="1"/>
  <c r="U1181" i="1" s="1"/>
  <c r="W1181" i="1" s="1"/>
  <c r="Y1181" i="1" s="1"/>
  <c r="G977" i="1"/>
  <c r="I977" i="1" s="1"/>
  <c r="K977" i="1" s="1"/>
  <c r="M977" i="1" s="1"/>
  <c r="O977" i="1" s="1"/>
  <c r="Q977" i="1" s="1"/>
  <c r="S977" i="1" s="1"/>
  <c r="U977" i="1" s="1"/>
  <c r="W977" i="1" s="1"/>
  <c r="Y977" i="1" s="1"/>
  <c r="E976" i="1"/>
  <c r="G976" i="1" s="1"/>
  <c r="I976" i="1" s="1"/>
  <c r="K976" i="1" s="1"/>
  <c r="M976" i="1" s="1"/>
  <c r="O976" i="1" s="1"/>
  <c r="Q976" i="1" s="1"/>
  <c r="S976" i="1" s="1"/>
  <c r="U976" i="1" s="1"/>
  <c r="W976" i="1" s="1"/>
  <c r="Y976" i="1" s="1"/>
  <c r="E148" i="1"/>
  <c r="G148" i="1" s="1"/>
  <c r="I148" i="1" s="1"/>
  <c r="K148" i="1" s="1"/>
  <c r="M148" i="1" s="1"/>
  <c r="O148" i="1" s="1"/>
  <c r="Q148" i="1" s="1"/>
  <c r="S148" i="1" s="1"/>
  <c r="U148" i="1" s="1"/>
  <c r="W148" i="1" s="1"/>
  <c r="Y148" i="1" s="1"/>
  <c r="G149" i="1"/>
  <c r="I149" i="1" s="1"/>
  <c r="K149" i="1" s="1"/>
  <c r="M149" i="1" s="1"/>
  <c r="O149" i="1" s="1"/>
  <c r="Q149" i="1" s="1"/>
  <c r="S149" i="1" s="1"/>
  <c r="U149" i="1" s="1"/>
  <c r="W149" i="1" s="1"/>
  <c r="Y149" i="1" s="1"/>
  <c r="E1683" i="1"/>
  <c r="G1684" i="1"/>
  <c r="I1684" i="1" s="1"/>
  <c r="K1684" i="1" s="1"/>
  <c r="M1684" i="1" s="1"/>
  <c r="O1684" i="1" s="1"/>
  <c r="Q1684" i="1" s="1"/>
  <c r="S1684" i="1" s="1"/>
  <c r="U1684" i="1" s="1"/>
  <c r="W1684" i="1" s="1"/>
  <c r="Y1684" i="1" s="1"/>
  <c r="E1766" i="1"/>
  <c r="G1767" i="1"/>
  <c r="I1767" i="1" s="1"/>
  <c r="K1767" i="1" s="1"/>
  <c r="M1767" i="1" s="1"/>
  <c r="O1767" i="1" s="1"/>
  <c r="Q1767" i="1" s="1"/>
  <c r="S1767" i="1" s="1"/>
  <c r="U1767" i="1" s="1"/>
  <c r="W1767" i="1" s="1"/>
  <c r="Y1767" i="1" s="1"/>
  <c r="E1731" i="1"/>
  <c r="G1732" i="1"/>
  <c r="I1732" i="1" s="1"/>
  <c r="K1732" i="1" s="1"/>
  <c r="M1732" i="1" s="1"/>
  <c r="O1732" i="1" s="1"/>
  <c r="Q1732" i="1" s="1"/>
  <c r="S1732" i="1" s="1"/>
  <c r="U1732" i="1" s="1"/>
  <c r="W1732" i="1" s="1"/>
  <c r="Y1732" i="1" s="1"/>
  <c r="E1192" i="1"/>
  <c r="G1193" i="1"/>
  <c r="I1193" i="1" s="1"/>
  <c r="K1193" i="1" s="1"/>
  <c r="M1193" i="1" s="1"/>
  <c r="O1193" i="1" s="1"/>
  <c r="Q1193" i="1" s="1"/>
  <c r="S1193" i="1" s="1"/>
  <c r="U1193" i="1" s="1"/>
  <c r="W1193" i="1" s="1"/>
  <c r="Y1193" i="1" s="1"/>
  <c r="E1696" i="1"/>
  <c r="G1697" i="1"/>
  <c r="I1697" i="1" s="1"/>
  <c r="K1697" i="1" s="1"/>
  <c r="M1697" i="1" s="1"/>
  <c r="O1697" i="1" s="1"/>
  <c r="Q1697" i="1" s="1"/>
  <c r="S1697" i="1" s="1"/>
  <c r="U1697" i="1" s="1"/>
  <c r="W1697" i="1" s="1"/>
  <c r="Y1697" i="1" s="1"/>
  <c r="E142" i="1"/>
  <c r="G142" i="1" s="1"/>
  <c r="I142" i="1" s="1"/>
  <c r="K142" i="1" s="1"/>
  <c r="M142" i="1" s="1"/>
  <c r="O142" i="1" s="1"/>
  <c r="Q142" i="1" s="1"/>
  <c r="S142" i="1" s="1"/>
  <c r="U142" i="1" s="1"/>
  <c r="W142" i="1" s="1"/>
  <c r="Y142" i="1" s="1"/>
  <c r="G143" i="1"/>
  <c r="I143" i="1" s="1"/>
  <c r="K143" i="1" s="1"/>
  <c r="M143" i="1" s="1"/>
  <c r="O143" i="1" s="1"/>
  <c r="Q143" i="1" s="1"/>
  <c r="S143" i="1" s="1"/>
  <c r="U143" i="1" s="1"/>
  <c r="W143" i="1" s="1"/>
  <c r="Y143" i="1" s="1"/>
  <c r="E1549" i="1"/>
  <c r="G1550" i="1"/>
  <c r="I1550" i="1" s="1"/>
  <c r="K1550" i="1" s="1"/>
  <c r="M1550" i="1" s="1"/>
  <c r="O1550" i="1" s="1"/>
  <c r="Q1550" i="1" s="1"/>
  <c r="S1550" i="1" s="1"/>
  <c r="U1550" i="1" s="1"/>
  <c r="W1550" i="1" s="1"/>
  <c r="Y1550" i="1" s="1"/>
  <c r="E368" i="1"/>
  <c r="G368" i="1" s="1"/>
  <c r="I368" i="1" s="1"/>
  <c r="K368" i="1" s="1"/>
  <c r="M368" i="1" s="1"/>
  <c r="O368" i="1" s="1"/>
  <c r="Q368" i="1" s="1"/>
  <c r="S368" i="1" s="1"/>
  <c r="U368" i="1" s="1"/>
  <c r="W368" i="1" s="1"/>
  <c r="Y368" i="1" s="1"/>
  <c r="G773" i="1"/>
  <c r="I773" i="1" s="1"/>
  <c r="K773" i="1" s="1"/>
  <c r="M773" i="1" s="1"/>
  <c r="O773" i="1" s="1"/>
  <c r="Q773" i="1" s="1"/>
  <c r="S773" i="1" s="1"/>
  <c r="U773" i="1" s="1"/>
  <c r="W773" i="1" s="1"/>
  <c r="Y773" i="1" s="1"/>
  <c r="E1444" i="1"/>
  <c r="G1445" i="1"/>
  <c r="I1445" i="1" s="1"/>
  <c r="K1445" i="1" s="1"/>
  <c r="M1445" i="1" s="1"/>
  <c r="O1445" i="1" s="1"/>
  <c r="Q1445" i="1" s="1"/>
  <c r="S1445" i="1" s="1"/>
  <c r="U1445" i="1" s="1"/>
  <c r="W1445" i="1" s="1"/>
  <c r="Y1445" i="1" s="1"/>
  <c r="E1553" i="1"/>
  <c r="G1553" i="1" s="1"/>
  <c r="I1553" i="1" s="1"/>
  <c r="K1553" i="1" s="1"/>
  <c r="M1553" i="1" s="1"/>
  <c r="O1553" i="1" s="1"/>
  <c r="Q1553" i="1" s="1"/>
  <c r="S1553" i="1" s="1"/>
  <c r="U1553" i="1" s="1"/>
  <c r="W1553" i="1" s="1"/>
  <c r="Y1553" i="1" s="1"/>
  <c r="G1554" i="1"/>
  <c r="I1554" i="1" s="1"/>
  <c r="K1554" i="1" s="1"/>
  <c r="M1554" i="1" s="1"/>
  <c r="O1554" i="1" s="1"/>
  <c r="Q1554" i="1" s="1"/>
  <c r="S1554" i="1" s="1"/>
  <c r="U1554" i="1" s="1"/>
  <c r="W1554" i="1" s="1"/>
  <c r="Y1554" i="1" s="1"/>
  <c r="G1450" i="1"/>
  <c r="I1450" i="1" s="1"/>
  <c r="K1450" i="1" s="1"/>
  <c r="M1450" i="1" s="1"/>
  <c r="O1450" i="1" s="1"/>
  <c r="Q1450" i="1" s="1"/>
  <c r="S1450" i="1" s="1"/>
  <c r="U1450" i="1" s="1"/>
  <c r="W1450" i="1" s="1"/>
  <c r="Y1450" i="1" s="1"/>
  <c r="E1449" i="1"/>
  <c r="G1449" i="1" s="1"/>
  <c r="I1449" i="1" s="1"/>
  <c r="K1449" i="1" s="1"/>
  <c r="M1449" i="1" s="1"/>
  <c r="O1449" i="1" s="1"/>
  <c r="Q1449" i="1" s="1"/>
  <c r="S1449" i="1" s="1"/>
  <c r="U1449" i="1" s="1"/>
  <c r="W1449" i="1" s="1"/>
  <c r="Y1449" i="1" s="1"/>
  <c r="E344" i="1"/>
  <c r="G345" i="1"/>
  <c r="I345" i="1" s="1"/>
  <c r="K345" i="1" s="1"/>
  <c r="M345" i="1" s="1"/>
  <c r="O345" i="1" s="1"/>
  <c r="Q345" i="1" s="1"/>
  <c r="S345" i="1" s="1"/>
  <c r="U345" i="1" s="1"/>
  <c r="W345" i="1" s="1"/>
  <c r="Y345" i="1" s="1"/>
  <c r="E1762" i="1"/>
  <c r="G1763" i="1"/>
  <c r="I1763" i="1" s="1"/>
  <c r="K1763" i="1" s="1"/>
  <c r="M1763" i="1" s="1"/>
  <c r="O1763" i="1" s="1"/>
  <c r="Q1763" i="1" s="1"/>
  <c r="S1763" i="1" s="1"/>
  <c r="U1763" i="1" s="1"/>
  <c r="W1763" i="1" s="1"/>
  <c r="Y1763" i="1" s="1"/>
  <c r="E1756" i="1"/>
  <c r="G1757" i="1"/>
  <c r="I1757" i="1" s="1"/>
  <c r="K1757" i="1" s="1"/>
  <c r="M1757" i="1" s="1"/>
  <c r="O1757" i="1" s="1"/>
  <c r="Q1757" i="1" s="1"/>
  <c r="S1757" i="1" s="1"/>
  <c r="U1757" i="1" s="1"/>
  <c r="W1757" i="1" s="1"/>
  <c r="Y1757" i="1" s="1"/>
  <c r="E1720" i="1"/>
  <c r="G1721" i="1"/>
  <c r="I1721" i="1" s="1"/>
  <c r="K1721" i="1" s="1"/>
  <c r="M1721" i="1" s="1"/>
  <c r="O1721" i="1" s="1"/>
  <c r="Q1721" i="1" s="1"/>
  <c r="S1721" i="1" s="1"/>
  <c r="U1721" i="1" s="1"/>
  <c r="W1721" i="1" s="1"/>
  <c r="Y1721" i="1" s="1"/>
  <c r="E1202" i="1"/>
  <c r="E1404" i="1"/>
  <c r="E1573" i="1"/>
  <c r="E1737" i="1"/>
  <c r="E1802" i="1"/>
  <c r="E1776" i="1"/>
  <c r="E1847" i="1"/>
  <c r="E926" i="1"/>
  <c r="E230" i="1"/>
  <c r="G230" i="1" s="1"/>
  <c r="I230" i="1" s="1"/>
  <c r="K230" i="1" s="1"/>
  <c r="M230" i="1" s="1"/>
  <c r="O230" i="1" s="1"/>
  <c r="Q230" i="1" s="1"/>
  <c r="S230" i="1" s="1"/>
  <c r="U230" i="1" s="1"/>
  <c r="W230" i="1" s="1"/>
  <c r="Y230" i="1" s="1"/>
  <c r="E1131" i="1"/>
  <c r="G1131" i="1" s="1"/>
  <c r="I1131" i="1" s="1"/>
  <c r="K1131" i="1" s="1"/>
  <c r="M1131" i="1" s="1"/>
  <c r="O1131" i="1" s="1"/>
  <c r="Q1131" i="1" s="1"/>
  <c r="S1131" i="1" s="1"/>
  <c r="U1131" i="1" s="1"/>
  <c r="W1131" i="1" s="1"/>
  <c r="Y1131" i="1" s="1"/>
  <c r="E888" i="1"/>
  <c r="G888" i="1" s="1"/>
  <c r="I888" i="1" s="1"/>
  <c r="K888" i="1" s="1"/>
  <c r="M888" i="1" s="1"/>
  <c r="O888" i="1" s="1"/>
  <c r="Q888" i="1" s="1"/>
  <c r="S888" i="1" s="1"/>
  <c r="U888" i="1" s="1"/>
  <c r="W888" i="1" s="1"/>
  <c r="Y888" i="1" s="1"/>
  <c r="E1134" i="1"/>
  <c r="G1134" i="1" s="1"/>
  <c r="I1134" i="1" s="1"/>
  <c r="K1134" i="1" s="1"/>
  <c r="M1134" i="1" s="1"/>
  <c r="O1134" i="1" s="1"/>
  <c r="Q1134" i="1" s="1"/>
  <c r="S1134" i="1" s="1"/>
  <c r="U1134" i="1" s="1"/>
  <c r="W1134" i="1" s="1"/>
  <c r="Y1134" i="1" s="1"/>
  <c r="E1716" i="1"/>
  <c r="E1660" i="1"/>
  <c r="E304" i="1"/>
  <c r="E228" i="1"/>
  <c r="G228" i="1" s="1"/>
  <c r="I228" i="1" s="1"/>
  <c r="K228" i="1" s="1"/>
  <c r="E184" i="1"/>
  <c r="E166" i="1"/>
  <c r="E138" i="1"/>
  <c r="E121" i="1"/>
  <c r="E68" i="1"/>
  <c r="E47" i="1"/>
  <c r="E36" i="1"/>
  <c r="E22" i="1"/>
  <c r="E1267" i="1" l="1"/>
  <c r="G1267" i="1" s="1"/>
  <c r="I1267" i="1" s="1"/>
  <c r="K1267" i="1" s="1"/>
  <c r="M1267" i="1" s="1"/>
  <c r="O1267" i="1" s="1"/>
  <c r="Q1267" i="1" s="1"/>
  <c r="S1267" i="1" s="1"/>
  <c r="U1267" i="1" s="1"/>
  <c r="W1267" i="1" s="1"/>
  <c r="Y1267" i="1" s="1"/>
  <c r="O307" i="1"/>
  <c r="Q307" i="1" s="1"/>
  <c r="S307" i="1" s="1"/>
  <c r="U307" i="1" s="1"/>
  <c r="W307" i="1" s="1"/>
  <c r="Y307" i="1" s="1"/>
  <c r="AA307" i="1" s="1"/>
  <c r="E273" i="1"/>
  <c r="G273" i="1" s="1"/>
  <c r="I273" i="1" s="1"/>
  <c r="K273" i="1" s="1"/>
  <c r="M273" i="1" s="1"/>
  <c r="O273" i="1" s="1"/>
  <c r="Q273" i="1" s="1"/>
  <c r="S273" i="1" s="1"/>
  <c r="U273" i="1" s="1"/>
  <c r="W273" i="1" s="1"/>
  <c r="Y273" i="1" s="1"/>
  <c r="M293" i="1"/>
  <c r="M228" i="1"/>
  <c r="G1558" i="1"/>
  <c r="I1558" i="1" s="1"/>
  <c r="K1558" i="1" s="1"/>
  <c r="M1558" i="1" s="1"/>
  <c r="O1558" i="1" s="1"/>
  <c r="Q1558" i="1" s="1"/>
  <c r="S1558" i="1" s="1"/>
  <c r="U1558" i="1" s="1"/>
  <c r="W1558" i="1" s="1"/>
  <c r="Y1558" i="1" s="1"/>
  <c r="E798" i="1"/>
  <c r="G798" i="1" s="1"/>
  <c r="I798" i="1" s="1"/>
  <c r="K798" i="1" s="1"/>
  <c r="M798" i="1" s="1"/>
  <c r="O798" i="1" s="1"/>
  <c r="Q798" i="1" s="1"/>
  <c r="S798" i="1" s="1"/>
  <c r="U798" i="1" s="1"/>
  <c r="W798" i="1" s="1"/>
  <c r="Y798" i="1" s="1"/>
  <c r="E1745" i="1"/>
  <c r="G1745" i="1" s="1"/>
  <c r="I1745" i="1" s="1"/>
  <c r="K1745" i="1" s="1"/>
  <c r="M1745" i="1" s="1"/>
  <c r="O1745" i="1" s="1"/>
  <c r="Q1745" i="1" s="1"/>
  <c r="S1745" i="1" s="1"/>
  <c r="U1745" i="1" s="1"/>
  <c r="W1745" i="1" s="1"/>
  <c r="Y1745" i="1" s="1"/>
  <c r="E46" i="1"/>
  <c r="G47" i="1"/>
  <c r="I47" i="1" s="1"/>
  <c r="K47" i="1" s="1"/>
  <c r="E1659" i="1"/>
  <c r="G1660" i="1"/>
  <c r="I1660" i="1" s="1"/>
  <c r="K1660" i="1" s="1"/>
  <c r="E120" i="1"/>
  <c r="G121" i="1"/>
  <c r="I121" i="1" s="1"/>
  <c r="K121" i="1" s="1"/>
  <c r="E915" i="1"/>
  <c r="G915" i="1" s="1"/>
  <c r="I915" i="1" s="1"/>
  <c r="K915" i="1" s="1"/>
  <c r="M915" i="1" s="1"/>
  <c r="O915" i="1" s="1"/>
  <c r="Q915" i="1" s="1"/>
  <c r="S915" i="1" s="1"/>
  <c r="U915" i="1" s="1"/>
  <c r="W915" i="1" s="1"/>
  <c r="Y915" i="1" s="1"/>
  <c r="G926" i="1"/>
  <c r="I926" i="1" s="1"/>
  <c r="K926" i="1" s="1"/>
  <c r="M926" i="1" s="1"/>
  <c r="O926" i="1" s="1"/>
  <c r="Q926" i="1" s="1"/>
  <c r="S926" i="1" s="1"/>
  <c r="U926" i="1" s="1"/>
  <c r="W926" i="1" s="1"/>
  <c r="Y926" i="1" s="1"/>
  <c r="E35" i="1"/>
  <c r="G36" i="1"/>
  <c r="I36" i="1" s="1"/>
  <c r="K36" i="1" s="1"/>
  <c r="E137" i="1"/>
  <c r="G138" i="1"/>
  <c r="I138" i="1" s="1"/>
  <c r="K138" i="1" s="1"/>
  <c r="E303" i="1"/>
  <c r="G304" i="1"/>
  <c r="I304" i="1" s="1"/>
  <c r="K304" i="1" s="1"/>
  <c r="E1830" i="1"/>
  <c r="G1830" i="1" s="1"/>
  <c r="I1830" i="1" s="1"/>
  <c r="K1830" i="1" s="1"/>
  <c r="M1830" i="1" s="1"/>
  <c r="O1830" i="1" s="1"/>
  <c r="Q1830" i="1" s="1"/>
  <c r="S1830" i="1" s="1"/>
  <c r="U1830" i="1" s="1"/>
  <c r="W1830" i="1" s="1"/>
  <c r="Y1830" i="1" s="1"/>
  <c r="G1847" i="1"/>
  <c r="I1847" i="1" s="1"/>
  <c r="K1847" i="1" s="1"/>
  <c r="M1847" i="1" s="1"/>
  <c r="O1847" i="1" s="1"/>
  <c r="Q1847" i="1" s="1"/>
  <c r="S1847" i="1" s="1"/>
  <c r="U1847" i="1" s="1"/>
  <c r="W1847" i="1" s="1"/>
  <c r="Y1847" i="1" s="1"/>
  <c r="E165" i="1"/>
  <c r="G166" i="1"/>
  <c r="I166" i="1" s="1"/>
  <c r="K166" i="1" s="1"/>
  <c r="E1769" i="1"/>
  <c r="G1769" i="1" s="1"/>
  <c r="I1769" i="1" s="1"/>
  <c r="K1769" i="1" s="1"/>
  <c r="M1769" i="1" s="1"/>
  <c r="O1769" i="1" s="1"/>
  <c r="Q1769" i="1" s="1"/>
  <c r="S1769" i="1" s="1"/>
  <c r="U1769" i="1" s="1"/>
  <c r="W1769" i="1" s="1"/>
  <c r="Y1769" i="1" s="1"/>
  <c r="G1776" i="1"/>
  <c r="I1776" i="1" s="1"/>
  <c r="K1776" i="1" s="1"/>
  <c r="M1776" i="1" s="1"/>
  <c r="O1776" i="1" s="1"/>
  <c r="Q1776" i="1" s="1"/>
  <c r="S1776" i="1" s="1"/>
  <c r="U1776" i="1" s="1"/>
  <c r="W1776" i="1" s="1"/>
  <c r="Y1776" i="1" s="1"/>
  <c r="E1736" i="1"/>
  <c r="G1736" i="1" s="1"/>
  <c r="I1736" i="1" s="1"/>
  <c r="K1736" i="1" s="1"/>
  <c r="M1736" i="1" s="1"/>
  <c r="O1736" i="1" s="1"/>
  <c r="Q1736" i="1" s="1"/>
  <c r="S1736" i="1" s="1"/>
  <c r="U1736" i="1" s="1"/>
  <c r="W1736" i="1" s="1"/>
  <c r="Y1736" i="1" s="1"/>
  <c r="G1737" i="1"/>
  <c r="I1737" i="1" s="1"/>
  <c r="K1737" i="1" s="1"/>
  <c r="M1737" i="1" s="1"/>
  <c r="O1737" i="1" s="1"/>
  <c r="Q1737" i="1" s="1"/>
  <c r="S1737" i="1" s="1"/>
  <c r="U1737" i="1" s="1"/>
  <c r="W1737" i="1" s="1"/>
  <c r="Y1737" i="1" s="1"/>
  <c r="E291" i="1"/>
  <c r="G291" i="1" s="1"/>
  <c r="I291" i="1" s="1"/>
  <c r="K291" i="1" s="1"/>
  <c r="M291" i="1" s="1"/>
  <c r="O291" i="1" s="1"/>
  <c r="Q291" i="1" s="1"/>
  <c r="S291" i="1" s="1"/>
  <c r="U291" i="1" s="1"/>
  <c r="W291" i="1" s="1"/>
  <c r="Y291" i="1" s="1"/>
  <c r="G292" i="1"/>
  <c r="I292" i="1" s="1"/>
  <c r="K292" i="1" s="1"/>
  <c r="M292" i="1" s="1"/>
  <c r="O292" i="1" s="1"/>
  <c r="Q292" i="1" s="1"/>
  <c r="S292" i="1" s="1"/>
  <c r="U292" i="1" s="1"/>
  <c r="W292" i="1" s="1"/>
  <c r="Y292" i="1" s="1"/>
  <c r="E1812" i="1"/>
  <c r="G1812" i="1" s="1"/>
  <c r="I1812" i="1" s="1"/>
  <c r="K1812" i="1" s="1"/>
  <c r="M1812" i="1" s="1"/>
  <c r="O1812" i="1" s="1"/>
  <c r="Q1812" i="1" s="1"/>
  <c r="S1812" i="1" s="1"/>
  <c r="U1812" i="1" s="1"/>
  <c r="W1812" i="1" s="1"/>
  <c r="Y1812" i="1" s="1"/>
  <c r="G1813" i="1"/>
  <c r="I1813" i="1" s="1"/>
  <c r="K1813" i="1" s="1"/>
  <c r="M1813" i="1" s="1"/>
  <c r="O1813" i="1" s="1"/>
  <c r="Q1813" i="1" s="1"/>
  <c r="S1813" i="1" s="1"/>
  <c r="U1813" i="1" s="1"/>
  <c r="W1813" i="1" s="1"/>
  <c r="Y1813" i="1" s="1"/>
  <c r="E1818" i="1"/>
  <c r="G1819" i="1"/>
  <c r="I1819" i="1" s="1"/>
  <c r="K1819" i="1" s="1"/>
  <c r="M1819" i="1" s="1"/>
  <c r="O1819" i="1" s="1"/>
  <c r="Q1819" i="1" s="1"/>
  <c r="S1819" i="1" s="1"/>
  <c r="U1819" i="1" s="1"/>
  <c r="W1819" i="1" s="1"/>
  <c r="Y1819" i="1" s="1"/>
  <c r="E67" i="1"/>
  <c r="G68" i="1"/>
  <c r="I68" i="1" s="1"/>
  <c r="K68" i="1" s="1"/>
  <c r="E183" i="1"/>
  <c r="G184" i="1"/>
  <c r="I184" i="1" s="1"/>
  <c r="K184" i="1" s="1"/>
  <c r="E1715" i="1"/>
  <c r="G1716" i="1"/>
  <c r="I1716" i="1" s="1"/>
  <c r="K1716" i="1" s="1"/>
  <c r="E1801" i="1"/>
  <c r="G1802" i="1"/>
  <c r="I1802" i="1" s="1"/>
  <c r="K1802" i="1" s="1"/>
  <c r="M1802" i="1" s="1"/>
  <c r="O1802" i="1" s="1"/>
  <c r="Q1802" i="1" s="1"/>
  <c r="S1802" i="1" s="1"/>
  <c r="U1802" i="1" s="1"/>
  <c r="W1802" i="1" s="1"/>
  <c r="Y1802" i="1" s="1"/>
  <c r="E1572" i="1"/>
  <c r="G1572" i="1" s="1"/>
  <c r="I1572" i="1" s="1"/>
  <c r="K1572" i="1" s="1"/>
  <c r="M1572" i="1" s="1"/>
  <c r="O1572" i="1" s="1"/>
  <c r="Q1572" i="1" s="1"/>
  <c r="S1572" i="1" s="1"/>
  <c r="U1572" i="1" s="1"/>
  <c r="W1572" i="1" s="1"/>
  <c r="Y1572" i="1" s="1"/>
  <c r="G1573" i="1"/>
  <c r="I1573" i="1" s="1"/>
  <c r="K1573" i="1" s="1"/>
  <c r="M1573" i="1" s="1"/>
  <c r="O1573" i="1" s="1"/>
  <c r="Q1573" i="1" s="1"/>
  <c r="S1573" i="1" s="1"/>
  <c r="U1573" i="1" s="1"/>
  <c r="W1573" i="1" s="1"/>
  <c r="Y1573" i="1" s="1"/>
  <c r="E311" i="1"/>
  <c r="G311" i="1" s="1"/>
  <c r="I311" i="1" s="1"/>
  <c r="K311" i="1" s="1"/>
  <c r="M311" i="1" s="1"/>
  <c r="O311" i="1" s="1"/>
  <c r="Q311" i="1" s="1"/>
  <c r="S311" i="1" s="1"/>
  <c r="U311" i="1" s="1"/>
  <c r="W311" i="1" s="1"/>
  <c r="Y311" i="1" s="1"/>
  <c r="G324" i="1"/>
  <c r="I324" i="1" s="1"/>
  <c r="K324" i="1" s="1"/>
  <c r="M324" i="1" s="1"/>
  <c r="O324" i="1" s="1"/>
  <c r="Q324" i="1" s="1"/>
  <c r="S324" i="1" s="1"/>
  <c r="U324" i="1" s="1"/>
  <c r="W324" i="1" s="1"/>
  <c r="Y324" i="1" s="1"/>
  <c r="E21" i="1"/>
  <c r="G22" i="1"/>
  <c r="I22" i="1" s="1"/>
  <c r="K22" i="1" s="1"/>
  <c r="E1723" i="1"/>
  <c r="G1723" i="1" s="1"/>
  <c r="I1723" i="1" s="1"/>
  <c r="K1723" i="1" s="1"/>
  <c r="M1723" i="1" s="1"/>
  <c r="O1723" i="1" s="1"/>
  <c r="Q1723" i="1" s="1"/>
  <c r="S1723" i="1" s="1"/>
  <c r="U1723" i="1" s="1"/>
  <c r="W1723" i="1" s="1"/>
  <c r="Y1723" i="1" s="1"/>
  <c r="G1727" i="1"/>
  <c r="I1727" i="1" s="1"/>
  <c r="K1727" i="1" s="1"/>
  <c r="M1727" i="1" s="1"/>
  <c r="O1727" i="1" s="1"/>
  <c r="Q1727" i="1" s="1"/>
  <c r="S1727" i="1" s="1"/>
  <c r="U1727" i="1" s="1"/>
  <c r="W1727" i="1" s="1"/>
  <c r="Y1727" i="1" s="1"/>
  <c r="E1823" i="1"/>
  <c r="G1823" i="1" s="1"/>
  <c r="I1823" i="1" s="1"/>
  <c r="K1823" i="1" s="1"/>
  <c r="M1823" i="1" s="1"/>
  <c r="O1823" i="1" s="1"/>
  <c r="Q1823" i="1" s="1"/>
  <c r="S1823" i="1" s="1"/>
  <c r="U1823" i="1" s="1"/>
  <c r="W1823" i="1" s="1"/>
  <c r="Y1823" i="1" s="1"/>
  <c r="G1824" i="1"/>
  <c r="I1824" i="1" s="1"/>
  <c r="K1824" i="1" s="1"/>
  <c r="M1824" i="1" s="1"/>
  <c r="O1824" i="1" s="1"/>
  <c r="Q1824" i="1" s="1"/>
  <c r="S1824" i="1" s="1"/>
  <c r="U1824" i="1" s="1"/>
  <c r="W1824" i="1" s="1"/>
  <c r="Y1824" i="1" s="1"/>
  <c r="E1795" i="1"/>
  <c r="G1796" i="1"/>
  <c r="I1796" i="1" s="1"/>
  <c r="K1796" i="1" s="1"/>
  <c r="M1796" i="1" s="1"/>
  <c r="O1796" i="1" s="1"/>
  <c r="Q1796" i="1" s="1"/>
  <c r="S1796" i="1" s="1"/>
  <c r="U1796" i="1" s="1"/>
  <c r="W1796" i="1" s="1"/>
  <c r="Y1796" i="1" s="1"/>
  <c r="E1864" i="1"/>
  <c r="G1865" i="1"/>
  <c r="I1865" i="1" s="1"/>
  <c r="K1865" i="1" s="1"/>
  <c r="M1865" i="1" s="1"/>
  <c r="O1865" i="1" s="1"/>
  <c r="Q1865" i="1" s="1"/>
  <c r="S1865" i="1" s="1"/>
  <c r="U1865" i="1" s="1"/>
  <c r="W1865" i="1" s="1"/>
  <c r="Y1865" i="1" s="1"/>
  <c r="E1201" i="1"/>
  <c r="G1202" i="1"/>
  <c r="I1202" i="1" s="1"/>
  <c r="K1202" i="1" s="1"/>
  <c r="M1202" i="1" s="1"/>
  <c r="O1202" i="1" s="1"/>
  <c r="Q1202" i="1" s="1"/>
  <c r="S1202" i="1" s="1"/>
  <c r="U1202" i="1" s="1"/>
  <c r="W1202" i="1" s="1"/>
  <c r="Y1202" i="1" s="1"/>
  <c r="E343" i="1"/>
  <c r="G343" i="1" s="1"/>
  <c r="I343" i="1" s="1"/>
  <c r="K343" i="1" s="1"/>
  <c r="M343" i="1" s="1"/>
  <c r="O343" i="1" s="1"/>
  <c r="Q343" i="1" s="1"/>
  <c r="S343" i="1" s="1"/>
  <c r="U343" i="1" s="1"/>
  <c r="W343" i="1" s="1"/>
  <c r="Y343" i="1" s="1"/>
  <c r="G344" i="1"/>
  <c r="I344" i="1" s="1"/>
  <c r="K344" i="1" s="1"/>
  <c r="M344" i="1" s="1"/>
  <c r="O344" i="1" s="1"/>
  <c r="Q344" i="1" s="1"/>
  <c r="S344" i="1" s="1"/>
  <c r="U344" i="1" s="1"/>
  <c r="W344" i="1" s="1"/>
  <c r="Y344" i="1" s="1"/>
  <c r="E1719" i="1"/>
  <c r="G1719" i="1" s="1"/>
  <c r="I1719" i="1" s="1"/>
  <c r="K1719" i="1" s="1"/>
  <c r="M1719" i="1" s="1"/>
  <c r="O1719" i="1" s="1"/>
  <c r="Q1719" i="1" s="1"/>
  <c r="S1719" i="1" s="1"/>
  <c r="U1719" i="1" s="1"/>
  <c r="W1719" i="1" s="1"/>
  <c r="Y1719" i="1" s="1"/>
  <c r="G1720" i="1"/>
  <c r="I1720" i="1" s="1"/>
  <c r="K1720" i="1" s="1"/>
  <c r="M1720" i="1" s="1"/>
  <c r="O1720" i="1" s="1"/>
  <c r="Q1720" i="1" s="1"/>
  <c r="S1720" i="1" s="1"/>
  <c r="U1720" i="1" s="1"/>
  <c r="W1720" i="1" s="1"/>
  <c r="Y1720" i="1" s="1"/>
  <c r="E1761" i="1"/>
  <c r="G1761" i="1" s="1"/>
  <c r="I1761" i="1" s="1"/>
  <c r="K1761" i="1" s="1"/>
  <c r="M1761" i="1" s="1"/>
  <c r="O1761" i="1" s="1"/>
  <c r="Q1761" i="1" s="1"/>
  <c r="S1761" i="1" s="1"/>
  <c r="U1761" i="1" s="1"/>
  <c r="W1761" i="1" s="1"/>
  <c r="Y1761" i="1" s="1"/>
  <c r="G1762" i="1"/>
  <c r="I1762" i="1" s="1"/>
  <c r="K1762" i="1" s="1"/>
  <c r="M1762" i="1" s="1"/>
  <c r="O1762" i="1" s="1"/>
  <c r="Q1762" i="1" s="1"/>
  <c r="S1762" i="1" s="1"/>
  <c r="U1762" i="1" s="1"/>
  <c r="W1762" i="1" s="1"/>
  <c r="Y1762" i="1" s="1"/>
  <c r="E1191" i="1"/>
  <c r="G1191" i="1" s="1"/>
  <c r="I1191" i="1" s="1"/>
  <c r="K1191" i="1" s="1"/>
  <c r="M1191" i="1" s="1"/>
  <c r="O1191" i="1" s="1"/>
  <c r="Q1191" i="1" s="1"/>
  <c r="S1191" i="1" s="1"/>
  <c r="U1191" i="1" s="1"/>
  <c r="W1191" i="1" s="1"/>
  <c r="Y1191" i="1" s="1"/>
  <c r="G1192" i="1"/>
  <c r="I1192" i="1" s="1"/>
  <c r="K1192" i="1" s="1"/>
  <c r="M1192" i="1" s="1"/>
  <c r="O1192" i="1" s="1"/>
  <c r="Q1192" i="1" s="1"/>
  <c r="S1192" i="1" s="1"/>
  <c r="U1192" i="1" s="1"/>
  <c r="W1192" i="1" s="1"/>
  <c r="Y1192" i="1" s="1"/>
  <c r="E1730" i="1"/>
  <c r="G1730" i="1" s="1"/>
  <c r="I1730" i="1" s="1"/>
  <c r="K1730" i="1" s="1"/>
  <c r="M1730" i="1" s="1"/>
  <c r="O1730" i="1" s="1"/>
  <c r="Q1730" i="1" s="1"/>
  <c r="S1730" i="1" s="1"/>
  <c r="U1730" i="1" s="1"/>
  <c r="W1730" i="1" s="1"/>
  <c r="Y1730" i="1" s="1"/>
  <c r="G1731" i="1"/>
  <c r="I1731" i="1" s="1"/>
  <c r="K1731" i="1" s="1"/>
  <c r="M1731" i="1" s="1"/>
  <c r="O1731" i="1" s="1"/>
  <c r="Q1731" i="1" s="1"/>
  <c r="S1731" i="1" s="1"/>
  <c r="U1731" i="1" s="1"/>
  <c r="W1731" i="1" s="1"/>
  <c r="Y1731" i="1" s="1"/>
  <c r="E1682" i="1"/>
  <c r="G1682" i="1" s="1"/>
  <c r="I1682" i="1" s="1"/>
  <c r="K1682" i="1" s="1"/>
  <c r="M1682" i="1" s="1"/>
  <c r="O1682" i="1" s="1"/>
  <c r="Q1682" i="1" s="1"/>
  <c r="S1682" i="1" s="1"/>
  <c r="U1682" i="1" s="1"/>
  <c r="W1682" i="1" s="1"/>
  <c r="Y1682" i="1" s="1"/>
  <c r="G1683" i="1"/>
  <c r="I1683" i="1" s="1"/>
  <c r="K1683" i="1" s="1"/>
  <c r="M1683" i="1" s="1"/>
  <c r="O1683" i="1" s="1"/>
  <c r="Q1683" i="1" s="1"/>
  <c r="S1683" i="1" s="1"/>
  <c r="U1683" i="1" s="1"/>
  <c r="W1683" i="1" s="1"/>
  <c r="Y1683" i="1" s="1"/>
  <c r="E1755" i="1"/>
  <c r="G1756" i="1"/>
  <c r="I1756" i="1" s="1"/>
  <c r="K1756" i="1" s="1"/>
  <c r="M1756" i="1" s="1"/>
  <c r="O1756" i="1" s="1"/>
  <c r="Q1756" i="1" s="1"/>
  <c r="S1756" i="1" s="1"/>
  <c r="U1756" i="1" s="1"/>
  <c r="W1756" i="1" s="1"/>
  <c r="Y1756" i="1" s="1"/>
  <c r="E1695" i="1"/>
  <c r="G1696" i="1"/>
  <c r="I1696" i="1" s="1"/>
  <c r="K1696" i="1" s="1"/>
  <c r="M1696" i="1" s="1"/>
  <c r="O1696" i="1" s="1"/>
  <c r="Q1696" i="1" s="1"/>
  <c r="S1696" i="1" s="1"/>
  <c r="U1696" i="1" s="1"/>
  <c r="W1696" i="1" s="1"/>
  <c r="Y1696" i="1" s="1"/>
  <c r="E1765" i="1"/>
  <c r="G1765" i="1" s="1"/>
  <c r="I1765" i="1" s="1"/>
  <c r="K1765" i="1" s="1"/>
  <c r="M1765" i="1" s="1"/>
  <c r="O1765" i="1" s="1"/>
  <c r="Q1765" i="1" s="1"/>
  <c r="S1765" i="1" s="1"/>
  <c r="U1765" i="1" s="1"/>
  <c r="W1765" i="1" s="1"/>
  <c r="Y1765" i="1" s="1"/>
  <c r="G1766" i="1"/>
  <c r="I1766" i="1" s="1"/>
  <c r="K1766" i="1" s="1"/>
  <c r="M1766" i="1" s="1"/>
  <c r="O1766" i="1" s="1"/>
  <c r="Q1766" i="1" s="1"/>
  <c r="S1766" i="1" s="1"/>
  <c r="U1766" i="1" s="1"/>
  <c r="W1766" i="1" s="1"/>
  <c r="Y1766" i="1" s="1"/>
  <c r="E1403" i="1"/>
  <c r="G1403" i="1" s="1"/>
  <c r="I1403" i="1" s="1"/>
  <c r="K1403" i="1" s="1"/>
  <c r="M1403" i="1" s="1"/>
  <c r="O1403" i="1" s="1"/>
  <c r="Q1403" i="1" s="1"/>
  <c r="S1403" i="1" s="1"/>
  <c r="U1403" i="1" s="1"/>
  <c r="W1403" i="1" s="1"/>
  <c r="Y1403" i="1" s="1"/>
  <c r="G1404" i="1"/>
  <c r="I1404" i="1" s="1"/>
  <c r="K1404" i="1" s="1"/>
  <c r="M1404" i="1" s="1"/>
  <c r="O1404" i="1" s="1"/>
  <c r="Q1404" i="1" s="1"/>
  <c r="S1404" i="1" s="1"/>
  <c r="U1404" i="1" s="1"/>
  <c r="W1404" i="1" s="1"/>
  <c r="Y1404" i="1" s="1"/>
  <c r="E1437" i="1"/>
  <c r="G1437" i="1" s="1"/>
  <c r="I1437" i="1" s="1"/>
  <c r="K1437" i="1" s="1"/>
  <c r="M1437" i="1" s="1"/>
  <c r="O1437" i="1" s="1"/>
  <c r="Q1437" i="1" s="1"/>
  <c r="S1437" i="1" s="1"/>
  <c r="U1437" i="1" s="1"/>
  <c r="W1437" i="1" s="1"/>
  <c r="Y1437" i="1" s="1"/>
  <c r="G1444" i="1"/>
  <c r="I1444" i="1" s="1"/>
  <c r="K1444" i="1" s="1"/>
  <c r="M1444" i="1" s="1"/>
  <c r="O1444" i="1" s="1"/>
  <c r="Q1444" i="1" s="1"/>
  <c r="S1444" i="1" s="1"/>
  <c r="U1444" i="1" s="1"/>
  <c r="W1444" i="1" s="1"/>
  <c r="Y1444" i="1" s="1"/>
  <c r="E1548" i="1"/>
  <c r="G1549" i="1"/>
  <c r="I1549" i="1" s="1"/>
  <c r="K1549" i="1" s="1"/>
  <c r="M1549" i="1" s="1"/>
  <c r="O1549" i="1" s="1"/>
  <c r="Q1549" i="1" s="1"/>
  <c r="S1549" i="1" s="1"/>
  <c r="U1549" i="1" s="1"/>
  <c r="W1549" i="1" s="1"/>
  <c r="Y1549" i="1" s="1"/>
  <c r="E1119" i="1"/>
  <c r="E227" i="1"/>
  <c r="E887" i="1"/>
  <c r="O293" i="1" l="1"/>
  <c r="Q293" i="1" s="1"/>
  <c r="S293" i="1" s="1"/>
  <c r="U293" i="1" s="1"/>
  <c r="W293" i="1" s="1"/>
  <c r="Y293" i="1" s="1"/>
  <c r="AA293" i="1" s="1"/>
  <c r="O228" i="1"/>
  <c r="Q228" i="1" s="1"/>
  <c r="S228" i="1" s="1"/>
  <c r="U228" i="1" s="1"/>
  <c r="W228" i="1" s="1"/>
  <c r="Y228" i="1" s="1"/>
  <c r="AA228" i="1" s="1"/>
  <c r="M184" i="1"/>
  <c r="M138" i="1"/>
  <c r="M1660" i="1"/>
  <c r="M22" i="1"/>
  <c r="M1716" i="1"/>
  <c r="M68" i="1"/>
  <c r="M166" i="1"/>
  <c r="M304" i="1"/>
  <c r="M36" i="1"/>
  <c r="M121" i="1"/>
  <c r="M47" i="1"/>
  <c r="E1735" i="1"/>
  <c r="G1735" i="1" s="1"/>
  <c r="I1735" i="1" s="1"/>
  <c r="K1735" i="1" s="1"/>
  <c r="M1735" i="1" s="1"/>
  <c r="O1735" i="1" s="1"/>
  <c r="Q1735" i="1" s="1"/>
  <c r="S1735" i="1" s="1"/>
  <c r="U1735" i="1" s="1"/>
  <c r="W1735" i="1" s="1"/>
  <c r="Y1735" i="1" s="1"/>
  <c r="E1829" i="1"/>
  <c r="G1829" i="1" s="1"/>
  <c r="I1829" i="1" s="1"/>
  <c r="K1829" i="1" s="1"/>
  <c r="M1829" i="1" s="1"/>
  <c r="O1829" i="1" s="1"/>
  <c r="Q1829" i="1" s="1"/>
  <c r="S1829" i="1" s="1"/>
  <c r="U1829" i="1" s="1"/>
  <c r="W1829" i="1" s="1"/>
  <c r="Y1829" i="1" s="1"/>
  <c r="E220" i="1"/>
  <c r="G227" i="1"/>
  <c r="I227" i="1" s="1"/>
  <c r="K227" i="1" s="1"/>
  <c r="M227" i="1" s="1"/>
  <c r="O227" i="1" s="1"/>
  <c r="Q227" i="1" s="1"/>
  <c r="S227" i="1" s="1"/>
  <c r="U227" i="1" s="1"/>
  <c r="W227" i="1" s="1"/>
  <c r="Y227" i="1" s="1"/>
  <c r="E1863" i="1"/>
  <c r="G1864" i="1"/>
  <c r="I1864" i="1" s="1"/>
  <c r="K1864" i="1" s="1"/>
  <c r="M1864" i="1" s="1"/>
  <c r="O1864" i="1" s="1"/>
  <c r="Q1864" i="1" s="1"/>
  <c r="S1864" i="1" s="1"/>
  <c r="U1864" i="1" s="1"/>
  <c r="W1864" i="1" s="1"/>
  <c r="Y1864" i="1" s="1"/>
  <c r="E1118" i="1"/>
  <c r="G1119" i="1"/>
  <c r="I1119" i="1" s="1"/>
  <c r="K1119" i="1" s="1"/>
  <c r="M1119" i="1" s="1"/>
  <c r="O1119" i="1" s="1"/>
  <c r="Q1119" i="1" s="1"/>
  <c r="S1119" i="1" s="1"/>
  <c r="U1119" i="1" s="1"/>
  <c r="W1119" i="1" s="1"/>
  <c r="Y1119" i="1" s="1"/>
  <c r="E179" i="1"/>
  <c r="G183" i="1"/>
  <c r="I183" i="1" s="1"/>
  <c r="K183" i="1" s="1"/>
  <c r="M183" i="1" s="1"/>
  <c r="O183" i="1" s="1"/>
  <c r="Q183" i="1" s="1"/>
  <c r="S183" i="1" s="1"/>
  <c r="U183" i="1" s="1"/>
  <c r="W183" i="1" s="1"/>
  <c r="Y183" i="1" s="1"/>
  <c r="G1818" i="1"/>
  <c r="I1818" i="1" s="1"/>
  <c r="K1818" i="1" s="1"/>
  <c r="M1818" i="1" s="1"/>
  <c r="O1818" i="1" s="1"/>
  <c r="Q1818" i="1" s="1"/>
  <c r="S1818" i="1" s="1"/>
  <c r="U1818" i="1" s="1"/>
  <c r="W1818" i="1" s="1"/>
  <c r="Y1818" i="1" s="1"/>
  <c r="E1817" i="1"/>
  <c r="G1817" i="1" s="1"/>
  <c r="I1817" i="1" s="1"/>
  <c r="K1817" i="1" s="1"/>
  <c r="M1817" i="1" s="1"/>
  <c r="O1817" i="1" s="1"/>
  <c r="Q1817" i="1" s="1"/>
  <c r="S1817" i="1" s="1"/>
  <c r="U1817" i="1" s="1"/>
  <c r="W1817" i="1" s="1"/>
  <c r="Y1817" i="1" s="1"/>
  <c r="E130" i="1"/>
  <c r="G130" i="1" s="1"/>
  <c r="I130" i="1" s="1"/>
  <c r="K130" i="1" s="1"/>
  <c r="M130" i="1" s="1"/>
  <c r="O130" i="1" s="1"/>
  <c r="Q130" i="1" s="1"/>
  <c r="S130" i="1" s="1"/>
  <c r="U130" i="1" s="1"/>
  <c r="W130" i="1" s="1"/>
  <c r="Y130" i="1" s="1"/>
  <c r="G137" i="1"/>
  <c r="I137" i="1" s="1"/>
  <c r="K137" i="1" s="1"/>
  <c r="M137" i="1" s="1"/>
  <c r="O137" i="1" s="1"/>
  <c r="Q137" i="1" s="1"/>
  <c r="S137" i="1" s="1"/>
  <c r="U137" i="1" s="1"/>
  <c r="W137" i="1" s="1"/>
  <c r="Y137" i="1" s="1"/>
  <c r="E1655" i="1"/>
  <c r="G1659" i="1"/>
  <c r="I1659" i="1" s="1"/>
  <c r="K1659" i="1" s="1"/>
  <c r="M1659" i="1" s="1"/>
  <c r="O1659" i="1" s="1"/>
  <c r="Q1659" i="1" s="1"/>
  <c r="S1659" i="1" s="1"/>
  <c r="U1659" i="1" s="1"/>
  <c r="W1659" i="1" s="1"/>
  <c r="Y1659" i="1" s="1"/>
  <c r="E1794" i="1"/>
  <c r="G1794" i="1" s="1"/>
  <c r="I1794" i="1" s="1"/>
  <c r="K1794" i="1" s="1"/>
  <c r="M1794" i="1" s="1"/>
  <c r="O1794" i="1" s="1"/>
  <c r="Q1794" i="1" s="1"/>
  <c r="S1794" i="1" s="1"/>
  <c r="U1794" i="1" s="1"/>
  <c r="W1794" i="1" s="1"/>
  <c r="Y1794" i="1" s="1"/>
  <c r="G1795" i="1"/>
  <c r="I1795" i="1" s="1"/>
  <c r="K1795" i="1" s="1"/>
  <c r="M1795" i="1" s="1"/>
  <c r="O1795" i="1" s="1"/>
  <c r="Q1795" i="1" s="1"/>
  <c r="S1795" i="1" s="1"/>
  <c r="U1795" i="1" s="1"/>
  <c r="W1795" i="1" s="1"/>
  <c r="Y1795" i="1" s="1"/>
  <c r="E1800" i="1"/>
  <c r="G1801" i="1"/>
  <c r="I1801" i="1" s="1"/>
  <c r="K1801" i="1" s="1"/>
  <c r="M1801" i="1" s="1"/>
  <c r="O1801" i="1" s="1"/>
  <c r="Q1801" i="1" s="1"/>
  <c r="S1801" i="1" s="1"/>
  <c r="U1801" i="1" s="1"/>
  <c r="W1801" i="1" s="1"/>
  <c r="Y1801" i="1" s="1"/>
  <c r="E886" i="1"/>
  <c r="G887" i="1"/>
  <c r="I887" i="1" s="1"/>
  <c r="K887" i="1" s="1"/>
  <c r="M887" i="1" s="1"/>
  <c r="O887" i="1" s="1"/>
  <c r="Q887" i="1" s="1"/>
  <c r="S887" i="1" s="1"/>
  <c r="U887" i="1" s="1"/>
  <c r="W887" i="1" s="1"/>
  <c r="Y887" i="1" s="1"/>
  <c r="E17" i="1"/>
  <c r="G21" i="1"/>
  <c r="I21" i="1" s="1"/>
  <c r="K21" i="1" s="1"/>
  <c r="M21" i="1" s="1"/>
  <c r="O21" i="1" s="1"/>
  <c r="Q21" i="1" s="1"/>
  <c r="S21" i="1" s="1"/>
  <c r="U21" i="1" s="1"/>
  <c r="W21" i="1" s="1"/>
  <c r="Y21" i="1" s="1"/>
  <c r="E1704" i="1"/>
  <c r="G1715" i="1"/>
  <c r="I1715" i="1" s="1"/>
  <c r="K1715" i="1" s="1"/>
  <c r="M1715" i="1" s="1"/>
  <c r="O1715" i="1" s="1"/>
  <c r="Q1715" i="1" s="1"/>
  <c r="S1715" i="1" s="1"/>
  <c r="U1715" i="1" s="1"/>
  <c r="W1715" i="1" s="1"/>
  <c r="Y1715" i="1" s="1"/>
  <c r="E60" i="1"/>
  <c r="G67" i="1"/>
  <c r="I67" i="1" s="1"/>
  <c r="K67" i="1" s="1"/>
  <c r="M67" i="1" s="1"/>
  <c r="O67" i="1" s="1"/>
  <c r="Q67" i="1" s="1"/>
  <c r="S67" i="1" s="1"/>
  <c r="U67" i="1" s="1"/>
  <c r="W67" i="1" s="1"/>
  <c r="Y67" i="1" s="1"/>
  <c r="E158" i="1"/>
  <c r="G165" i="1"/>
  <c r="I165" i="1" s="1"/>
  <c r="K165" i="1" s="1"/>
  <c r="M165" i="1" s="1"/>
  <c r="O165" i="1" s="1"/>
  <c r="Q165" i="1" s="1"/>
  <c r="S165" i="1" s="1"/>
  <c r="U165" i="1" s="1"/>
  <c r="W165" i="1" s="1"/>
  <c r="Y165" i="1" s="1"/>
  <c r="E296" i="1"/>
  <c r="G303" i="1"/>
  <c r="I303" i="1" s="1"/>
  <c r="K303" i="1" s="1"/>
  <c r="M303" i="1" s="1"/>
  <c r="O303" i="1" s="1"/>
  <c r="Q303" i="1" s="1"/>
  <c r="S303" i="1" s="1"/>
  <c r="U303" i="1" s="1"/>
  <c r="W303" i="1" s="1"/>
  <c r="Y303" i="1" s="1"/>
  <c r="E28" i="1"/>
  <c r="G35" i="1"/>
  <c r="I35" i="1" s="1"/>
  <c r="K35" i="1" s="1"/>
  <c r="M35" i="1" s="1"/>
  <c r="O35" i="1" s="1"/>
  <c r="Q35" i="1" s="1"/>
  <c r="S35" i="1" s="1"/>
  <c r="U35" i="1" s="1"/>
  <c r="W35" i="1" s="1"/>
  <c r="Y35" i="1" s="1"/>
  <c r="E116" i="1"/>
  <c r="G120" i="1"/>
  <c r="I120" i="1" s="1"/>
  <c r="K120" i="1" s="1"/>
  <c r="M120" i="1" s="1"/>
  <c r="O120" i="1" s="1"/>
  <c r="Q120" i="1" s="1"/>
  <c r="S120" i="1" s="1"/>
  <c r="U120" i="1" s="1"/>
  <c r="W120" i="1" s="1"/>
  <c r="Y120" i="1" s="1"/>
  <c r="E45" i="1"/>
  <c r="G46" i="1"/>
  <c r="I46" i="1" s="1"/>
  <c r="K46" i="1" s="1"/>
  <c r="M46" i="1" s="1"/>
  <c r="O46" i="1" s="1"/>
  <c r="Q46" i="1" s="1"/>
  <c r="S46" i="1" s="1"/>
  <c r="U46" i="1" s="1"/>
  <c r="W46" i="1" s="1"/>
  <c r="Y46" i="1" s="1"/>
  <c r="E1694" i="1"/>
  <c r="G1694" i="1" s="1"/>
  <c r="I1694" i="1" s="1"/>
  <c r="K1694" i="1" s="1"/>
  <c r="M1694" i="1" s="1"/>
  <c r="O1694" i="1" s="1"/>
  <c r="Q1694" i="1" s="1"/>
  <c r="S1694" i="1" s="1"/>
  <c r="U1694" i="1" s="1"/>
  <c r="W1694" i="1" s="1"/>
  <c r="Y1694" i="1" s="1"/>
  <c r="G1695" i="1"/>
  <c r="I1695" i="1" s="1"/>
  <c r="K1695" i="1" s="1"/>
  <c r="M1695" i="1" s="1"/>
  <c r="O1695" i="1" s="1"/>
  <c r="Q1695" i="1" s="1"/>
  <c r="S1695" i="1" s="1"/>
  <c r="U1695" i="1" s="1"/>
  <c r="W1695" i="1" s="1"/>
  <c r="Y1695" i="1" s="1"/>
  <c r="E1754" i="1"/>
  <c r="G1755" i="1"/>
  <c r="I1755" i="1" s="1"/>
  <c r="K1755" i="1" s="1"/>
  <c r="M1755" i="1" s="1"/>
  <c r="O1755" i="1" s="1"/>
  <c r="Q1755" i="1" s="1"/>
  <c r="S1755" i="1" s="1"/>
  <c r="U1755" i="1" s="1"/>
  <c r="W1755" i="1" s="1"/>
  <c r="Y1755" i="1" s="1"/>
  <c r="E342" i="1"/>
  <c r="G342" i="1" s="1"/>
  <c r="I342" i="1" s="1"/>
  <c r="K342" i="1" s="1"/>
  <c r="M342" i="1" s="1"/>
  <c r="O342" i="1" s="1"/>
  <c r="Q342" i="1" s="1"/>
  <c r="S342" i="1" s="1"/>
  <c r="U342" i="1" s="1"/>
  <c r="W342" i="1" s="1"/>
  <c r="Y342" i="1" s="1"/>
  <c r="G1548" i="1"/>
  <c r="I1548" i="1" s="1"/>
  <c r="K1548" i="1" s="1"/>
  <c r="M1548" i="1" s="1"/>
  <c r="O1548" i="1" s="1"/>
  <c r="Q1548" i="1" s="1"/>
  <c r="S1548" i="1" s="1"/>
  <c r="U1548" i="1" s="1"/>
  <c r="W1548" i="1" s="1"/>
  <c r="Y1548" i="1" s="1"/>
  <c r="E1466" i="1"/>
  <c r="G1466" i="1" s="1"/>
  <c r="I1466" i="1" s="1"/>
  <c r="K1466" i="1" s="1"/>
  <c r="M1466" i="1" s="1"/>
  <c r="O1466" i="1" s="1"/>
  <c r="Q1466" i="1" s="1"/>
  <c r="S1466" i="1" s="1"/>
  <c r="U1466" i="1" s="1"/>
  <c r="W1466" i="1" s="1"/>
  <c r="Y1466" i="1" s="1"/>
  <c r="E1760" i="1"/>
  <c r="G1201" i="1"/>
  <c r="I1201" i="1" s="1"/>
  <c r="K1201" i="1" s="1"/>
  <c r="M1201" i="1" s="1"/>
  <c r="O1201" i="1" s="1"/>
  <c r="Q1201" i="1" s="1"/>
  <c r="S1201" i="1" s="1"/>
  <c r="U1201" i="1" s="1"/>
  <c r="W1201" i="1" s="1"/>
  <c r="Y1201" i="1" s="1"/>
  <c r="O304" i="1" l="1"/>
  <c r="Q304" i="1" s="1"/>
  <c r="S304" i="1" s="1"/>
  <c r="U304" i="1" s="1"/>
  <c r="W304" i="1" s="1"/>
  <c r="Y304" i="1" s="1"/>
  <c r="AA304" i="1" s="1"/>
  <c r="O22" i="1"/>
  <c r="Q22" i="1" s="1"/>
  <c r="S22" i="1" s="1"/>
  <c r="U22" i="1" s="1"/>
  <c r="W22" i="1" s="1"/>
  <c r="Y22" i="1" s="1"/>
  <c r="AA22" i="1" s="1"/>
  <c r="O47" i="1"/>
  <c r="Q47" i="1" s="1"/>
  <c r="S47" i="1" s="1"/>
  <c r="U47" i="1" s="1"/>
  <c r="W47" i="1" s="1"/>
  <c r="Y47" i="1" s="1"/>
  <c r="AA47" i="1" s="1"/>
  <c r="O166" i="1"/>
  <c r="Q166" i="1" s="1"/>
  <c r="S166" i="1" s="1"/>
  <c r="U166" i="1" s="1"/>
  <c r="W166" i="1" s="1"/>
  <c r="Y166" i="1" s="1"/>
  <c r="AA166" i="1" s="1"/>
  <c r="O1660" i="1"/>
  <c r="Q1660" i="1" s="1"/>
  <c r="S1660" i="1" s="1"/>
  <c r="U1660" i="1" s="1"/>
  <c r="W1660" i="1" s="1"/>
  <c r="Y1660" i="1" s="1"/>
  <c r="AA1660" i="1" s="1"/>
  <c r="O121" i="1"/>
  <c r="Q121" i="1" s="1"/>
  <c r="S121" i="1" s="1"/>
  <c r="U121" i="1" s="1"/>
  <c r="W121" i="1" s="1"/>
  <c r="Y121" i="1" s="1"/>
  <c r="AA121" i="1" s="1"/>
  <c r="O68" i="1"/>
  <c r="Q68" i="1" s="1"/>
  <c r="S68" i="1" s="1"/>
  <c r="U68" i="1" s="1"/>
  <c r="W68" i="1" s="1"/>
  <c r="Y68" i="1" s="1"/>
  <c r="AA68" i="1" s="1"/>
  <c r="O138" i="1"/>
  <c r="Q138" i="1" s="1"/>
  <c r="S138" i="1" s="1"/>
  <c r="U138" i="1" s="1"/>
  <c r="W138" i="1" s="1"/>
  <c r="Y138" i="1" s="1"/>
  <c r="AA138" i="1" s="1"/>
  <c r="O36" i="1"/>
  <c r="Q36" i="1" s="1"/>
  <c r="S36" i="1" s="1"/>
  <c r="U36" i="1" s="1"/>
  <c r="W36" i="1" s="1"/>
  <c r="Y36" i="1" s="1"/>
  <c r="AA36" i="1" s="1"/>
  <c r="O1716" i="1"/>
  <c r="Q1716" i="1" s="1"/>
  <c r="S1716" i="1" s="1"/>
  <c r="U1716" i="1" s="1"/>
  <c r="W1716" i="1" s="1"/>
  <c r="Y1716" i="1" s="1"/>
  <c r="AA1716" i="1" s="1"/>
  <c r="O184" i="1"/>
  <c r="Q184" i="1" s="1"/>
  <c r="S184" i="1" s="1"/>
  <c r="U184" i="1" s="1"/>
  <c r="W184" i="1" s="1"/>
  <c r="Y184" i="1" s="1"/>
  <c r="AA184" i="1" s="1"/>
  <c r="E1734" i="1"/>
  <c r="G1734" i="1" s="1"/>
  <c r="I1734" i="1" s="1"/>
  <c r="K1734" i="1" s="1"/>
  <c r="M1734" i="1" s="1"/>
  <c r="O1734" i="1" s="1"/>
  <c r="Q1734" i="1" s="1"/>
  <c r="S1734" i="1" s="1"/>
  <c r="U1734" i="1" s="1"/>
  <c r="W1734" i="1" s="1"/>
  <c r="Y1734" i="1" s="1"/>
  <c r="E1828" i="1"/>
  <c r="E1827" i="1" s="1"/>
  <c r="G1827" i="1" s="1"/>
  <c r="I1827" i="1" s="1"/>
  <c r="K1827" i="1" s="1"/>
  <c r="M1827" i="1" s="1"/>
  <c r="O1827" i="1" s="1"/>
  <c r="Q1827" i="1" s="1"/>
  <c r="S1827" i="1" s="1"/>
  <c r="U1827" i="1" s="1"/>
  <c r="W1827" i="1" s="1"/>
  <c r="Y1827" i="1" s="1"/>
  <c r="E44" i="1"/>
  <c r="G45" i="1"/>
  <c r="I45" i="1" s="1"/>
  <c r="K45" i="1" s="1"/>
  <c r="M45" i="1" s="1"/>
  <c r="O45" i="1" s="1"/>
  <c r="Q45" i="1" s="1"/>
  <c r="S45" i="1" s="1"/>
  <c r="U45" i="1" s="1"/>
  <c r="W45" i="1" s="1"/>
  <c r="Y45" i="1" s="1"/>
  <c r="E27" i="1"/>
  <c r="G27" i="1" s="1"/>
  <c r="I27" i="1" s="1"/>
  <c r="K27" i="1" s="1"/>
  <c r="M27" i="1" s="1"/>
  <c r="O27" i="1" s="1"/>
  <c r="Q27" i="1" s="1"/>
  <c r="S27" i="1" s="1"/>
  <c r="U27" i="1" s="1"/>
  <c r="W27" i="1" s="1"/>
  <c r="Y27" i="1" s="1"/>
  <c r="G28" i="1"/>
  <c r="I28" i="1" s="1"/>
  <c r="K28" i="1" s="1"/>
  <c r="M28" i="1" s="1"/>
  <c r="O28" i="1" s="1"/>
  <c r="Q28" i="1" s="1"/>
  <c r="S28" i="1" s="1"/>
  <c r="U28" i="1" s="1"/>
  <c r="W28" i="1" s="1"/>
  <c r="Y28" i="1" s="1"/>
  <c r="E155" i="1"/>
  <c r="G158" i="1"/>
  <c r="I158" i="1" s="1"/>
  <c r="K158" i="1" s="1"/>
  <c r="M158" i="1" s="1"/>
  <c r="O158" i="1" s="1"/>
  <c r="Q158" i="1" s="1"/>
  <c r="S158" i="1" s="1"/>
  <c r="U158" i="1" s="1"/>
  <c r="W158" i="1" s="1"/>
  <c r="Y158" i="1" s="1"/>
  <c r="E1700" i="1"/>
  <c r="G1704" i="1"/>
  <c r="I1704" i="1" s="1"/>
  <c r="K1704" i="1" s="1"/>
  <c r="M1704" i="1" s="1"/>
  <c r="O1704" i="1" s="1"/>
  <c r="Q1704" i="1" s="1"/>
  <c r="S1704" i="1" s="1"/>
  <c r="U1704" i="1" s="1"/>
  <c r="W1704" i="1" s="1"/>
  <c r="Y1704" i="1" s="1"/>
  <c r="G1800" i="1"/>
  <c r="I1800" i="1" s="1"/>
  <c r="K1800" i="1" s="1"/>
  <c r="M1800" i="1" s="1"/>
  <c r="O1800" i="1" s="1"/>
  <c r="Q1800" i="1" s="1"/>
  <c r="S1800" i="1" s="1"/>
  <c r="U1800" i="1" s="1"/>
  <c r="W1800" i="1" s="1"/>
  <c r="Y1800" i="1" s="1"/>
  <c r="E1799" i="1"/>
  <c r="G1799" i="1" s="1"/>
  <c r="I1799" i="1" s="1"/>
  <c r="K1799" i="1" s="1"/>
  <c r="M1799" i="1" s="1"/>
  <c r="O1799" i="1" s="1"/>
  <c r="Q1799" i="1" s="1"/>
  <c r="S1799" i="1" s="1"/>
  <c r="U1799" i="1" s="1"/>
  <c r="W1799" i="1" s="1"/>
  <c r="Y1799" i="1" s="1"/>
  <c r="E1654" i="1"/>
  <c r="G1655" i="1"/>
  <c r="I1655" i="1" s="1"/>
  <c r="K1655" i="1" s="1"/>
  <c r="M1655" i="1" s="1"/>
  <c r="O1655" i="1" s="1"/>
  <c r="Q1655" i="1" s="1"/>
  <c r="S1655" i="1" s="1"/>
  <c r="U1655" i="1" s="1"/>
  <c r="W1655" i="1" s="1"/>
  <c r="Y1655" i="1" s="1"/>
  <c r="E1862" i="1"/>
  <c r="G1862" i="1" s="1"/>
  <c r="G1863" i="1"/>
  <c r="I1863" i="1" s="1"/>
  <c r="K1863" i="1" s="1"/>
  <c r="M1863" i="1" s="1"/>
  <c r="O1863" i="1" s="1"/>
  <c r="Q1863" i="1" s="1"/>
  <c r="S1863" i="1" s="1"/>
  <c r="U1863" i="1" s="1"/>
  <c r="W1863" i="1" s="1"/>
  <c r="Y1863" i="1" s="1"/>
  <c r="E115" i="1"/>
  <c r="G116" i="1"/>
  <c r="I116" i="1" s="1"/>
  <c r="K116" i="1" s="1"/>
  <c r="M116" i="1" s="1"/>
  <c r="O116" i="1" s="1"/>
  <c r="Q116" i="1" s="1"/>
  <c r="S116" i="1" s="1"/>
  <c r="U116" i="1" s="1"/>
  <c r="W116" i="1" s="1"/>
  <c r="Y116" i="1" s="1"/>
  <c r="E290" i="1"/>
  <c r="G296" i="1"/>
  <c r="I296" i="1" s="1"/>
  <c r="K296" i="1" s="1"/>
  <c r="M296" i="1" s="1"/>
  <c r="O296" i="1" s="1"/>
  <c r="Q296" i="1" s="1"/>
  <c r="S296" i="1" s="1"/>
  <c r="U296" i="1" s="1"/>
  <c r="W296" i="1" s="1"/>
  <c r="Y296" i="1" s="1"/>
  <c r="G60" i="1"/>
  <c r="I60" i="1" s="1"/>
  <c r="K60" i="1" s="1"/>
  <c r="M60" i="1" s="1"/>
  <c r="O60" i="1" s="1"/>
  <c r="Q60" i="1" s="1"/>
  <c r="S60" i="1" s="1"/>
  <c r="U60" i="1" s="1"/>
  <c r="W60" i="1" s="1"/>
  <c r="Y60" i="1" s="1"/>
  <c r="E59" i="1"/>
  <c r="E16" i="1"/>
  <c r="G16" i="1" s="1"/>
  <c r="I16" i="1" s="1"/>
  <c r="K16" i="1" s="1"/>
  <c r="M16" i="1" s="1"/>
  <c r="O16" i="1" s="1"/>
  <c r="Q16" i="1" s="1"/>
  <c r="S16" i="1" s="1"/>
  <c r="U16" i="1" s="1"/>
  <c r="W16" i="1" s="1"/>
  <c r="Y16" i="1" s="1"/>
  <c r="G17" i="1"/>
  <c r="I17" i="1" s="1"/>
  <c r="K17" i="1" s="1"/>
  <c r="M17" i="1" s="1"/>
  <c r="O17" i="1" s="1"/>
  <c r="Q17" i="1" s="1"/>
  <c r="S17" i="1" s="1"/>
  <c r="U17" i="1" s="1"/>
  <c r="W17" i="1" s="1"/>
  <c r="Y17" i="1" s="1"/>
  <c r="E885" i="1"/>
  <c r="G886" i="1"/>
  <c r="I886" i="1" s="1"/>
  <c r="K886" i="1" s="1"/>
  <c r="M886" i="1" s="1"/>
  <c r="O886" i="1" s="1"/>
  <c r="Q886" i="1" s="1"/>
  <c r="S886" i="1" s="1"/>
  <c r="U886" i="1" s="1"/>
  <c r="W886" i="1" s="1"/>
  <c r="Y886" i="1" s="1"/>
  <c r="E178" i="1"/>
  <c r="G178" i="1" s="1"/>
  <c r="I178" i="1" s="1"/>
  <c r="K178" i="1" s="1"/>
  <c r="M178" i="1" s="1"/>
  <c r="O178" i="1" s="1"/>
  <c r="Q178" i="1" s="1"/>
  <c r="S178" i="1" s="1"/>
  <c r="U178" i="1" s="1"/>
  <c r="W178" i="1" s="1"/>
  <c r="Y178" i="1" s="1"/>
  <c r="G179" i="1"/>
  <c r="I179" i="1" s="1"/>
  <c r="K179" i="1" s="1"/>
  <c r="M179" i="1" s="1"/>
  <c r="O179" i="1" s="1"/>
  <c r="Q179" i="1" s="1"/>
  <c r="S179" i="1" s="1"/>
  <c r="U179" i="1" s="1"/>
  <c r="W179" i="1" s="1"/>
  <c r="Y179" i="1" s="1"/>
  <c r="E1117" i="1"/>
  <c r="G1118" i="1"/>
  <c r="I1118" i="1" s="1"/>
  <c r="K1118" i="1" s="1"/>
  <c r="M1118" i="1" s="1"/>
  <c r="O1118" i="1" s="1"/>
  <c r="Q1118" i="1" s="1"/>
  <c r="S1118" i="1" s="1"/>
  <c r="U1118" i="1" s="1"/>
  <c r="W1118" i="1" s="1"/>
  <c r="Y1118" i="1" s="1"/>
  <c r="E213" i="1"/>
  <c r="G220" i="1"/>
  <c r="I220" i="1" s="1"/>
  <c r="K220" i="1" s="1"/>
  <c r="M220" i="1" s="1"/>
  <c r="O220" i="1" s="1"/>
  <c r="Q220" i="1" s="1"/>
  <c r="S220" i="1" s="1"/>
  <c r="U220" i="1" s="1"/>
  <c r="W220" i="1" s="1"/>
  <c r="Y220" i="1" s="1"/>
  <c r="E1759" i="1"/>
  <c r="G1759" i="1" s="1"/>
  <c r="I1759" i="1" s="1"/>
  <c r="K1759" i="1" s="1"/>
  <c r="M1759" i="1" s="1"/>
  <c r="O1759" i="1" s="1"/>
  <c r="Q1759" i="1" s="1"/>
  <c r="S1759" i="1" s="1"/>
  <c r="U1759" i="1" s="1"/>
  <c r="W1759" i="1" s="1"/>
  <c r="Y1759" i="1" s="1"/>
  <c r="G1760" i="1"/>
  <c r="I1760" i="1" s="1"/>
  <c r="K1760" i="1" s="1"/>
  <c r="M1760" i="1" s="1"/>
  <c r="O1760" i="1" s="1"/>
  <c r="Q1760" i="1" s="1"/>
  <c r="S1760" i="1" s="1"/>
  <c r="U1760" i="1" s="1"/>
  <c r="W1760" i="1" s="1"/>
  <c r="Y1760" i="1" s="1"/>
  <c r="E1753" i="1"/>
  <c r="G1754" i="1"/>
  <c r="I1754" i="1" s="1"/>
  <c r="K1754" i="1" s="1"/>
  <c r="M1754" i="1" s="1"/>
  <c r="O1754" i="1" s="1"/>
  <c r="Q1754" i="1" s="1"/>
  <c r="S1754" i="1" s="1"/>
  <c r="U1754" i="1" s="1"/>
  <c r="W1754" i="1" s="1"/>
  <c r="Y1754" i="1" s="1"/>
  <c r="E1200" i="1"/>
  <c r="G1200" i="1" s="1"/>
  <c r="I1200" i="1" s="1"/>
  <c r="K1200" i="1" s="1"/>
  <c r="M1200" i="1" s="1"/>
  <c r="O1200" i="1" s="1"/>
  <c r="Q1200" i="1" s="1"/>
  <c r="S1200" i="1" s="1"/>
  <c r="U1200" i="1" s="1"/>
  <c r="W1200" i="1" s="1"/>
  <c r="Y1200" i="1" s="1"/>
  <c r="AA1870" i="1" l="1"/>
  <c r="G1828" i="1"/>
  <c r="I1828" i="1" s="1"/>
  <c r="K1828" i="1" s="1"/>
  <c r="M1828" i="1" s="1"/>
  <c r="O1828" i="1" s="1"/>
  <c r="Q1828" i="1" s="1"/>
  <c r="S1828" i="1" s="1"/>
  <c r="U1828" i="1" s="1"/>
  <c r="W1828" i="1" s="1"/>
  <c r="Y1828" i="1" s="1"/>
  <c r="I1862" i="1"/>
  <c r="K1862" i="1" s="1"/>
  <c r="M1862" i="1" s="1"/>
  <c r="O1862" i="1" s="1"/>
  <c r="Q1862" i="1" s="1"/>
  <c r="S1862" i="1" s="1"/>
  <c r="U1862" i="1" s="1"/>
  <c r="W1862" i="1" s="1"/>
  <c r="Y1862" i="1" s="1"/>
  <c r="E212" i="1"/>
  <c r="G212" i="1" s="1"/>
  <c r="I212" i="1" s="1"/>
  <c r="K212" i="1" s="1"/>
  <c r="M212" i="1" s="1"/>
  <c r="O212" i="1" s="1"/>
  <c r="Q212" i="1" s="1"/>
  <c r="S212" i="1" s="1"/>
  <c r="U212" i="1" s="1"/>
  <c r="W212" i="1" s="1"/>
  <c r="Y212" i="1" s="1"/>
  <c r="G213" i="1"/>
  <c r="I213" i="1" s="1"/>
  <c r="K213" i="1" s="1"/>
  <c r="M213" i="1" s="1"/>
  <c r="O213" i="1" s="1"/>
  <c r="Q213" i="1" s="1"/>
  <c r="S213" i="1" s="1"/>
  <c r="U213" i="1" s="1"/>
  <c r="W213" i="1" s="1"/>
  <c r="Y213" i="1" s="1"/>
  <c r="E289" i="1"/>
  <c r="G290" i="1"/>
  <c r="I290" i="1" s="1"/>
  <c r="K290" i="1" s="1"/>
  <c r="M290" i="1" s="1"/>
  <c r="O290" i="1" s="1"/>
  <c r="Q290" i="1" s="1"/>
  <c r="S290" i="1" s="1"/>
  <c r="U290" i="1" s="1"/>
  <c r="W290" i="1" s="1"/>
  <c r="Y290" i="1" s="1"/>
  <c r="G1700" i="1"/>
  <c r="I1700" i="1" s="1"/>
  <c r="K1700" i="1" s="1"/>
  <c r="M1700" i="1" s="1"/>
  <c r="O1700" i="1" s="1"/>
  <c r="Q1700" i="1" s="1"/>
  <c r="S1700" i="1" s="1"/>
  <c r="U1700" i="1" s="1"/>
  <c r="W1700" i="1" s="1"/>
  <c r="Y1700" i="1" s="1"/>
  <c r="E1699" i="1"/>
  <c r="G1699" i="1" s="1"/>
  <c r="I1699" i="1" s="1"/>
  <c r="K1699" i="1" s="1"/>
  <c r="M1699" i="1" s="1"/>
  <c r="O1699" i="1" s="1"/>
  <c r="Q1699" i="1" s="1"/>
  <c r="S1699" i="1" s="1"/>
  <c r="U1699" i="1" s="1"/>
  <c r="W1699" i="1" s="1"/>
  <c r="Y1699" i="1" s="1"/>
  <c r="E58" i="1"/>
  <c r="G59" i="1"/>
  <c r="I59" i="1" s="1"/>
  <c r="K59" i="1" s="1"/>
  <c r="M59" i="1" s="1"/>
  <c r="O59" i="1" s="1"/>
  <c r="Q59" i="1" s="1"/>
  <c r="S59" i="1" s="1"/>
  <c r="U59" i="1" s="1"/>
  <c r="W59" i="1" s="1"/>
  <c r="Y59" i="1" s="1"/>
  <c r="E975" i="1"/>
  <c r="G975" i="1" s="1"/>
  <c r="I975" i="1" s="1"/>
  <c r="K975" i="1" s="1"/>
  <c r="M975" i="1" s="1"/>
  <c r="O975" i="1" s="1"/>
  <c r="Q975" i="1" s="1"/>
  <c r="S975" i="1" s="1"/>
  <c r="U975" i="1" s="1"/>
  <c r="W975" i="1" s="1"/>
  <c r="Y975" i="1" s="1"/>
  <c r="G1117" i="1"/>
  <c r="I1117" i="1" s="1"/>
  <c r="K1117" i="1" s="1"/>
  <c r="M1117" i="1" s="1"/>
  <c r="O1117" i="1" s="1"/>
  <c r="Q1117" i="1" s="1"/>
  <c r="S1117" i="1" s="1"/>
  <c r="U1117" i="1" s="1"/>
  <c r="W1117" i="1" s="1"/>
  <c r="Y1117" i="1" s="1"/>
  <c r="G885" i="1"/>
  <c r="I885" i="1" s="1"/>
  <c r="K885" i="1" s="1"/>
  <c r="M885" i="1" s="1"/>
  <c r="O885" i="1" s="1"/>
  <c r="Q885" i="1" s="1"/>
  <c r="S885" i="1" s="1"/>
  <c r="U885" i="1" s="1"/>
  <c r="W885" i="1" s="1"/>
  <c r="Y885" i="1" s="1"/>
  <c r="G115" i="1"/>
  <c r="I115" i="1" s="1"/>
  <c r="K115" i="1" s="1"/>
  <c r="M115" i="1" s="1"/>
  <c r="O115" i="1" s="1"/>
  <c r="Q115" i="1" s="1"/>
  <c r="S115" i="1" s="1"/>
  <c r="U115" i="1" s="1"/>
  <c r="W115" i="1" s="1"/>
  <c r="Y115" i="1" s="1"/>
  <c r="E114" i="1"/>
  <c r="G114" i="1" s="1"/>
  <c r="I114" i="1" s="1"/>
  <c r="K114" i="1" s="1"/>
  <c r="M114" i="1" s="1"/>
  <c r="O114" i="1" s="1"/>
  <c r="Q114" i="1" s="1"/>
  <c r="S114" i="1" s="1"/>
  <c r="U114" i="1" s="1"/>
  <c r="W114" i="1" s="1"/>
  <c r="Y114" i="1" s="1"/>
  <c r="G1654" i="1"/>
  <c r="I1654" i="1" s="1"/>
  <c r="K1654" i="1" s="1"/>
  <c r="M1654" i="1" s="1"/>
  <c r="O1654" i="1" s="1"/>
  <c r="Q1654" i="1" s="1"/>
  <c r="S1654" i="1" s="1"/>
  <c r="U1654" i="1" s="1"/>
  <c r="W1654" i="1" s="1"/>
  <c r="Y1654" i="1" s="1"/>
  <c r="G155" i="1"/>
  <c r="I155" i="1" s="1"/>
  <c r="K155" i="1" s="1"/>
  <c r="M155" i="1" s="1"/>
  <c r="O155" i="1" s="1"/>
  <c r="Q155" i="1" s="1"/>
  <c r="S155" i="1" s="1"/>
  <c r="U155" i="1" s="1"/>
  <c r="W155" i="1" s="1"/>
  <c r="Y155" i="1" s="1"/>
  <c r="E43" i="1"/>
  <c r="G43" i="1" s="1"/>
  <c r="I43" i="1" s="1"/>
  <c r="K43" i="1" s="1"/>
  <c r="M43" i="1" s="1"/>
  <c r="O43" i="1" s="1"/>
  <c r="Q43" i="1" s="1"/>
  <c r="S43" i="1" s="1"/>
  <c r="U43" i="1" s="1"/>
  <c r="W43" i="1" s="1"/>
  <c r="Y43" i="1" s="1"/>
  <c r="G44" i="1"/>
  <c r="I44" i="1" s="1"/>
  <c r="K44" i="1" s="1"/>
  <c r="M44" i="1" s="1"/>
  <c r="O44" i="1" s="1"/>
  <c r="Q44" i="1" s="1"/>
  <c r="S44" i="1" s="1"/>
  <c r="U44" i="1" s="1"/>
  <c r="W44" i="1" s="1"/>
  <c r="Y44" i="1" s="1"/>
  <c r="G1753" i="1"/>
  <c r="I1753" i="1" s="1"/>
  <c r="K1753" i="1" s="1"/>
  <c r="M1753" i="1" s="1"/>
  <c r="O1753" i="1" s="1"/>
  <c r="Q1753" i="1" s="1"/>
  <c r="S1753" i="1" s="1"/>
  <c r="U1753" i="1" s="1"/>
  <c r="W1753" i="1" s="1"/>
  <c r="Y1753" i="1" s="1"/>
  <c r="E1752" i="1"/>
  <c r="E147" i="1" l="1"/>
  <c r="G147" i="1" s="1"/>
  <c r="I147" i="1" s="1"/>
  <c r="K147" i="1" s="1"/>
  <c r="M147" i="1" s="1"/>
  <c r="O147" i="1" s="1"/>
  <c r="Q147" i="1" s="1"/>
  <c r="S147" i="1" s="1"/>
  <c r="U147" i="1" s="1"/>
  <c r="W147" i="1" s="1"/>
  <c r="Y147" i="1" s="1"/>
  <c r="E1653" i="1"/>
  <c r="E1571" i="1" s="1"/>
  <c r="G1571" i="1" s="1"/>
  <c r="I1571" i="1" s="1"/>
  <c r="K1571" i="1" s="1"/>
  <c r="M1571" i="1" s="1"/>
  <c r="O1571" i="1" s="1"/>
  <c r="Q1571" i="1" s="1"/>
  <c r="S1571" i="1" s="1"/>
  <c r="U1571" i="1" s="1"/>
  <c r="W1571" i="1" s="1"/>
  <c r="Y1571" i="1" s="1"/>
  <c r="E884" i="1"/>
  <c r="G884" i="1" s="1"/>
  <c r="I884" i="1" s="1"/>
  <c r="K884" i="1" s="1"/>
  <c r="M884" i="1" s="1"/>
  <c r="O884" i="1" s="1"/>
  <c r="Q884" i="1" s="1"/>
  <c r="S884" i="1" s="1"/>
  <c r="U884" i="1" s="1"/>
  <c r="W884" i="1" s="1"/>
  <c r="Y884" i="1" s="1"/>
  <c r="E38" i="1"/>
  <c r="G58" i="1"/>
  <c r="I58" i="1" s="1"/>
  <c r="K58" i="1" s="1"/>
  <c r="M58" i="1" s="1"/>
  <c r="O58" i="1" s="1"/>
  <c r="Q58" i="1" s="1"/>
  <c r="S58" i="1" s="1"/>
  <c r="U58" i="1" s="1"/>
  <c r="W58" i="1" s="1"/>
  <c r="Y58" i="1" s="1"/>
  <c r="E288" i="1"/>
  <c r="G289" i="1"/>
  <c r="I289" i="1" s="1"/>
  <c r="K289" i="1" s="1"/>
  <c r="M289" i="1" s="1"/>
  <c r="O289" i="1" s="1"/>
  <c r="Q289" i="1" s="1"/>
  <c r="S289" i="1" s="1"/>
  <c r="U289" i="1" s="1"/>
  <c r="W289" i="1" s="1"/>
  <c r="Y289" i="1" s="1"/>
  <c r="G1752" i="1"/>
  <c r="I1752" i="1" l="1"/>
  <c r="K1752" i="1" s="1"/>
  <c r="M1752" i="1" s="1"/>
  <c r="O1752" i="1" s="1"/>
  <c r="Q1752" i="1" s="1"/>
  <c r="S1752" i="1" s="1"/>
  <c r="U1752" i="1" s="1"/>
  <c r="W1752" i="1" s="1"/>
  <c r="Y1752" i="1" s="1"/>
  <c r="G1653" i="1"/>
  <c r="I1653" i="1" s="1"/>
  <c r="K1653" i="1" s="1"/>
  <c r="M1653" i="1" s="1"/>
  <c r="O1653" i="1" s="1"/>
  <c r="Q1653" i="1" s="1"/>
  <c r="S1653" i="1" s="1"/>
  <c r="U1653" i="1" s="1"/>
  <c r="W1653" i="1" s="1"/>
  <c r="Y1653" i="1" s="1"/>
  <c r="G38" i="1"/>
  <c r="I38" i="1" s="1"/>
  <c r="K38" i="1" s="1"/>
  <c r="M38" i="1" s="1"/>
  <c r="O38" i="1" s="1"/>
  <c r="Q38" i="1" s="1"/>
  <c r="S38" i="1" s="1"/>
  <c r="U38" i="1" s="1"/>
  <c r="W38" i="1" s="1"/>
  <c r="Y38" i="1" s="1"/>
  <c r="E15" i="1"/>
  <c r="E272" i="1"/>
  <c r="G288" i="1"/>
  <c r="I288" i="1" s="1"/>
  <c r="K288" i="1" s="1"/>
  <c r="M288" i="1" s="1"/>
  <c r="O288" i="1" s="1"/>
  <c r="Q288" i="1" s="1"/>
  <c r="S288" i="1" s="1"/>
  <c r="U288" i="1" s="1"/>
  <c r="W288" i="1" s="1"/>
  <c r="Y288" i="1" s="1"/>
  <c r="G272" i="1" l="1"/>
  <c r="E1870" i="1"/>
  <c r="G15" i="1"/>
  <c r="I15" i="1" s="1"/>
  <c r="K15" i="1" s="1"/>
  <c r="M15" i="1" s="1"/>
  <c r="O15" i="1" s="1"/>
  <c r="Q15" i="1" s="1"/>
  <c r="S15" i="1" s="1"/>
  <c r="U15" i="1" s="1"/>
  <c r="W15" i="1" s="1"/>
  <c r="Y15" i="1" s="1"/>
  <c r="E1868" i="1"/>
  <c r="G1868" i="1" s="1"/>
  <c r="I1868" i="1" s="1"/>
  <c r="K1868" i="1" s="1"/>
  <c r="M1868" i="1" s="1"/>
  <c r="O1868" i="1" s="1"/>
  <c r="Q1868" i="1" s="1"/>
  <c r="S1868" i="1" s="1"/>
  <c r="U1868" i="1" s="1"/>
  <c r="W1868" i="1" s="1"/>
  <c r="Y1868" i="1" s="1"/>
  <c r="I272" i="1" l="1"/>
  <c r="G1870" i="1"/>
  <c r="I1870" i="1" l="1"/>
  <c r="K272" i="1"/>
  <c r="K1870" i="1" l="1"/>
  <c r="M272" i="1"/>
  <c r="M1870" i="1" l="1"/>
  <c r="O272" i="1"/>
  <c r="O1870" i="1" l="1"/>
  <c r="Q272" i="1"/>
  <c r="Q1870" i="1" l="1"/>
  <c r="S272" i="1"/>
  <c r="S1870" i="1" l="1"/>
  <c r="U272" i="1"/>
  <c r="U1870" i="1" l="1"/>
  <c r="W272" i="1"/>
  <c r="W1870" i="1" l="1"/>
  <c r="Y272" i="1"/>
  <c r="Y1870" i="1" s="1"/>
</calcChain>
</file>

<file path=xl/sharedStrings.xml><?xml version="1.0" encoding="utf-8"?>
<sst xmlns="http://schemas.openxmlformats.org/spreadsheetml/2006/main" count="6979" uniqueCount="1429">
  <si>
    <t>Название</t>
  </si>
  <si>
    <t>Целевая статья</t>
  </si>
  <si>
    <t/>
  </si>
  <si>
    <t>ИТОГО РАСХОДОВ</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</si>
  <si>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</si>
  <si>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</si>
  <si>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</si>
  <si>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</si>
  <si>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Непрограммные направления деятельности</t>
  </si>
  <si>
    <t>9900000000</t>
  </si>
  <si>
    <t>Глава муниципального образования</t>
  </si>
  <si>
    <t>9900060010</t>
  </si>
  <si>
    <t>121</t>
  </si>
  <si>
    <t>129</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</si>
  <si>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</si>
  <si>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</si>
  <si>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Содержание представительного органа муниципального округа - Совет депутатов муниципального образования «Муниципальный округ Завьяловский район Удмуртской Республики»</t>
  </si>
  <si>
    <t>9900060041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</si>
  <si>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</si>
  <si>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</si>
  <si>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0600000000</t>
  </si>
  <si>
    <t>Подпрограмма «Безопасное детство»</t>
  </si>
  <si>
    <t>0620000000</t>
  </si>
  <si>
    <t>Мероприятия, направленные на ранее выявление детского и семейного неблагополучия</t>
  </si>
  <si>
    <t>0620100000</t>
  </si>
  <si>
    <t>Создание и организация деятельности комиссий по делам несовершеннолетних и защите их прав</t>
  </si>
  <si>
    <t>0620104350</t>
  </si>
  <si>
    <t>Подпрограмма «Социальная поддержка и обеспечение жильем отдельных категорий граждан, формирование условий устойчивого развития доступной среды для инвалидов и других маломобильных групп населения»</t>
  </si>
  <si>
    <t>0630000000</t>
  </si>
  <si>
    <t>Организация обеспечения жильем льготных категорий граждан</t>
  </si>
  <si>
    <t>0630300000</t>
  </si>
  <si>
    <t>0630307860</t>
  </si>
  <si>
    <t>1400000000</t>
  </si>
  <si>
    <t>Подпрограмма «Совершенствование системы муниципального управления»</t>
  </si>
  <si>
    <t>1410000000</t>
  </si>
  <si>
    <t>Обеспечение деятельности муниципальных учреждений</t>
  </si>
  <si>
    <t>1410600000</t>
  </si>
  <si>
    <t>Оказание муниципальными учреждениями муниципальных услуг, выполнение работ, финансовое обеспечение деятельности муниципальных учреждений</t>
  </si>
  <si>
    <t>1410666770</t>
  </si>
  <si>
    <t>122</t>
  </si>
  <si>
    <t>242</t>
  </si>
  <si>
    <t>Работы, услуги по содержанию имущества</t>
  </si>
  <si>
    <t>244</t>
  </si>
  <si>
    <t>247</t>
  </si>
  <si>
    <t>851</t>
  </si>
  <si>
    <t>Уплата прочих налогов, сборов</t>
  </si>
  <si>
    <t>852</t>
  </si>
  <si>
    <t>Уплата иных платежей</t>
  </si>
  <si>
    <t>853</t>
  </si>
  <si>
    <t>Расходы на уплату земельного налога</t>
  </si>
  <si>
    <t>Обеспечение деятельности Администрации</t>
  </si>
  <si>
    <t>1410700000</t>
  </si>
  <si>
    <t>Центральный аппарат</t>
  </si>
  <si>
    <t>1410760030</t>
  </si>
  <si>
    <t>Судебная система</t>
  </si>
  <si>
    <t>0105</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</si>
  <si>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</si>
  <si>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9900051200</t>
  </si>
  <si>
    <t>Обеспечение деятельности финансовых, налоговых и таможенных органов и органов финансового (финансово-бюджетного) надзора</t>
  </si>
  <si>
    <t>0106</t>
  </si>
  <si>
    <t>0900000000</t>
  </si>
  <si>
    <t>Создание условий для реализации управления муниципальными финансами</t>
  </si>
  <si>
    <t>0900500000</t>
  </si>
  <si>
    <t>0900560030</t>
  </si>
  <si>
    <t>Контрольно-счетный орган муниципального образования</t>
  </si>
  <si>
    <t>9900060050</t>
  </si>
  <si>
    <t>Прочая закупка товаров, работ и услуг</t>
  </si>
  <si>
    <t>Резервные фонды</t>
  </si>
  <si>
    <t>0111</t>
  </si>
  <si>
    <t>Нормативно-методическое обеспечение и организация бюджетного процесса</t>
  </si>
  <si>
    <t>0900100000</t>
  </si>
  <si>
    <t>0900160080</t>
  </si>
  <si>
    <t>870</t>
  </si>
  <si>
    <t>Другие общегосударственные вопросы</t>
  </si>
  <si>
    <t>0113</t>
  </si>
  <si>
    <t>Муниципальная программа "Развитие образования"</t>
  </si>
  <si>
    <t>0100000000</t>
  </si>
  <si>
    <t>Подпрограмма «Создание условий для реализации муниципальной программы»</t>
  </si>
  <si>
    <t>0140000000</t>
  </si>
  <si>
    <t>Обеспечение деятельности службы материально-технического обеспечения</t>
  </si>
  <si>
    <t>0140200000</t>
  </si>
  <si>
    <t>612</t>
  </si>
  <si>
    <t>0140266770</t>
  </si>
  <si>
    <t>611</t>
  </si>
  <si>
    <t>Обеспечение деятельности централизованных бухгалтерий и прочих учреждений</t>
  </si>
  <si>
    <t>0900560120</t>
  </si>
  <si>
    <t>111</t>
  </si>
  <si>
    <t>Иные выплаты персоналу учреждений, за исключением фонда оплаты труда</t>
  </si>
  <si>
    <t>112</t>
  </si>
  <si>
    <t>119</t>
  </si>
  <si>
    <t>Повышение эффективности бюджетных расходов и повышение качества управления муниципальными финансами</t>
  </si>
  <si>
    <t>0900600000</t>
  </si>
  <si>
    <t>Муниципальная программа "Управление муниципальным имуществом"</t>
  </si>
  <si>
    <t>1000000000</t>
  </si>
  <si>
    <t>Реализация установленных полномочий (функций) в сфере имущественных и земельных отношений</t>
  </si>
  <si>
    <t>1000100000</t>
  </si>
  <si>
    <t>1000160030</t>
  </si>
  <si>
    <t>Мероприятия в области имущественных и земельных отношений</t>
  </si>
  <si>
    <t>1000200000</t>
  </si>
  <si>
    <t>Расходы на проведение кадастровых работ по формированию земельных участков, проведение работ по технической инвентаризации муниципального имущества,  по межеванию земельных участков, оценка недвижимости, признание прав и регулирование отношений в сфере управления государственной и муниципальной собственностью</t>
  </si>
  <si>
    <t>1000260090</t>
  </si>
  <si>
    <t>Субвенция на реализацию Закона Удмуртской Республики от 17 сентября 2007 года № 53-РЗ "Об административных комиссиях в Удмуртской Республике"</t>
  </si>
  <si>
    <t>9901000000</t>
  </si>
  <si>
    <t>Субвенция на реализацию Закона Удмуртской Республики от 17 сентября 2007 года № 53-РЗ «Об административных комиссиях в Удмуртской Республике»</t>
  </si>
  <si>
    <t>9901004510</t>
  </si>
  <si>
    <t>1200000000</t>
  </si>
  <si>
    <t>Подготовка документов территориального планирования, градостроительного зонирования, координатное описание границ населенных пунктов и территориальных зон, осуществление деятельности в области размещения объектов наружной рекламы</t>
  </si>
  <si>
    <t>1200100000</t>
  </si>
  <si>
    <t>Расходы на проведение мероприятий в области строительства, архитектуры и градостроительства, размещение наружной рекламы и информации</t>
  </si>
  <si>
    <t>1200162200</t>
  </si>
  <si>
    <t>Внедрение современных методов управления кадровой политикой, направленных на повышение профессиональной компетентности работников органов местного самоуправления муниципального образования «Завьяловский район», обеспечение условий для их результативной профессиональной деятельности</t>
  </si>
  <si>
    <t>1410100000</t>
  </si>
  <si>
    <t>Расходы на проведение конкурсов профессионального мастерства в сфере муниципального управления</t>
  </si>
  <si>
    <t>1410162700</t>
  </si>
  <si>
    <t>Оказание муниципальных услуг (выполнение функций) органами местного самоуправления</t>
  </si>
  <si>
    <t>1410500000</t>
  </si>
  <si>
    <t>Расходы на реализацию мероприятий по административной реформе</t>
  </si>
  <si>
    <t>1410562720</t>
  </si>
  <si>
    <t>Расходы на организацию и проведение мероприятий</t>
  </si>
  <si>
    <t>Прочие расходы, не отнесенные к другим направлениям расходов</t>
  </si>
  <si>
    <t>1410760110</t>
  </si>
  <si>
    <t>350</t>
  </si>
  <si>
    <t>Подпрограмма «Управление общественными отношениями»</t>
  </si>
  <si>
    <t>1420000000</t>
  </si>
  <si>
    <t>Поддержка и создание условий для деятельности общественных организаций</t>
  </si>
  <si>
    <t>1420100000</t>
  </si>
  <si>
    <t>Расходы на проведение мероприятий по подпрограмме «Управление общественными отношениями»</t>
  </si>
  <si>
    <t>1420162730</t>
  </si>
  <si>
    <t>Национальная оборона</t>
  </si>
  <si>
    <t>0200</t>
  </si>
  <si>
    <t>Мобилизационная и вневойсковая подготовка</t>
  </si>
  <si>
    <t>0203</t>
  </si>
  <si>
    <t>Осуществление первичного воинского учёта на территориях, где отсутствуют военные комиссариаты</t>
  </si>
  <si>
    <t>9900051180</t>
  </si>
  <si>
    <t>Национальная безопасность и правоохранительная деятельность</t>
  </si>
  <si>
    <t>0300</t>
  </si>
  <si>
    <t>Гражданская оборона</t>
  </si>
  <si>
    <t>0309</t>
  </si>
  <si>
    <t>1300000000</t>
  </si>
  <si>
    <t>1330000000</t>
  </si>
  <si>
    <t>Повышение эффективности работы в области обеспечения безопасности жизнедеятельности населения, обеспечение защиты информации и режима секретности</t>
  </si>
  <si>
    <t>1330200000</t>
  </si>
  <si>
    <t>Расходы на проведение мероприятий в сфере гражданской обороны, защиты населения и территорий от чрезвычайных ситуаций</t>
  </si>
  <si>
    <t>1330262100</t>
  </si>
  <si>
    <t>1600000000</t>
  </si>
  <si>
    <t>Информационно-аналитическая работа по профилактике терроризма и экстремизма</t>
  </si>
  <si>
    <t>1600100000</t>
  </si>
  <si>
    <t>1600162100</t>
  </si>
  <si>
    <t>Защита населения и территории от чрезвычайных ситуаций природного и техногенного характера, пожарная безопасность</t>
  </si>
  <si>
    <t>0310</t>
  </si>
  <si>
    <t>Предупреждение и ликвидация последствий чрезвычайных ситуаций, реализация мер пожарной безопасности и безопасности людей на водных объектах</t>
  </si>
  <si>
    <t>1330100000</t>
  </si>
  <si>
    <t>Обеспечение первичных мер пожарной безопасности</t>
  </si>
  <si>
    <t>1330162110</t>
  </si>
  <si>
    <t>360</t>
  </si>
  <si>
    <t>Обеспечение деятельности МКУ "Завьяловский центр обеспечения безопасности"</t>
  </si>
  <si>
    <t>1330300000</t>
  </si>
  <si>
    <t>1330366770</t>
  </si>
  <si>
    <t>Расходы на обеспечение мер по профилактике распостранения новой коронавирусной инфекции</t>
  </si>
  <si>
    <t>1330362150</t>
  </si>
  <si>
    <t>Другие вопросы в области национальной безопасности и правоохранительной деятельности</t>
  </si>
  <si>
    <t>0314</t>
  </si>
  <si>
    <t>1310000000</t>
  </si>
  <si>
    <t>Обеспечение общественного порядка</t>
  </si>
  <si>
    <t>1310100000</t>
  </si>
  <si>
    <t>Расходы на проведение мероприятий по профилактике правонарушений</t>
  </si>
  <si>
    <t>1310162130</t>
  </si>
  <si>
    <t>Расходы на обеспечение безопасности людей на водных объектах</t>
  </si>
  <si>
    <t>1330162120</t>
  </si>
  <si>
    <t>Национальная экономика</t>
  </si>
  <si>
    <t>0400</t>
  </si>
  <si>
    <t>Сельское хозяйство и рыболовство</t>
  </si>
  <si>
    <t>0405</t>
  </si>
  <si>
    <t>Муниципальная программа "Развитие агропромышленного комплекса Завьяловского района"</t>
  </si>
  <si>
    <t>0800000000</t>
  </si>
  <si>
    <t>Подпрограмма "Развитие сельскохозяйственной отрасли Завьяловского района"</t>
  </si>
  <si>
    <t>0810000000</t>
  </si>
  <si>
    <t>Мероприятия  направленные на развитие агропромышленного комплекса Завьяловского района</t>
  </si>
  <si>
    <t>0810100000</t>
  </si>
  <si>
    <t>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</si>
  <si>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0810109020</t>
  </si>
  <si>
    <t>Дорожное хозяйство (дорожные фонды)</t>
  </si>
  <si>
    <t>0409</t>
  </si>
  <si>
    <t>1100000000</t>
  </si>
  <si>
    <t>1120000000</t>
  </si>
  <si>
    <t>Развитие и содержание дорожной сети на территории Завьяловского района</t>
  </si>
  <si>
    <t>1120200000</t>
  </si>
  <si>
    <t>1120260990</t>
  </si>
  <si>
    <t>1120262510</t>
  </si>
  <si>
    <t>Субсидии  на комплекс работ по содержанию автомобильных дорог</t>
  </si>
  <si>
    <t>1120201380</t>
  </si>
  <si>
    <t>Развитие сети автомобильных дорог Удмуртской Республики</t>
  </si>
  <si>
    <t>1120204650</t>
  </si>
  <si>
    <t>Другие вопросы в области национальной экономики</t>
  </si>
  <si>
    <t>0412</t>
  </si>
  <si>
    <t>Муниципальная программа "Создание условий для развития предпринимательства и привлечения инвестиций"</t>
  </si>
  <si>
    <t>0700000000</t>
  </si>
  <si>
    <t>Оказание поддержки субъектам малого и среднего предпринимательства</t>
  </si>
  <si>
    <t>0700100000</t>
  </si>
  <si>
    <t>Расходы на создание условий для развития малого и среднего предпринимательства</t>
  </si>
  <si>
    <t>0700162020</t>
  </si>
  <si>
    <t>0700500000</t>
  </si>
  <si>
    <t>0700562020</t>
  </si>
  <si>
    <t>Организация и проведение открытого конкурса на право заключения договора на размещение сезонных нестационарных торговых объектов, летних кафе</t>
  </si>
  <si>
    <t>0700800000</t>
  </si>
  <si>
    <t>0700862020</t>
  </si>
  <si>
    <t>0700700000</t>
  </si>
  <si>
    <t>0700762020</t>
  </si>
  <si>
    <t>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</si>
  <si>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</si>
  <si>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Субсидии из бюджета Удмуртской Республики в целях реализации государственной программы Удмуртской Республики "Управление государственным имуществом"</t>
  </si>
  <si>
    <t>1000207930</t>
  </si>
  <si>
    <t>1110000000</t>
  </si>
  <si>
    <t>Содержание и развитие объектов муниципальной собственности</t>
  </si>
  <si>
    <t>1110200000</t>
  </si>
  <si>
    <t>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</si>
  <si>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1110206800</t>
  </si>
  <si>
    <t>811</t>
  </si>
  <si>
    <t>Реализация установленных полномочий (функций) в сфере муниципального хозяйства</t>
  </si>
  <si>
    <t>1110100000</t>
  </si>
  <si>
    <t>1110160030</t>
  </si>
  <si>
    <t>1110160480</t>
  </si>
  <si>
    <t>1430000000</t>
  </si>
  <si>
    <t>Разработка и реализация с участием сторон социального партнерства, мер экономического стимулирования деятельности работодателей по сохранению жизни и здоровья граждан в процессе трудовой деятельности</t>
  </si>
  <si>
    <t>1430100000</t>
  </si>
  <si>
    <t>Расходы на охрану труда работников</t>
  </si>
  <si>
    <t>1430160190</t>
  </si>
  <si>
    <t>Соблюдение работодателями Завьяловского района требований трудового законодательствами</t>
  </si>
  <si>
    <t>1430200000</t>
  </si>
  <si>
    <t>1430260190</t>
  </si>
  <si>
    <t>Жилищно-коммунальное хозяйство</t>
  </si>
  <si>
    <t>0500</t>
  </si>
  <si>
    <t>Жилищное хозяйство</t>
  </si>
  <si>
    <t>0501</t>
  </si>
  <si>
    <t>Расходы на проведение капитального ремонта (ремонта), модернизации, реконструкции объектов муниципальной собственности</t>
  </si>
  <si>
    <t>Расходы на строительство объектов муниципальной собственности</t>
  </si>
  <si>
    <t>1110160140</t>
  </si>
  <si>
    <t>Расходы на переселение граждан из аварийного жилищного фонда, осуществляемые за счет средств, поступивших от Фонда содействия реформированию жилищно-коммунального хозяйства</t>
  </si>
  <si>
    <t>111F300000</t>
  </si>
  <si>
    <t>Субсидии на переселение граждан из аварийного жилищного фонда, осуществляемые за счет средств бюджетов субъектов РФ, в том числе за счет субсидий из бюджетов субъектов РФ местным бюджетам</t>
  </si>
  <si>
    <t>111F367484</t>
  </si>
  <si>
    <t>414</t>
  </si>
  <si>
    <t>Коммунальное хозяйство</t>
  </si>
  <si>
    <t>0502</t>
  </si>
  <si>
    <t>1110260140</t>
  </si>
  <si>
    <t>Расходы на разработку проектно-сметной документации</t>
  </si>
  <si>
    <t>1110260170</t>
  </si>
  <si>
    <t>Капитальные вложения в объекты государственной (муниципальной) собственности</t>
  </si>
  <si>
    <t>1110200820</t>
  </si>
  <si>
    <t>Мероприятия в области поддержки и развития коммунального хозяйства</t>
  </si>
  <si>
    <t>1110201440</t>
  </si>
  <si>
    <t>243</t>
  </si>
  <si>
    <t>Расходы на содержание имущества казны</t>
  </si>
  <si>
    <t>1110260145</t>
  </si>
  <si>
    <t>Cтроительство и реконструкция (модернизация) объектов питьевого водоснабжения, сверх установленного уровня софинансирования</t>
  </si>
  <si>
    <t>111F500000</t>
  </si>
  <si>
    <t>Субсидии на строительство и реконструкцию (модернизацию) объектов питьевого водоснабжения</t>
  </si>
  <si>
    <t>111F552430</t>
  </si>
  <si>
    <t>1130000000</t>
  </si>
  <si>
    <t>Развитие системы энергосбережения</t>
  </si>
  <si>
    <t>1130100000</t>
  </si>
  <si>
    <t>Расходы на проведение мероприятий по энергосбережению и повышению энергетической эффективности</t>
  </si>
  <si>
    <t>1130162600</t>
  </si>
  <si>
    <t>Благоустройство</t>
  </si>
  <si>
    <t>0503</t>
  </si>
  <si>
    <t>Содействие в реализации комплекса мер, направленных на уничтожение борщевика Сосновского</t>
  </si>
  <si>
    <t>0810162011</t>
  </si>
  <si>
    <t>Подпрограмма "Комплексное развитие сельских территорий муниципального образования "Завьяловский район"</t>
  </si>
  <si>
    <t>0820000000</t>
  </si>
  <si>
    <t>0820100000</t>
  </si>
  <si>
    <t>Софинансирование мероприятий, направленных на обеспечение комплексного развития сельских территорий</t>
  </si>
  <si>
    <t>0820162012</t>
  </si>
  <si>
    <t>1110260990</t>
  </si>
  <si>
    <t>1110262400</t>
  </si>
  <si>
    <t>Расходы муниципальных образований - сельских поселений на проведение прочих мероприятий по благоустройству</t>
  </si>
  <si>
    <t>1110262430</t>
  </si>
  <si>
    <t>1110262440</t>
  </si>
  <si>
    <t>Обеспечение комплексного развития сельских территорий</t>
  </si>
  <si>
    <t>Расходы на поддержку государственных программ субъектов Российской Федерации и муниципальных программ формирования современной городской среды (местный бюджет)</t>
  </si>
  <si>
    <t>Обеспечение экологической безопасности населения</t>
  </si>
  <si>
    <t>1330400000</t>
  </si>
  <si>
    <t>Расходы по отлову и содержанию безнадзорных животных</t>
  </si>
  <si>
    <t>1330405400</t>
  </si>
  <si>
    <t>1330462430</t>
  </si>
  <si>
    <t>Другие вопросы в области жилищно-коммунального хозяйства</t>
  </si>
  <si>
    <t>0505</t>
  </si>
  <si>
    <t>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</si>
  <si>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1110106200</t>
  </si>
  <si>
    <t>Охрана окружающей среды</t>
  </si>
  <si>
    <t>0600</t>
  </si>
  <si>
    <t>Другие вопросы в области охраны окружающей среды</t>
  </si>
  <si>
    <t>0605</t>
  </si>
  <si>
    <t>Расходы на проведение мероприятий по охране окружающей среды</t>
  </si>
  <si>
    <t>1330462470</t>
  </si>
  <si>
    <t>Расходы на проведение мероприятий по охране окружающей среды в целях софинансирования из бюджета Удмуртской Республики</t>
  </si>
  <si>
    <t>13304S2470</t>
  </si>
  <si>
    <t>Образование</t>
  </si>
  <si>
    <t>0700</t>
  </si>
  <si>
    <t>Дошкольное образование</t>
  </si>
  <si>
    <t>0701</t>
  </si>
  <si>
    <t>Подпрограмма «Развитие общего образования»</t>
  </si>
  <si>
    <t>0110000000</t>
  </si>
  <si>
    <t>Предоставление дошкольного образования</t>
  </si>
  <si>
    <t>0110100000</t>
  </si>
  <si>
    <t>0110166770</t>
  </si>
  <si>
    <t>621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</si>
  <si>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</si>
  <si>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0110105470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</si>
  <si>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</si>
  <si>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Подпрограмма «Совершенствование кадрового обеспечения»</t>
  </si>
  <si>
    <t>0130000000</t>
  </si>
  <si>
    <t>Социальная поддержка педагогических работников</t>
  </si>
  <si>
    <t>0130100000</t>
  </si>
  <si>
    <t>Расходы на предоставление мер социальной поддержки работникам муниципальных учреждений</t>
  </si>
  <si>
    <t>0130160250</t>
  </si>
  <si>
    <t>321</t>
  </si>
  <si>
    <t>Реализация установленных полномочий (функций) в сфере образования</t>
  </si>
  <si>
    <t>0140100000</t>
  </si>
  <si>
    <t>Расходы на уплату налога на имущество организаций</t>
  </si>
  <si>
    <t>0140160280</t>
  </si>
  <si>
    <t>0140160480</t>
  </si>
  <si>
    <t>Субсидии автономным учреждениям на иные цели</t>
  </si>
  <si>
    <t>622</t>
  </si>
  <si>
    <t>Организация мероприятий по созданию современной инфраструктуры образовательных учреждений, а так же их комплексной безопасности</t>
  </si>
  <si>
    <t>0140300000</t>
  </si>
  <si>
    <t>0140360150</t>
  </si>
  <si>
    <t>Расходы на мероприятия, направленные на создание комплексной безопасности образовательных учреждений, в том числе  на подготовку образовательных учреждений к новому учебному году</t>
  </si>
  <si>
    <t>0140361040</t>
  </si>
  <si>
    <t>Общее образование</t>
  </si>
  <si>
    <t>0702</t>
  </si>
  <si>
    <t>Предоставление общего образования</t>
  </si>
  <si>
    <t>0110200000</t>
  </si>
  <si>
    <t>0110266770</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</si>
  <si>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</si>
  <si>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0110204310</t>
  </si>
  <si>
    <t>Реализация национального проекта "Образование"</t>
  </si>
  <si>
    <t>0110900000</t>
  </si>
  <si>
    <t>Расходы на реализацию мероприятий по созданию и функционированию центров образования цифрового и гуманитарного профилей "Точка роста"</t>
  </si>
  <si>
    <t>0110965500</t>
  </si>
  <si>
    <t>0140360140</t>
  </si>
  <si>
    <t>0140360170</t>
  </si>
  <si>
    <t>Создание новых мест в общеобразовательных организациях, расположенных в сельской местности и поселках городского типа</t>
  </si>
  <si>
    <t>014E100000</t>
  </si>
  <si>
    <t>014E153050</t>
  </si>
  <si>
    <t>Субсидии на создание в общеобразовательных организациях. расположенных в сельской местности. условий для занятий физической культурой и спортом за счет средств федерального бюджета</t>
  </si>
  <si>
    <t>014E200000</t>
  </si>
  <si>
    <t>Субсидии на создание в общеобразовательных организациях, расположенных в сельской местности, условий для занятий физической культурой и спортом</t>
  </si>
  <si>
    <t>014E250970</t>
  </si>
  <si>
    <t>Подпрограмма «Организация детского и школьного питания»</t>
  </si>
  <si>
    <t>0150000000</t>
  </si>
  <si>
    <t>Организация детского и школьного питания</t>
  </si>
  <si>
    <t>0150100000</t>
  </si>
  <si>
    <t>Расходы на обеспечение учащихся образовательных учреждений  питанием</t>
  </si>
  <si>
    <t>0150161030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</si>
  <si>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</si>
  <si>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01501L3040</t>
  </si>
  <si>
    <t>Расходы на обеспечение учащихся образовательных учреждений питанием в целях софинансирования из бюджета Удмуртской Республики</t>
  </si>
  <si>
    <t>01501S6960</t>
  </si>
  <si>
    <t>Дополнительное образование детей</t>
  </si>
  <si>
    <t>0703</t>
  </si>
  <si>
    <t>Подпрограмма «Развитие системы воспитания и дополнительного образования детей»</t>
  </si>
  <si>
    <t>0120000000</t>
  </si>
  <si>
    <t>Предоставление дополнительного образования</t>
  </si>
  <si>
    <t>0120100000</t>
  </si>
  <si>
    <t>0120160250</t>
  </si>
  <si>
    <t>0120166770</t>
  </si>
  <si>
    <t>Расходы на реализацию программы персонифицированного финансирования дополнительного образования детей</t>
  </si>
  <si>
    <t>0120165300</t>
  </si>
  <si>
    <t>Профессиональная подготовка, переподготовка и повышение квалификации</t>
  </si>
  <si>
    <t>0705</t>
  </si>
  <si>
    <t>Расходы на дополнительное профессиональное образование на муниципальной службе</t>
  </si>
  <si>
    <t>1410162710</t>
  </si>
  <si>
    <t>Молодежная политика</t>
  </si>
  <si>
    <t>0707</t>
  </si>
  <si>
    <t>Оздоровление и отдых детей</t>
  </si>
  <si>
    <t>0120200000</t>
  </si>
  <si>
    <t>Республиканская целевая программа «Организация отдыха, оздоровления и занятости детей, подростков и молодёжи в Удмуртской Республике (2011-2015 годы)»</t>
  </si>
  <si>
    <t>0120205230</t>
  </si>
  <si>
    <t>0300000000</t>
  </si>
  <si>
    <t>0300100000</t>
  </si>
  <si>
    <t>0300166770</t>
  </si>
  <si>
    <t>Содействие в организации временного трудоустройства несовершеннолетних граждан в возрастеот 14 до 18 лет в свободное от учебы время</t>
  </si>
  <si>
    <t>0300200000</t>
  </si>
  <si>
    <t>Содействие в организации временного трудоустройства несовершеннолетних граждан в возрасте от 14 до 18 лет в свободное от учебы время</t>
  </si>
  <si>
    <t>0300261420</t>
  </si>
  <si>
    <t>Другие вопросы в области образования</t>
  </si>
  <si>
    <t>0709</t>
  </si>
  <si>
    <t>Расходы на организацию и проведение муниципального этапа Всероссийской олимпиады школьников, а так же иных олимпиад по общеобразовательным предметам на муниципальном уровне</t>
  </si>
  <si>
    <t>0110261220</t>
  </si>
  <si>
    <t>Расходы на Государственную итоговую аттестацию выпускников, обеспечение документами об образовании</t>
  </si>
  <si>
    <t>0110261230</t>
  </si>
  <si>
    <t>Разработка и внедрение системы независимой оценки качества на уровне образовательных организаций</t>
  </si>
  <si>
    <t>0110600000</t>
  </si>
  <si>
    <t>Расходы на проведение независимой оценки качества условий осуществления образовательной деятельности</t>
  </si>
  <si>
    <t>0110665400</t>
  </si>
  <si>
    <t>Расходы на проведение мероприятий различной направленности по предоставлению дополнительного образования</t>
  </si>
  <si>
    <t>0120161340</t>
  </si>
  <si>
    <t>Софинансирование организации отдыха. оздоровления и занятости детей. подростков и молодежи за счет средств Удмуртской Республики</t>
  </si>
  <si>
    <t>01202S5230</t>
  </si>
  <si>
    <t>0140160030</t>
  </si>
  <si>
    <t>Муниципальная программа "Сохранение здоровья и формирование здорового образа жизни населения Завьяловского района"</t>
  </si>
  <si>
    <t>0500000000</t>
  </si>
  <si>
    <t>Развитие системы профилактики неинфекционных, социально-значимых заболеваний и формирование здорового образа жизни</t>
  </si>
  <si>
    <t>0500100000</t>
  </si>
  <si>
    <t>Расходы на информационно-коммуникационную кампанию, реализацию специальных проектов по  профилактике инфекционных заболеваний</t>
  </si>
  <si>
    <t>0500161510</t>
  </si>
  <si>
    <t>Профилактика ВИЧ-инфекции, вирусных гепатитов В и С</t>
  </si>
  <si>
    <t>0500300000</t>
  </si>
  <si>
    <t>Расходы на информационно-коммуникационную кампанию, реализацию специальных проектов по профилактике ВИЧ-инфекции, вирусных гепатитов В и С</t>
  </si>
  <si>
    <t>0500361520</t>
  </si>
  <si>
    <t>Организация и проведение мероприятий для социально незащищенных слоев населения</t>
  </si>
  <si>
    <t>0630200000</t>
  </si>
  <si>
    <t>Расходы направленные на социальную поддержку отдельных категорий граждан</t>
  </si>
  <si>
    <t>0630261920</t>
  </si>
  <si>
    <t>Реализация мер, направленных на популяризацию роли предпринимательства</t>
  </si>
  <si>
    <t>0700200000</t>
  </si>
  <si>
    <t>0700262020</t>
  </si>
  <si>
    <t>1500000000</t>
  </si>
  <si>
    <t>Совершенствование антинаркотической деятельности</t>
  </si>
  <si>
    <t>1500100000</t>
  </si>
  <si>
    <t>Расходы на выявление и диагностику правонарушений в сфере незаконного оборота наркотиков</t>
  </si>
  <si>
    <t>1500161530</t>
  </si>
  <si>
    <t>Профилактика и раннее выявление незаконного потребления наркотиков среди населения</t>
  </si>
  <si>
    <t>1500200000</t>
  </si>
  <si>
    <t>1500261530</t>
  </si>
  <si>
    <t>Культура и кинематография</t>
  </si>
  <si>
    <t>0800</t>
  </si>
  <si>
    <t>Культура</t>
  </si>
  <si>
    <t>0801</t>
  </si>
  <si>
    <t>0200000000</t>
  </si>
  <si>
    <t>Осуществление библиотечного обслуживания населения</t>
  </si>
  <si>
    <t>0200100000</t>
  </si>
  <si>
    <t>0200166770</t>
  </si>
  <si>
    <t>Организация досуга и развитие народного творчества</t>
  </si>
  <si>
    <t>0200200000</t>
  </si>
  <si>
    <t>0200266770</t>
  </si>
  <si>
    <t>0200260480</t>
  </si>
  <si>
    <t>Расходы на предоставление субсидий бюджетным и автономным организациям на обслуживание кредитов, полученных в российских кредитных организациях</t>
  </si>
  <si>
    <t>0200266772</t>
  </si>
  <si>
    <t>Расходы на предоставление субсидий бюджетным и автономным организациям на компенсацию процентных ставок по кредитам, полученным в российских кредитных организациях</t>
  </si>
  <si>
    <t>0200266773</t>
  </si>
  <si>
    <t>Организация деятельности музейного дела</t>
  </si>
  <si>
    <t>0200300000</t>
  </si>
  <si>
    <t>0200366770</t>
  </si>
  <si>
    <t>0200360480</t>
  </si>
  <si>
    <t>Реализация установленных полномочий муниципального образования (функций) в культуре</t>
  </si>
  <si>
    <t>0200400000</t>
  </si>
  <si>
    <t>0200460250</t>
  </si>
  <si>
    <t>Другие вопросы в области культуры, кинематографии</t>
  </si>
  <si>
    <t>0804</t>
  </si>
  <si>
    <t>0200460030</t>
  </si>
  <si>
    <t>0200460120</t>
  </si>
  <si>
    <t>Расходы на организационно-методическое и информационное обеспечение деятельности учреждений</t>
  </si>
  <si>
    <t>0200460260</t>
  </si>
  <si>
    <t>0200460990</t>
  </si>
  <si>
    <t>633</t>
  </si>
  <si>
    <t>0500161520</t>
  </si>
  <si>
    <t>Подпрограмма «Повышение благосостояния семей с детьми»</t>
  </si>
  <si>
    <t>0610000000</t>
  </si>
  <si>
    <t>Мероприятия, напрвленные на повышение общественного престижа и качества жизни института семьи, пропаганда семейных ценностей</t>
  </si>
  <si>
    <t>0610100000</t>
  </si>
  <si>
    <t>Расходы на реализацию мер социальной поддержки семей с детьми</t>
  </si>
  <si>
    <t>0610161900</t>
  </si>
  <si>
    <t>Повышение предпринимательской активности</t>
  </si>
  <si>
    <t>0700300000</t>
  </si>
  <si>
    <t>0700362020</t>
  </si>
  <si>
    <t>0810160110</t>
  </si>
  <si>
    <t>1410900000</t>
  </si>
  <si>
    <t>Содержание архивного отдела за счет средств местного бюджета</t>
  </si>
  <si>
    <t>1410960200</t>
  </si>
  <si>
    <t>Осуществление отдельных государственных полномочий в области архивного дела</t>
  </si>
  <si>
    <t>1410904360</t>
  </si>
  <si>
    <t>Расходы на организацию и проведение мероприятий по профилактике наркомании</t>
  </si>
  <si>
    <t>1500261531</t>
  </si>
  <si>
    <t>Практическая работа по профилактике терроризма и экстремизма</t>
  </si>
  <si>
    <t>1600200000</t>
  </si>
  <si>
    <t>1600262100</t>
  </si>
  <si>
    <t>Здравоохранение</t>
  </si>
  <si>
    <t>0900</t>
  </si>
  <si>
    <t>Другие вопросы в области здравоохранения</t>
  </si>
  <si>
    <t>0909</t>
  </si>
  <si>
    <t>Расходы на информационно-коммуникационную кампанию, организацию и проведению социологических мониторингов по профилактике неинфекционных заболеваний</t>
  </si>
  <si>
    <t>0500161500</t>
  </si>
  <si>
    <t>Профилактика инфекционных заболеваний, включая иммунопрофилактику</t>
  </si>
  <si>
    <t>0500200000</t>
  </si>
  <si>
    <t>0500261510</t>
  </si>
  <si>
    <t>Лечебная и реабилитационная помощь наркозависимым лицам</t>
  </si>
  <si>
    <t>1500300000</t>
  </si>
  <si>
    <t>1500361530</t>
  </si>
  <si>
    <t>Социальная политика</t>
  </si>
  <si>
    <t>1000</t>
  </si>
  <si>
    <t>Пенсионное обеспечение</t>
  </si>
  <si>
    <t>1001</t>
  </si>
  <si>
    <t>Публичные нормативные обязательства</t>
  </si>
  <si>
    <t>1410800000</t>
  </si>
  <si>
    <t>Доплаты к пенсиям муниципальных служащих</t>
  </si>
  <si>
    <t>1410860210</t>
  </si>
  <si>
    <t>313</t>
  </si>
  <si>
    <t>Социальное обеспечение населения</t>
  </si>
  <si>
    <t>1003</t>
  </si>
  <si>
    <t>Мероприятия, направленные на обеспечение социальной поддержки семей и детей, находящихся в особых условиях</t>
  </si>
  <si>
    <t>0610200000</t>
  </si>
  <si>
    <t>0610261900</t>
  </si>
  <si>
    <t>Расходы на реализацию мер по профилактике социального сиротства</t>
  </si>
  <si>
    <t>0620161910</t>
  </si>
  <si>
    <t>Оказание адресной социальной помощи</t>
  </si>
  <si>
    <t>0630100000</t>
  </si>
  <si>
    <t>Прочие расходы на мероприятия в области социальной политики</t>
  </si>
  <si>
    <t>0630160300</t>
  </si>
  <si>
    <t>0630361920</t>
  </si>
  <si>
    <t>322</t>
  </si>
  <si>
    <t>Расходы на реализацию мероприятий по обеспечению жильем молодых семей</t>
  </si>
  <si>
    <t>06303L4970</t>
  </si>
  <si>
    <t>Ежемесячное вознаграждение гражданам, имеющим звание «Почётный гражданин Завьяловского района»</t>
  </si>
  <si>
    <t>1410860220</t>
  </si>
  <si>
    <t>Охрана семьи и детства</t>
  </si>
  <si>
    <t>1004</t>
  </si>
  <si>
    <t>Материальная поддержка семей с детьми дошкольного возраста</t>
  </si>
  <si>
    <t>0110300000</t>
  </si>
  <si>
    <t>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</si>
  <si>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0110304240</t>
  </si>
  <si>
    <t>Расходы по присмотру и уходу детьми-инвалидами, детьми-сиротами и детьми оставшихся без попечения родителей, а так же за детьми тубуркулезной интоксикацией,   обучающимися в муниципальных образовательных организациях, нпходящихся на территории УР</t>
  </si>
  <si>
    <t>0110307120</t>
  </si>
  <si>
    <t>Софинансирование расходов по присмотру и уходу детьми-инвалидами, детьми-сиротами и детьми оставшихся без попечения родителей, а так же за детьми тубуркулезной интоксикацией, обучающимися в муниципальных образовательных организациях,</t>
  </si>
  <si>
    <t>01103S7120</t>
  </si>
  <si>
    <t>Обеспечение питанием детей дошкольного и школьного возраста в Удмуртской Республике</t>
  </si>
  <si>
    <t>0150106960</t>
  </si>
  <si>
    <t>Предоставление мер социальной поддержки многодетным семьям</t>
  </si>
  <si>
    <t>061P100000</t>
  </si>
  <si>
    <t>Предоставление мер социальной поддержки многодетным семьям (бесплатное питание для обучающихся общеобразовательных организаций)</t>
  </si>
  <si>
    <t>061P104343</t>
  </si>
  <si>
    <t>Расходы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</si>
  <si>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0630305660</t>
  </si>
  <si>
    <t>Физическая культура и спорт</t>
  </si>
  <si>
    <t>1100</t>
  </si>
  <si>
    <t>Физическая культура</t>
  </si>
  <si>
    <t>1101</t>
  </si>
  <si>
    <t>0400000000</t>
  </si>
  <si>
    <t>Обеспечение условий для развития физической культуры и массового спорта</t>
  </si>
  <si>
    <t>0400100000</t>
  </si>
  <si>
    <t>0400160140</t>
  </si>
  <si>
    <t>0400166770</t>
  </si>
  <si>
    <t>0400160480</t>
  </si>
  <si>
    <t>0400166772</t>
  </si>
  <si>
    <t>0400166773</t>
  </si>
  <si>
    <t>Обслуживание государственного и муниципального долга</t>
  </si>
  <si>
    <t>1300</t>
  </si>
  <si>
    <t>Обслуживание государственного внутреннего и муниципального долга</t>
  </si>
  <si>
    <t>1301</t>
  </si>
  <si>
    <t>Управление муниципальным долгом</t>
  </si>
  <si>
    <t>0900300000</t>
  </si>
  <si>
    <t>Процентные платежи по муниципальному долгу</t>
  </si>
  <si>
    <t>0900360070</t>
  </si>
  <si>
    <t>730</t>
  </si>
  <si>
    <t>к решению Совета депутатов</t>
  </si>
  <si>
    <t>муниципального образования</t>
  </si>
  <si>
    <t>Завьяловский район</t>
  </si>
  <si>
    <t>тыс. руб.</t>
  </si>
  <si>
    <t>Раздел, подраздел</t>
  </si>
  <si>
    <t>Вид расхода</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</si>
  <si>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</si>
  <si>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</si>
  <si>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Закупка товаров, работ, услуг в сфере информационно-коммуникационных технологий</t>
  </si>
  <si>
    <t>Пособия, компенсации и иные социальные выплаты гражданам, кроме публичных нормативных обязательств</t>
  </si>
  <si>
    <t>Фонд оплаты труда учреждений</t>
  </si>
  <si>
    <t>Взносы по обязательному социальному страхованию на выплаты по оплате труда работников и иные выплаты работникам учреждений</t>
  </si>
  <si>
    <t>Иные выплаты персоналу государственных (муниципальных) органов, за исключением фонда оплаты труда</t>
  </si>
  <si>
    <t>Закупка энергетических ресурсов</t>
  </si>
  <si>
    <t>Пособия, компенсации, меры социальной поддержки по публичным нормативным обязательствам</t>
  </si>
  <si>
    <t>Субсидии гражданам на приобретение жилья</t>
  </si>
  <si>
    <t>Премии и гранты</t>
  </si>
  <si>
    <t>Иные выплаты населению</t>
  </si>
  <si>
    <t>Бюджетные инвестиции в объекты капитального строительства государственной (муниципальной) собственности</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</si>
  <si>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</si>
  <si>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</si>
  <si>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Субсидии (гранты в форме субсидий), не подлежащие казначейскому сопровождению</t>
  </si>
  <si>
    <t>Обслуживание муниципального долга</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</si>
  <si>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</si>
  <si>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Уплата налога на имущество организаций и земельного налога</t>
  </si>
  <si>
    <t>Резервные средства</t>
  </si>
  <si>
    <t>111F150210</t>
  </si>
  <si>
    <t>111F2Д5550</t>
  </si>
  <si>
    <t>Поддержка государственных программ субъектов Российской Федерации и муниципальных программ формирования современной городской среды</t>
  </si>
  <si>
    <t>111F100000</t>
  </si>
  <si>
    <t>Мероприятия по стимулированию программ развития жилищного строительства</t>
  </si>
  <si>
    <t>Расходы на мероприятия по стимулированию программ развития жилищного строительства</t>
  </si>
  <si>
    <t>Реализация  установленных полномочий в сфере архивного дела Администрацией Завьяловского района</t>
  </si>
  <si>
    <t>Муниципальная программа "Реализация демографической и социальной политики на  территории Завьяловского района»</t>
  </si>
  <si>
    <t>Муниципальная программа "Управление муниципальными финансами в Завьяловском районе»</t>
  </si>
  <si>
    <t>Муниципальная программа "Территориальное развитие муниципального образования Завьяловского района</t>
  </si>
  <si>
    <t>Муниципальная программа "Муниципальное управление и развитие гражданского общества в Завьяловском районе"</t>
  </si>
  <si>
    <t>Муниципальная программа "Обеспечение безопасности населения Завьяловского района"</t>
  </si>
  <si>
    <t>Подпрограмма «Обеспечение безопасности жизнедеятельности населения Завьяловского района"</t>
  </si>
  <si>
    <t>Муниципальная программа "Содержание и развитие муниципального хозяйства Завьяловского района"</t>
  </si>
  <si>
    <t>Подпрограмма «Дорожное хозяйство и транспортная система Завьяловского района"</t>
  </si>
  <si>
    <t xml:space="preserve">Формирование инвестиционно привлекательного имиджа </t>
  </si>
  <si>
    <t>Подпрограмма «Улучшение условий и охраны труда Завьяловского района»</t>
  </si>
  <si>
    <t>Подпрограмма «Содержание и развитие коммунальной инфраструктуры Завьяловского района»</t>
  </si>
  <si>
    <t>Расходы на уличное освещение</t>
  </si>
  <si>
    <t>Муниципальная программа "Комплексные меры противодействия немедицинскому потреблению наркотических средств и их незаконному обороту в Завьяловском районе»</t>
  </si>
  <si>
    <t>Муниципальная программа "Реализация молодежной политики в Завьяловском районе»</t>
  </si>
  <si>
    <t>Мероприятия направленные на реализацию молодежной политики в Завьяловском районе»</t>
  </si>
  <si>
    <t>Муниципальная программа "Культура Завьяловского района»</t>
  </si>
  <si>
    <t>Муниципальная программа "Развитие физической культуры и массового спорта в Завьяловском районе»</t>
  </si>
  <si>
    <t>Расходы на софинансирование инициативных проектов</t>
  </si>
  <si>
    <t>0900668000</t>
  </si>
  <si>
    <t>1410760031</t>
  </si>
  <si>
    <t>1410760480</t>
  </si>
  <si>
    <t>Территориальные органы Администрации</t>
  </si>
  <si>
    <t>1410760990</t>
  </si>
  <si>
    <t>Расходы на поддержку государственных программ субъектов Российской Федерации и муниципальных программ формирования современной городской среды</t>
  </si>
  <si>
    <t>Расходы на проведение прочих мероприятий по благоустройству</t>
  </si>
  <si>
    <t>Расходы на организацию сбора и вывоза твердых бытовых отходов</t>
  </si>
  <si>
    <t>0900660322</t>
  </si>
  <si>
    <t>1120260321</t>
  </si>
  <si>
    <t>1110260321</t>
  </si>
  <si>
    <t>0140360321</t>
  </si>
  <si>
    <t>0200260321</t>
  </si>
  <si>
    <t>Расходы на выполнение наказов избирателей депутатам Госсовета Удмуртской Республики</t>
  </si>
  <si>
    <t>Расходы на выполнение наказов избирателей депутатам Совета депутатов муниципального образования "Муниципальный округ Завьяловский район Удмуртской Республики"</t>
  </si>
  <si>
    <t>0820165769</t>
  </si>
  <si>
    <t>Муниципальная программа "Управление муниципальными финансами в Завьяловском районе"</t>
  </si>
  <si>
    <t>Внедрение современных методов управления кадровой политикой, направленных на повышение профессиональной компетентности работников органов местного самоуправления Завьяловского района, обеспечение условий для их результативной профессиональной деятельности</t>
  </si>
  <si>
    <t>Подпрограмма "Обеспечение безопасности жизнедеятельности населения Завьяловского района"</t>
  </si>
  <si>
    <t>Подпрограмма «Профилактика правонарушений на территории Завьяловского района»</t>
  </si>
  <si>
    <t>Организация и проведение аукциона на право заключения договора на размещение нестационарного торгового объекта</t>
  </si>
  <si>
    <t>Муниципальная программа "Профилактика терроризма и экстремизма, а также минимизация и (или) ликвидация последствий их проявления на территории Завьяловского района"</t>
  </si>
  <si>
    <t>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</si>
  <si>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0110304480</t>
  </si>
  <si>
    <t>Осуществление переданных государственных полномочий на государственную регистрации актов гражданского состояния</t>
  </si>
  <si>
    <t>Государственная регистрация актов гражданского состояния</t>
  </si>
  <si>
    <t>1411359300</t>
  </si>
  <si>
    <t>1411300000</t>
  </si>
  <si>
    <t>1110300000</t>
  </si>
  <si>
    <t>1110366770</t>
  </si>
  <si>
    <t>1110260322</t>
  </si>
  <si>
    <t>0140360322</t>
  </si>
  <si>
    <t>0200260322</t>
  </si>
  <si>
    <t>0400160322</t>
  </si>
  <si>
    <t>Софинансирование мероприятий, направленных на обеспечение комплексного развития сельских территорий в рамках государственной программы Российской Федерации "Комплексное развитие сельских территорий"</t>
  </si>
  <si>
    <t>0200160322</t>
  </si>
  <si>
    <t>0140361050</t>
  </si>
  <si>
    <t>Расходы на реализацию мероприятий по охране образовательных учреждений</t>
  </si>
  <si>
    <t>Муниципальная программа «Реализация демографической и социальной политики на  территории Завьяловского района»</t>
  </si>
  <si>
    <t>Муниципальная программа «Муниципальное управление и развитие гражданского общества в Завьяловском районе»</t>
  </si>
  <si>
    <t>Расходы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</si>
  <si>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«Муниципальный округ</t>
  </si>
  <si>
    <t>Удмуртской Республики»</t>
  </si>
  <si>
    <t>Утвержденная сумма на 2022 год</t>
  </si>
  <si>
    <t>поправки (+/-)</t>
  </si>
  <si>
    <t>Уточненная сумма на 2022 год</t>
  </si>
  <si>
    <t>Распределение бюджетных ассигнований по разделам, подразделам, целевым статьям, группам (группам и подгруппам) видов расходов классификации расходов бюджета муниципального образования «Муниципальный округ Завьяловский район Удмуртской Республики» на 2022 год</t>
  </si>
  <si>
    <t>Приложение № 6</t>
  </si>
  <si>
    <t>Всего поправок</t>
  </si>
  <si>
    <t>Бюджет р-на</t>
  </si>
  <si>
    <t>Безвозмездные</t>
  </si>
  <si>
    <t>0630362012</t>
  </si>
  <si>
    <t>0200160170</t>
  </si>
  <si>
    <t>Расходы на укрепление материально-технической базы</t>
  </si>
  <si>
    <t>0200360180</t>
  </si>
  <si>
    <t>1410960150</t>
  </si>
  <si>
    <t>Водное хозяйство</t>
  </si>
  <si>
    <t>Подпрограмма «Обеспечение безопасности жизнедеятельности населения Завьяловского района»</t>
  </si>
  <si>
    <t>Расходы на реализацию государственных
программ субъектов Российской Федерации в области использования и охраны водных
объектов (обеспечение безопасности гидротехнических сооружений (капитальный ремонт
гидротехнических сооружений, находящихся в собственности субъектов Российской
Федерации, муниципальной собственности, капитальный ремонт и ликвидация
бесхозяйных гидротехнических сооружений))</t>
  </si>
  <si>
    <t>0406</t>
  </si>
  <si>
    <t>13304L0651</t>
  </si>
  <si>
    <t>111F367483</t>
  </si>
  <si>
    <t>111F522430</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</si>
  <si>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счёт средств бюджета Удмуртской Республики, утвержденный Правительством Удмуртской Республики</t>
  </si>
  <si>
    <t>Закупка товаров, работ, услуг в целях капитального ремонта государственного (муниципального) имущества</t>
  </si>
  <si>
    <t>0140300830</t>
  </si>
  <si>
    <t>014E123050</t>
  </si>
  <si>
    <t>Расходы на создание новых мест в общеобразовательных организациях в связи с ростом числа обучающихся, вызванным демографическим фактором, сверх установленного уровня</t>
  </si>
  <si>
    <t>Субсидии на создание новых мест в общеобразовательных организациях в связи с ростом числа обучающихся, вызванным демографическим фактором</t>
  </si>
  <si>
    <t>0400100820</t>
  </si>
  <si>
    <t>Расходы на обеспечение развития и укрепление материально-технической базы муниципальных домов культуры в населенных пунктах с числом жителей до 50 тысяч челове</t>
  </si>
  <si>
    <t>02002L4670</t>
  </si>
  <si>
    <t>Расходы, связанные с судебными издержками и оплатой государственной пошлины</t>
  </si>
  <si>
    <t>Исполнение судебных актов Российской Федерации и мировых соглашений по возмещению причиненного вреда</t>
  </si>
  <si>
    <t>9900060100</t>
  </si>
  <si>
    <t>831</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</si>
  <si>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</si>
  <si>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464</t>
  </si>
  <si>
    <t>0140360180</t>
  </si>
  <si>
    <t>от 26.01.2022 № 176</t>
  </si>
  <si>
    <t>111F555550</t>
  </si>
  <si>
    <t>Поддержка государственных программ субъектов Российской Федерации и муниципальных программ формирования комфортной городской среды</t>
  </si>
  <si>
    <t>111F200000</t>
  </si>
  <si>
    <t>Субсидии на реализацию программ формирования современной городской среды</t>
  </si>
  <si>
    <t>111F255550</t>
  </si>
  <si>
    <t>Финансовое обеспечение дорожной деятельности в рамках реализации национального проекта "Безопасные и качественные автомобильные дороги"</t>
  </si>
  <si>
    <t>112R153930</t>
  </si>
  <si>
    <t>Мероприятия по проведению капитального ремонта объектов государственной (муниципальной) собственности, включённых в Перечень объектов капитального ремонта, финансируемых за счёт средств бюджета Удмуртской Республики, утверждённый Правительством Удмуртско</t>
  </si>
  <si>
    <t>1110200830</t>
  </si>
  <si>
    <t>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</si>
  <si>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0110253030</t>
  </si>
  <si>
    <t>Приложение № 4</t>
  </si>
  <si>
    <t>Ремонт автомобильной дороги ул. Школьная с. Азино</t>
  </si>
  <si>
    <t>Ремонт и расширение дорожного полотна на улицах Тюльпановая (704м), Альпийская (813м), край массива от улицы Живописная до ул. Тюльпановая (285м) д. Красный Кустарь</t>
  </si>
  <si>
    <t>Ремонт и расширение дорожного полотна на улицах Благодатная (901м), Беловежская частично (370м), Звонкая частично (370м), переулок Первоцветный (180м) д. Красный Кустарь</t>
  </si>
  <si>
    <t>Ремонт дороги по Прудовая, проездам Александровский, Вишневый, Ольховый, Сосновый, Зимний, Майский, Мирный д. Крестовоздвиженское Завьяловского района УР</t>
  </si>
  <si>
    <t>Ремонт подъездной дороги в д. Крестовоздвиженское, Завьяловского р-на, УР</t>
  </si>
  <si>
    <t>Щебенение улицы Заречная, переулков Прудовый, Тепличный деревни Непременная Лудзя</t>
  </si>
  <si>
    <t>Щебенение улицы Полевая (дома 23-51), улицы Новая деревни Большая Венья</t>
  </si>
  <si>
    <t>Выравнивание щебнем дорог по ул. Осиновая, ул. проезд Ключевой, ул. Золотой Клен, ул. Черешневая в д. Сепыч Завьяловского района Удмуртской Республики</t>
  </si>
  <si>
    <t>Ремонт дороги м-р Дубровка</t>
  </si>
  <si>
    <t>Ремонт части дороги ул. Ромашковая от дома 68 до дома 129 включительно с. Завьялово</t>
  </si>
  <si>
    <t>Щебенение дороги по адресу ул. Фруктова от дома № 1 до дома № 52, мкр. Молдаванка с. Завьялово</t>
  </si>
  <si>
    <t>Щебенение дороги ул. Курортная от дома № 26 до улицы Авиаторов  с. Завьялово</t>
  </si>
  <si>
    <t>Ремонт автомобильной дороги в деревне Хохряки по улице Спортивная</t>
  </si>
  <si>
    <t>Ремонт автомобильной дороги в деревне Хохряки по улице Сосновая</t>
  </si>
  <si>
    <t>Щебенение ул. Беринга от д. № 1 до д. № 40 с. Завьялово</t>
  </si>
  <si>
    <t>Ремонт автомобильной дороги в деревне Хохряки по улице Майская</t>
  </si>
  <si>
    <t>Ремонт автомобильной дороги в деревне Хохряки по улице С. Есенина и переулке В. Астафьева</t>
  </si>
  <si>
    <t>Ремонт автомобильной дороги в деревне Хохряки по улице Березовая</t>
  </si>
  <si>
    <t>0900668101</t>
  </si>
  <si>
    <t>0900668124</t>
  </si>
  <si>
    <t>0900668140</t>
  </si>
  <si>
    <t xml:space="preserve">Расходы на софинансирование инициативных проектов </t>
  </si>
  <si>
    <t xml:space="preserve">Благоустройство детской игровой и спортивной площадки по адресу: Удмуртская Республика, Завьяловский район, д. Новый Сентег, ул. Клубная, 19 </t>
  </si>
  <si>
    <t>Уличное освещение деревня Чужьялово</t>
  </si>
  <si>
    <t>Монтаж уличного освещения в д. Лудорвай в мкр. «У Старой Мельницы»</t>
  </si>
  <si>
    <t>Установка и приобретение уличных тренажеров с. Бабино</t>
  </si>
  <si>
    <t>Устройство линии наружного освещения на участке км 2+000 - км 3+000 справа автомобильной дороги (Ижевск-Воткинск) - Якшур км 0+000 - км 3+500 д. Якшур в Завьяловском районе Удмуртской Республики</t>
  </si>
  <si>
    <t>Установка уличного освещения в деревне Люкшудья</t>
  </si>
  <si>
    <t>Установка уличного освещения в деревне Старый Сентег</t>
  </si>
  <si>
    <t>Установка уличного освещения в селе Люкшудья</t>
  </si>
  <si>
    <t>«Уютный двор» д. Докша</t>
  </si>
  <si>
    <t>Обустройство тротуарной дорожки с твердым покрытием вдоль ул. Ясная д. Старый Чультем</t>
  </si>
  <si>
    <t>Обустройство площадки для выгула собак в с. Вараксино</t>
  </si>
  <si>
    <t>Обустройство хоккейной коробки с. Италмас</t>
  </si>
  <si>
    <t>Обустройство детско- спортивной площадки в СНТСН «Завьяловские сады»</t>
  </si>
  <si>
    <t>Устройство футбольного поля в д. Пирогово</t>
  </si>
  <si>
    <t>Благоустройство детской площадки Новое Завьялово 2022</t>
  </si>
  <si>
    <t>Обустройство многофункциональной спортивно-игровой площадки со специальным резиновым покрытием на территории общего пользования, напротив дома 20 по ул. Сабурова с. Первомайский</t>
  </si>
  <si>
    <t>Устройство ограждения территории общего пользования (стадион) по адресу: УР, Завьяловский район, с. Первомайский, ул. Сабурова, 1В</t>
  </si>
  <si>
    <t>Благоустройство ул. Земляничная, с. Завьялово</t>
  </si>
  <si>
    <t>0900668104</t>
  </si>
  <si>
    <t>0900668107</t>
  </si>
  <si>
    <t>0900668109</t>
  </si>
  <si>
    <t>0900668111</t>
  </si>
  <si>
    <t>0900668112</t>
  </si>
  <si>
    <t>0900668113</t>
  </si>
  <si>
    <t>0900668114</t>
  </si>
  <si>
    <t>0900668122</t>
  </si>
  <si>
    <t>0900668143</t>
  </si>
  <si>
    <t>Благоустройство универсальной спортивной игровой площадки д. Пычанки</t>
  </si>
  <si>
    <t>Приобретение музыкального оборудования МБОУ «Среднепостольская СОШ»</t>
  </si>
  <si>
    <t>Устройство детской спортивной площадки МБОУ «Якшурская СОШ»</t>
  </si>
  <si>
    <t>Смена ограждения территории МБОУ «Каменская СОШ»</t>
  </si>
  <si>
    <t>Строительство спортивной детской игровой площадки в с. Завьялово по ул. Чкалова, 34</t>
  </si>
  <si>
    <t>«Ягул-Арена» с. Ягул</t>
  </si>
  <si>
    <t>0900668102</t>
  </si>
  <si>
    <t>0900668108</t>
  </si>
  <si>
    <t>0900668110</t>
  </si>
  <si>
    <t>0900668125</t>
  </si>
  <si>
    <t>0900668130</t>
  </si>
  <si>
    <t>0900668134</t>
  </si>
  <si>
    <t>Ремонт дороги ул. Малиновая с. Первомайское</t>
  </si>
  <si>
    <t>Муниципальная программа "Развитие физической культуры и массового спорта в Завьяловском районе"</t>
  </si>
  <si>
    <t>0400160150</t>
  </si>
  <si>
    <t>от 17.02.2022 № 192</t>
  </si>
  <si>
    <t>Содержание и ремонт автомобильных дорог и искусственных сооружений на них</t>
  </si>
  <si>
    <t>Расходы на софинансирование лизинговых платежей по договорам финансовой аренды (лизинга) газораспределительных сетей</t>
  </si>
  <si>
    <t>1110209720</t>
  </si>
  <si>
    <t>Расходы на мероприятия по безопасности образовательных организаций в Удмуртской Республике</t>
  </si>
  <si>
    <t>0140304960</t>
  </si>
  <si>
    <t>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t>
  </si>
  <si>
    <t>02001L5190</t>
  </si>
  <si>
    <t>Резервный фонд Правительства Удмуртской Республики</t>
  </si>
  <si>
    <t>0200200310</t>
  </si>
  <si>
    <t>Расходы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сверх установленного уровня софинансирования</t>
  </si>
  <si>
    <t>014P222320</t>
  </si>
  <si>
    <t>Капитальные вложения в объекты государственной (муниципальной) собственности.</t>
  </si>
  <si>
    <t>0400160820</t>
  </si>
  <si>
    <t>Освещение улиц Полевая, Береговая д. Люкшудья Завьяловского района</t>
  </si>
  <si>
    <t>0900668401</t>
  </si>
  <si>
    <t>Ощебенение дорог в д. Новая Крестьянка Завьяловского района</t>
  </si>
  <si>
    <t>0900668402</t>
  </si>
  <si>
    <t>Реализация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</si>
  <si>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1130105770</t>
  </si>
  <si>
    <t>Создание (обновление) материально-технической базы для реализации основных и дополнительных общеобразовательных программ цифрового и гуманитраного профилей в ощеобразовательных организациях, расположенных в сельской местности и малых городах, сверх установленного уровня софинансирования</t>
  </si>
  <si>
    <t>011Е121690</t>
  </si>
  <si>
    <t>Подготовка кадров</t>
  </si>
  <si>
    <t>Расходы на дополнительное профессиональное образование по профилю педагогической деятельности</t>
  </si>
  <si>
    <t>0130200000</t>
  </si>
  <si>
    <t>0130201820</t>
  </si>
  <si>
    <t>от 23.03.2022 № 203</t>
  </si>
  <si>
    <t>1410760280</t>
  </si>
  <si>
    <t>Муниципальная программа "Управление муниципальными финансами"</t>
  </si>
  <si>
    <t>Расходы на софинансирование проектов развития общественной инфраструктуры, основанных на местных инициативах "Наша инициатива"</t>
  </si>
  <si>
    <t>0900668100</t>
  </si>
  <si>
    <t>Муниципальная программа "Управление муниципальными финансами в муниципальном образовании "Завьяловский район"</t>
  </si>
  <si>
    <t>Оказание муниципальными учреждениями муниципальных услуг, выполнение работ, финансовое обеспечение деятельности муниципальных</t>
  </si>
  <si>
    <t>1000366770</t>
  </si>
  <si>
    <t>0200260170</t>
  </si>
  <si>
    <t>Бюджетные инвестиции в объекты инфраструктуры в целях реализации новых инвестиционных проектов</t>
  </si>
  <si>
    <t>9900900750</t>
  </si>
  <si>
    <t>Техническое оснащение муниципальных музеев</t>
  </si>
  <si>
    <t>020A155900</t>
  </si>
  <si>
    <t>1330363200</t>
  </si>
  <si>
    <t>Расходы за счет приносящей доход деятельности , оказываемых муниципальными казенными учреждениями</t>
  </si>
  <si>
    <t>Капитальный ремонт объектов социальной сферы (Субсидии)</t>
  </si>
  <si>
    <t>9900900830</t>
  </si>
  <si>
    <t>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t>
  </si>
  <si>
    <t>0110209090</t>
  </si>
  <si>
    <t>Обеспечение комплексного развития сельских территорий (мероприятия по благоустройству сельских территорий)</t>
  </si>
  <si>
    <t>0820265769</t>
  </si>
  <si>
    <t>08202L5769</t>
  </si>
  <si>
    <t>Государственная поддержка отрасли культуры</t>
  </si>
  <si>
    <t>020A255190</t>
  </si>
  <si>
    <t>Расходы на проведение республиканских сельских спортивных игр</t>
  </si>
  <si>
    <t>0400160185</t>
  </si>
  <si>
    <t>0200260185</t>
  </si>
  <si>
    <t>0140360185</t>
  </si>
  <si>
    <t>1110260185</t>
  </si>
  <si>
    <t>1120260185</t>
  </si>
  <si>
    <t>0200260150</t>
  </si>
  <si>
    <t>1110262012</t>
  </si>
  <si>
    <t>0900668400</t>
  </si>
  <si>
    <t xml:space="preserve">Расходы на поддержку проектов местных инициатив на территории муниципального образования «Муниципальный округ Завьяловский район Удмуртской Республики» «За преображение» </t>
  </si>
  <si>
    <t>0900668300</t>
  </si>
  <si>
    <t>0900668301</t>
  </si>
  <si>
    <t>Sportlife д. Якшур</t>
  </si>
  <si>
    <t>Фитнес д. Новая Казмаска</t>
  </si>
  <si>
    <t>0900668200</t>
  </si>
  <si>
    <t xml:space="preserve">Расходы на софинансирование проектов молодежного инициативного бюджетирования «Атмосфера» </t>
  </si>
  <si>
    <t>Sporttime  с. Октябрьский</t>
  </si>
  <si>
    <t>Многофункциональная спортивная площадка Завьяловской СОШ с. Завьялово</t>
  </si>
  <si>
    <t>Полоса препятствий д. Средний Постол</t>
  </si>
  <si>
    <t>Молодежный фестиваль «Этника» с. Завьялово</t>
  </si>
  <si>
    <t>ШудКарЗумья  д.Новый Сентег</t>
  </si>
  <si>
    <t>Шуд Инты (Место счастья) д. Пирогово</t>
  </si>
  <si>
    <t>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предназначенного по договору найма жилого помещения)</t>
  </si>
  <si>
    <t>11102L5762</t>
  </si>
  <si>
    <t>Приобретение материалов для ремонта дороги отдельных улиц д. Пойвай</t>
  </si>
  <si>
    <t>Расходы на реализацию мероприятий в рамках проведения республиканского конкурса "Здоровое село"</t>
  </si>
  <si>
    <t>0400107890</t>
  </si>
  <si>
    <t>Расходы за счет средств от введения самообложения граждан</t>
  </si>
  <si>
    <t>0140260180</t>
  </si>
  <si>
    <t>1410760032</t>
  </si>
  <si>
    <t>Расходы на денежное поощрение за достижение показателей деятельности</t>
  </si>
  <si>
    <t>0140300820</t>
  </si>
  <si>
    <t>Муниципальная программа "Культура Завьяловского района"</t>
  </si>
  <si>
    <t>1110260150</t>
  </si>
  <si>
    <t>0200360185</t>
  </si>
  <si>
    <t>от 25.05.2022 № 276</t>
  </si>
  <si>
    <t>0120262150</t>
  </si>
  <si>
    <t>0900608826</t>
  </si>
  <si>
    <t>Благоустройство спортивной площадки МБДОУ «Центр развития ребенка - детский сад №1 с.Завьялово»</t>
  </si>
  <si>
    <t>0900608810</t>
  </si>
  <si>
    <t>Устройство детской спортивной площадки  (Якшур)</t>
  </si>
  <si>
    <t>Подпрограмма «Энергосбережение и повышение энергетической эффективности муниципального образования «Завьяловский район»</t>
  </si>
  <si>
    <t>03002055230</t>
  </si>
  <si>
    <t>Организация отдыха, оздоровления и занятости детей, подростков и молодежи в УР</t>
  </si>
  <si>
    <t>9900400310</t>
  </si>
  <si>
    <t>Приложение № 5</t>
  </si>
  <si>
    <t>Расходы на решение вопросов местного значения, осуществляемые с участием средств самообложения граждан за счет межбюджетных трансфертов из бюджета Удмуртской Республики</t>
  </si>
  <si>
    <t>0900608220</t>
  </si>
  <si>
    <t>На погашение кредиторской задолженности прошлых лет , образовавшуюся в результате исполнения бюджета муниципального образования "Завьяловский район" главными распорядителями бюджетных средств</t>
  </si>
  <si>
    <t>На погашение кредиторской задолженности прошлых лет, образовавшуюся в результате исполнения бюджетов муниципальных образований - сельских поселений</t>
  </si>
  <si>
    <t>1410760330</t>
  </si>
  <si>
    <t>1410760340</t>
  </si>
  <si>
    <t>09006S881Д</t>
  </si>
  <si>
    <t>09006S881В</t>
  </si>
  <si>
    <t>09006S881Г</t>
  </si>
  <si>
    <t>09006S881Е</t>
  </si>
  <si>
    <t>09006S881Ж</t>
  </si>
  <si>
    <t>09006S881И</t>
  </si>
  <si>
    <t>09006S881Л</t>
  </si>
  <si>
    <t>09006S881С</t>
  </si>
  <si>
    <t>09006S881Ц</t>
  </si>
  <si>
    <t>09006S881Ч</t>
  </si>
  <si>
    <t>09006S881Ш</t>
  </si>
  <si>
    <t>09006S881Щ</t>
  </si>
  <si>
    <t>09006S881Э</t>
  </si>
  <si>
    <t>09006S881Ю</t>
  </si>
  <si>
    <t>09006S881Я</t>
  </si>
  <si>
    <t>09006S881А</t>
  </si>
  <si>
    <t>09006S881Б</t>
  </si>
  <si>
    <t>09006S881Н</t>
  </si>
  <si>
    <t>09006S881П</t>
  </si>
  <si>
    <t>09006S881Р</t>
  </si>
  <si>
    <t>09006S881Т</t>
  </si>
  <si>
    <t>09006S881У</t>
  </si>
  <si>
    <t>09006S881Ф</t>
  </si>
  <si>
    <t>0810162030</t>
  </si>
  <si>
    <t>Расходы по содержанию скотомогильников (биотермических ям) и мест захоронений животных, павших от сибирской язвы, и ликвидация неиспользуемых скотомогильников (биотермических ям)</t>
  </si>
  <si>
    <t xml:space="preserve">Cоздание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резервного фонда Правительства Российской </t>
  </si>
  <si>
    <t>014P25232F</t>
  </si>
  <si>
    <t>Изменения в приложение № 7 к решению Совета депутатов муниципального образования "Муниципальный округ Завьяловский район Удмуртской Республики"  от 08.12.2021 № 99 "О бюджете муниципального образования "Муниципальный округ Завьяловский район Удмуртской Республики" на 2022 год и на плановый период 2023 и 2024 годов "</t>
  </si>
  <si>
    <t>софинансирование расходов за счет внебюджетных источников на поддержку государственных программ субъектов РФ и муниципальных программ</t>
  </si>
  <si>
    <t>111F2Д5551</t>
  </si>
  <si>
    <t>1130160340</t>
  </si>
  <si>
    <t>Приобретение компьютерной техники в начальные классы МБОУ "Казмасской СОШ имени Героя Советского Союза Н.С.Павлова"</t>
  </si>
  <si>
    <t>расходы на софинансирование проектов в рамках участия в грантовых конкурсах</t>
  </si>
  <si>
    <t>0900668302</t>
  </si>
  <si>
    <t>0900669000</t>
  </si>
  <si>
    <t>от 06.07.2022 № 317</t>
  </si>
  <si>
    <t>09006S881К</t>
  </si>
  <si>
    <t>09006S881М</t>
  </si>
  <si>
    <t>Дот на сбал-ть ()</t>
  </si>
  <si>
    <t>Строительство центральной сети хозяйственно-бытовой канализации по улице Дворцовая д. Хохряки Завьяловского района</t>
  </si>
  <si>
    <t xml:space="preserve">Строительство центральной сети хозяйственно-бытовой канализации по ул. Центральная д. Хохряки </t>
  </si>
  <si>
    <t>09006684ДФ</t>
  </si>
  <si>
    <t>09006684ДШ</t>
  </si>
  <si>
    <t>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t>
  </si>
  <si>
    <t>1000206290</t>
  </si>
  <si>
    <t>1120200310</t>
  </si>
  <si>
    <t>1110200310</t>
  </si>
  <si>
    <t>0140300310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</si>
  <si>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счет средств бюджета УР сверх установленного уровня софинансирования)</t>
  </si>
  <si>
    <t>0150123040</t>
  </si>
  <si>
    <t>Благоустройство детской площадки на ул. Первомайская с. Бабино</t>
  </si>
  <si>
    <t>Благоустройство Парка Памяти и Славы в с. Бабино</t>
  </si>
  <si>
    <t xml:space="preserve">Устройство уличного освещения д.Жеребенки 
</t>
  </si>
  <si>
    <t>Приобретение кресел в зрительный зал сельского дома культуры «Бабинский» - структурного подразделения муниципального бюджетного учреждения «Культурный комплекс «Центральный»</t>
  </si>
  <si>
    <t>Обустройство детской площадки по ул. Молодежная д. Ожмос-Пурга</t>
  </si>
  <si>
    <t>Щебенение ул. Центральная, ул. Заречная д. Жеребенки.</t>
  </si>
  <si>
    <t>Ремонт дороги ул. Садовая д. Малиново Завьяловского района</t>
  </si>
  <si>
    <t>Приобретение материалов на ремонт дороги ул. Лесная д. Малиново</t>
  </si>
  <si>
    <t>Ремонт дороги ул. Родниковая д. Забегалово</t>
  </si>
  <si>
    <t>Щебенение улицы Янтарная от дома 13 до дома 35, дома 38 и 40 с. Завьялово Завьяловского района</t>
  </si>
  <si>
    <t>Щебенение дороги ул. Земная от дома 1 до дома 37 с. Завьялово</t>
  </si>
  <si>
    <t>Приобретение асфальтной крошки на дорогу ул. Земляничная с. Завьялово</t>
  </si>
  <si>
    <t>Щебенение улицы Янтарная, дома 37 и 39, от дома 41 до дома 50, дом 52 с. Завьялово</t>
  </si>
  <si>
    <t>Ремонт дороги ул. Витуса Беринга, с 1 по 40 дом, с. Завьялово</t>
  </si>
  <si>
    <t>Приобретение щебня на ремонт дороги ул. Просторная, д. Пычанки</t>
  </si>
  <si>
    <t>Приобретение щебня на ремонт дороги ул. Каретная, д. Пычанки</t>
  </si>
  <si>
    <t>Приобретение светодиодных светильников для освещения ул. Каретная, д. Пычанки</t>
  </si>
  <si>
    <t>Приобретение щебня на ремонт дороги ул. Отрадная, д. Пычанки</t>
  </si>
  <si>
    <t>Ремонт дороги ул. Курортная, от дома 1 до дома 11, домов 13 и 15 с. Завьялово</t>
  </si>
  <si>
    <t>Приобретение боя кирпича на ремонт дороги               ул. Курортная, дома 12, 14, от дома 16 до дома 25, дома 27, 29, 31, 33, 35, 37 с. Завьялово</t>
  </si>
  <si>
    <t>Приобретение материалов на ремонт дороги ул. Кубанская и ул. Елисейская, от дома 17 до дома 21, д. Пычанки</t>
  </si>
  <si>
    <t>Благоустройство детской площадки на ул.Береговая д. Пычанки</t>
  </si>
  <si>
    <t>Приобретение щебеночно-песчаной смеси на ремонт дороги ул. Можайская, д. Пычанки</t>
  </si>
  <si>
    <t>Приобретение материалов на ремонт дороги ул. Парадная, ул. Хрустальная и съезда с ул. Барышникова на ул. Парадная и ул. Хрустальная, д. Пычанки</t>
  </si>
  <si>
    <t>Приобретение щебня на ремонт дороги ул. Моховая, д. Пычанки</t>
  </si>
  <si>
    <t>Установка систем видеонаблюдения на ул. Молдаванская, ул. Прибрежная, ул. Медовая, ул. 8 Марта, ул. Авиаторов, ул. Изумрудная  с. Завьялово</t>
  </si>
  <si>
    <t>ремонт дороги ул. Гольянская от дома 77 до дома 89 с. Завьялово</t>
  </si>
  <si>
    <t>Приобретение материалов на ремонт дороги пер. Планетный от дома 1 до дома 4 и ул. Планетная от дома 1 до дома 38 с. Завьялово</t>
  </si>
  <si>
    <t>Ремонт дороги ул. Сенная д. Пычанки</t>
  </si>
  <si>
    <t>Ремонт дороги ул. Мельничная д. Пычанки</t>
  </si>
  <si>
    <t>Ремонт здания досугового центра «Новокварсинский» (адрес местонахождения: Удмуртская Республика, Завьяловский район, д. Новокварсинское, ул. Береговая, д. 1) – сетевое представительство сельского Дома культуры «Италмасовский» - структурного подразделения муниципального бюджетного учреждения «Культурный комплекс «Центральный»</t>
  </si>
  <si>
    <t>Ремонт дороги ул. Садовая поч. Успенский Завьяловского района</t>
  </si>
  <si>
    <t>Уличное освещение д. Сизево, ул. Славная, с 10 по 45 дом, микрорайон «Добрый»</t>
  </si>
  <si>
    <t>Приобретение материала для ремонта дороги ул. Новая, от дома 30 до дома 50, д. Каменное</t>
  </si>
  <si>
    <t>Ремонт дороги ул. Родниковая и ул. Янтарная, д. Каменное</t>
  </si>
  <si>
    <t>Укладка резинового покрытия с разметкой под игровые виды спорта на хокейнной коробке в д. Старый Чультем</t>
  </si>
  <si>
    <t>ремонт пешеходной дорожки вдоль ул. Цветочная от ул. Южная до ул. Овражная д. Старый Чультем</t>
  </si>
  <si>
    <t>Уличное освещение по ул. Добрая от перекрестка с ул. Светлая до перекрестка с ул. Отрадная д. Сизево</t>
  </si>
  <si>
    <t>Асфальтирование дороги ул. Цветочная от ул. Южная до ул. Овражная д. Старый Чультем</t>
  </si>
  <si>
    <t>Уличное освещение по ул. Светлая от дома 12 до дома 82 д. Сизево</t>
  </si>
  <si>
    <t>уличное освещение по ул. Мира от дома 50 до дома 65, ул. Высотная, ул. Снежная, ул. Рубиновая, ул. Изумрудная, ул. Строителей д. Сизево</t>
  </si>
  <si>
    <t>Приобритение асфальтной крошки на ремонт дороги ул. Удмуртская д. Новая Казмаска</t>
  </si>
  <si>
    <t>Приобретение материалов на ремонт автомобильной дороги  СНТ "Восток-1" - д. Старые Тукмачи</t>
  </si>
  <si>
    <t>Ремонт автомобильной дороги ул. Молодёжная с. Кияик</t>
  </si>
  <si>
    <t>приобретение спортивного оборудования в д. большой Кияик</t>
  </si>
  <si>
    <t xml:space="preserve">Приобретение асфальтной крошки на дорожное полотно по ул. Красная, от дома 61 до дома 80 с. Люк </t>
  </si>
  <si>
    <t>Приобретение асфальтной крошки на дорожное полотно ул. Поселковая, от дома 21 до дома 49, с. Люк</t>
  </si>
  <si>
    <t>Обустройство уличного освещения территории детской площадки по адресу: Удмуртская Республика, Завьяловский район, с. Люк, ул. Свободы, напротив дома № 6</t>
  </si>
  <si>
    <t>Ремон дороги ул. Октябрьская с. Первомайский</t>
  </si>
  <si>
    <t>Ремонт дороги ул. Ясная с. Первомайский</t>
  </si>
  <si>
    <t>Ремонт дороги ул. Лесная с. Первомайский Завьяловского района</t>
  </si>
  <si>
    <t>Ремонт дороги ул. Вишневая с. Первомайский Завьяловского района</t>
  </si>
  <si>
    <t>Ремонт дороги ул. Новая с. Первомайский Завьяловского района</t>
  </si>
  <si>
    <t>ремонт дороги ул. Нижняя с. Первомайский</t>
  </si>
  <si>
    <t>Ремонт дороги ул. Южная с. Первомайский</t>
  </si>
  <si>
    <t>ремонт дороги ул. Фруктовая с. Первомайский</t>
  </si>
  <si>
    <t>Ремонт дороги ул. Юбилейная с. Первомайский</t>
  </si>
  <si>
    <t>Ремонт дороги ул. Строителей от дома 24 до дома 64 с. Первомайский</t>
  </si>
  <si>
    <t>Ремонт дороги  ул. Сиреневая, с. Первомайский</t>
  </si>
  <si>
    <t>Обустройство пешеходной дорожкина ул. Азина от ул. Октябрьская до ул. Пионерская с. Первомайский</t>
  </si>
  <si>
    <t>Ремонт дорог ул. Дружбы, ул. Спортивная, ул. Цветочная, ул. Южная д. Пирогово Завьяловского района</t>
  </si>
  <si>
    <t>Монтаж уличного освещения д. Лудорвай, переулок Звездный, переулок Кизнерский, переулок Лучистый, переулок Радужный, переулок Счастливый, переулок Татарский, переулок Юбилейный, ул. Добрая, ул. Кирпичная, ул. Крымская, ул. Медовая, ул. Можгинская, ул. Объездная, ул. Светлая,  ул. Увинская, ул. Удмуртская, ул. Яблочная, ул. Янтарная.</t>
  </si>
  <si>
    <t>Ремонт дороги ул. Мира от дома 1 до дома 15 д. Лудорвай</t>
  </si>
  <si>
    <t>Ремонт дороги ул. Аэродромная д. Пирогово Завьяловского района</t>
  </si>
  <si>
    <t xml:space="preserve">Ремонт дороги ул. Геологов д. Пирогово </t>
  </si>
  <si>
    <t>Ремонт дорог д. Лудорвай, пер. Звездный, пер. Радужный, пер. Юбилейный, ул. Крымская, ул. Удмуртская, ул. Янтарная</t>
  </si>
  <si>
    <t>Ремонт дороги ул. Центральная д. Пирогово</t>
  </si>
  <si>
    <t>Обустройство детской площадки на ул. Нылгинская д. Пирогово</t>
  </si>
  <si>
    <t>Ремонт дороги ул. Молодёжная д. Лудорвай</t>
  </si>
  <si>
    <t>Ремонт дороги ул. Вишнёвая, д. Лудорвай</t>
  </si>
  <si>
    <t>Ремонт дороги ул. Школьная, от дома 5 до дома 11, д. Лудорвай</t>
  </si>
  <si>
    <t>Ремонт дороги ул. Кооперативная, от дома 1 до дома 6, ул. Прудовая д. Лудорвай</t>
  </si>
  <si>
    <t>Ремонт дороги ул. Советская д. Лудорвай</t>
  </si>
  <si>
    <t>Ремонт дороги ул. Заречная от дома 21 до дома 67 д. Лудорвай</t>
  </si>
  <si>
    <t>Ремонт дороги ул. Лесная от дома 2 до дома 23 д. Лудорвай</t>
  </si>
  <si>
    <t>Ремонт дороги ул. Ильинская от дома 11 до дома 22а д. Лудорвай</t>
  </si>
  <si>
    <t>Ремонт дороги ул. Рассветная д. Лудорвай</t>
  </si>
  <si>
    <t>Ремонт дороги ул. Родниковая от дома 1 до дома 15 д. Лудорвай</t>
  </si>
  <si>
    <t>Ремонт дороги ул. Солнечная от дома 1 до дома 7, ул. Окружная, ул. Верхняя, ул. Весенняя, ул. Цветочная, ул. Нагорная, пер. Цветочный д. Лудорвай</t>
  </si>
  <si>
    <t>Ремонт дороги ул. Можгинская, ул. Увинская, ул. Яблочная д. Лудорвай</t>
  </si>
  <si>
    <t>Ремонт дороги ул. Южная, от дома 1б до дома 16, д. Лудорвай</t>
  </si>
  <si>
    <t>Ремонт дороги ул. Полевая, ул. Труда, от дома 14 до дома 31, ул. Школьная, от дома 1 до дома 4, д. Лудорвай</t>
  </si>
  <si>
    <t>обустройство детской площадки на ул. Солнечная д. Пирогово</t>
  </si>
  <si>
    <t>Приобретение материалов на ремонт дороги ул. Школьная, от дома 1 до дома 10, д. Подшивалово</t>
  </si>
  <si>
    <t>Приобретение щебня на дорогу ул. Ольховая д. Курегово Завьяловского района</t>
  </si>
  <si>
    <t>Приобретение материалов для ремонта дороги                ул. Центральная д. Лудзя-Норья</t>
  </si>
  <si>
    <t>Приобретение материалов на ремонт дороги ул. Вишнёвая от дома 1 до дома 20 д. Курегово</t>
  </si>
  <si>
    <t>Приобретение материалов на ремонт дороги ул. Вишнёвая от дома 46 до дома 76 д. Курегово</t>
  </si>
  <si>
    <t>Приобретение материалов на ремонт дороги ул. Лазоревая д. Курегово</t>
  </si>
  <si>
    <t>Приобретение материалов на ремонт дороги ул. Полевая и ул. Ромашковая д. Курегово</t>
  </si>
  <si>
    <t>Приобретение материалов на ремонт дороги ул. Черемуховая от дома 17 до дома 44 д. Курегово</t>
  </si>
  <si>
    <t>Приобретение материалов на ремонт дороги ул. Ясеневая д. Курегово</t>
  </si>
  <si>
    <t>Приобретение материалов на ремонт дороги ул. Полевая от дома 1 до дома 10, ул. Октябрьская, ул. Береговая д. Кузили</t>
  </si>
  <si>
    <t>Приобретение материалов на ремонт дороги ул. Совхозная от дома 18 до дома 59 с. Советско-Никольское</t>
  </si>
  <si>
    <t>Приобретение материалов на ремонт дороги ул. Западная, дома 1, 3, 5, 12, 16, 18, 20, 54б, д. Подшивалово</t>
  </si>
  <si>
    <t>Приобретение материалов на ремонт дороги ул. Западная, дома 11а, 13, 17, 21, 26, 26а, 32, 34, 34а, 38, 38а, 56, д. Подшивалово</t>
  </si>
  <si>
    <t>Приобретение материалов на ремонт дороги ул. Южная д. Подшивалово</t>
  </si>
  <si>
    <t>Приобретение материалов на ремонт дороги ул. Вербная, дома 1, 5, 22, ул. Западная, дома 43 и пер. Березовый, дома 1, 2 д. Подшивалово</t>
  </si>
  <si>
    <t>Приобретение материалов на ремонт дороги ул. Мира и ул. Свободы д. Козлово</t>
  </si>
  <si>
    <t>Приобретение материалов на ремонт дороги ул. Центральная, от дома 11 до дома 19 и ул. Мужвайская, от перекрестка с ул. Центральная до перекрестка с ул. Песочная, поч. Можвай</t>
  </si>
  <si>
    <t>приобретение материалов на ремонт дороги ул. Черемуховая от дома 46 до дома 74 д. Курегово</t>
  </si>
  <si>
    <t>приобретение материалов на ремонт дороги ул. Свободы д. Ленино</t>
  </si>
  <si>
    <t>Приобретение материалов на ремонт дороги ул. Западная д. Курегово</t>
  </si>
  <si>
    <t>Приобретение материалов на ремонт дороги ул. Лесная с. Постол</t>
  </si>
  <si>
    <t>приобретение щебня на ремонт дороги переулка Кирпичный, от дома 1 до дома 5, с. Постол</t>
  </si>
  <si>
    <t>Приобретение материалов на ремонт дороги ул. Восточная с. Постол</t>
  </si>
  <si>
    <t>Приобретение материалов на ремонт дороги ул. Кирпичная и переулка Кирпичный, домов 6 и 7, с. Постол</t>
  </si>
  <si>
    <t>Приобретение материалов для ремонта дороги              ул. Зелёная с. Постол</t>
  </si>
  <si>
    <t>Щебенение дороги ул. Ветеранов д. Верхний Женвай</t>
  </si>
  <si>
    <t>Приобретение материалов на ремонт дороги ул. Новая с. Постол</t>
  </si>
  <si>
    <t>Приобретение материалов на ремонт дорог ул. Весенняя, ул. Дружбы, ул. Зелёная, ул. Луговая, ул. Победы, ул. Придорожная, ул. Свободы д. Средний Постол</t>
  </si>
  <si>
    <t>Щебенение дороги ул. Урал д. Верхний Женвай</t>
  </si>
  <si>
    <t>Щебенение дороги ул. Октябрьская д. Постол</t>
  </si>
  <si>
    <t>Щебенение дороги ул.Успенская д. Постол</t>
  </si>
  <si>
    <t>Приобретение материалов на ремонт дороги ул. Весенняя д. Малая Венья</t>
  </si>
  <si>
    <t>Приобретение материалов на ремонт дороги ул. Цветочная д. Малая Венья</t>
  </si>
  <si>
    <t>Приобретение материалов на ремонт дороги ул. Молодёжная и ул. Пугачёвская д. Непременная Лудзя</t>
  </si>
  <si>
    <t>Приобретение материалов на ремонт дороги ул. Южная д. Малая Венья</t>
  </si>
  <si>
    <t>Приобретение материалов на ремонт дороги ул. Новостроительная с. Совхозный</t>
  </si>
  <si>
    <t>Приобретение материалов на ремонт дороги ул. Короткая д. Малая Венья</t>
  </si>
  <si>
    <t>Приобретение материалов на ремонт дороги д. Непременная Лудзя, ул. Полевая и ул. Школьная от дома 1 до дома 23</t>
  </si>
  <si>
    <t>Приобретение материалов на ремонт дороги ул. 50 лет Победы с. Совхозный</t>
  </si>
  <si>
    <t>Приобретение материалов на ремонт дороги ул. Северная д. Непременная Лудзя</t>
  </si>
  <si>
    <t>Приобретение материалов на ремонт дороги ул. Центральная д. Малая Венья</t>
  </si>
  <si>
    <t>Приобретение материалов на ремонт дороги ул. Степная с. Совхозный</t>
  </si>
  <si>
    <t>Приобретение материалов на ремонт дороги ул. Школьная от дома 25а до дома 55 д. Непременная Лудзя</t>
  </si>
  <si>
    <t>Асфальтирование автомобильной дороги в д. Хохряки по ул. Соловьиная</t>
  </si>
  <si>
    <t>Асфальтирование автомобильной дороги в д. Хохряки по ул. Цветочная</t>
  </si>
  <si>
    <t>ремонт автомобильной дороги ул. Восточная д.Хохряки</t>
  </si>
  <si>
    <t>Ремонт автомобильной дороги с ул. Мира на ул. Победы д. Хохряки</t>
  </si>
  <si>
    <t>Асфальтирование автомобильной дороги переулка Малиновый д.Хохряки</t>
  </si>
  <si>
    <t xml:space="preserve">Асфальтирование автомобильной дороги ул. Покровская д. Хохряки </t>
  </si>
  <si>
    <t>Щебенение дороги ул. Тополиная, от дома 2 до дома 24, с. Ягул</t>
  </si>
  <si>
    <t>Щебенение дороги ул. Покровская с. Ягул</t>
  </si>
  <si>
    <t>Ремонт дороги ул. Удмуртская д. Старое Михайловское</t>
  </si>
  <si>
    <t>Приобретение материалов на ремонт дороги ул. Летняя, от перекрестка Заречная до перекрестка Колхозная, с. Ягул</t>
  </si>
  <si>
    <t>Ремонт дорог ул. Подлесная, ул. Сосновая д. Старое Михайловское</t>
  </si>
  <si>
    <t>Щебенение дороги ул. Еловая от дома 1 до дома 20 д. Русский Вожой</t>
  </si>
  <si>
    <t>Ремонт дороги ул. Отрадная с. Ягул</t>
  </si>
  <si>
    <t>Ремонт дороги ул. Абрикосовая от дома 21 до дома 46 д. Русский Вожой</t>
  </si>
  <si>
    <t>Ремонт дороги ул. Малиновая от дома 1 до дома 20 д. Русский Вожой</t>
  </si>
  <si>
    <t>Ремонт дороги ул. Лиственная от дома 1 до дома 11 д. Русский Вожой</t>
  </si>
  <si>
    <t>Ремонт дороги ул. Лиственная от дома 12 до дома 33 д. Русский Вожой</t>
  </si>
  <si>
    <t>Ремонт дороги ул. Виноградная от дома 22 до дома 42  д. Русский Вожой</t>
  </si>
  <si>
    <t>Ремонт дороги ул. Дорожная, ул. Сосновая от перекрестка ул. Дорожная до перекрестка ул. Холмогорова с. Ягул</t>
  </si>
  <si>
    <t>Ремонт дороги ул. Виноградная от дома 1 до дома 20 д. Русский Вожой</t>
  </si>
  <si>
    <t>Ремонт дороги ул. Березовая от дома 1 до дома 20 д. Русский Вожой</t>
  </si>
  <si>
    <t>Ремонт дороги ул. Березовая от дома 21 до дома 41 д. Русский Вожой</t>
  </si>
  <si>
    <t>Ремонт дороги ул. Абрикосовая от дома 1 до дома 20 д. Русский Вожой</t>
  </si>
  <si>
    <t>Обустройство уличного освещения ул. Еловая от дома 1 дома 20 д. Русский Вожой</t>
  </si>
  <si>
    <t>Щебенение дороги ул. Спортивная от дома 12 до дома 16, пер. Спортивный от дома 5 до дома 10 с. Ягул</t>
  </si>
  <si>
    <t>Приобретение материалов на ремонт дороги ул. Прудовая д. Старое Михайловское</t>
  </si>
  <si>
    <t>Ремонт дороги от перекрестка ул.Луговая и проезд Южный до ул. Холмогорова с. Ягул</t>
  </si>
  <si>
    <t>Ремонт дороги от границ земельного участка по адресу: проезд Южный, 1А до ул. Холмогорова с. Ягул</t>
  </si>
  <si>
    <t>Приобретение материалов на ремонт дороги ул. Бахтияровская д. Бахтияры</t>
  </si>
  <si>
    <t>Ремонт дороги местного значения Воткинский тракт - д. Старые Марасаны</t>
  </si>
  <si>
    <t>09006684АА</t>
  </si>
  <si>
    <t>09006684АБ</t>
  </si>
  <si>
    <t>09006684АВ</t>
  </si>
  <si>
    <t>09006684АГ</t>
  </si>
  <si>
    <t>09006684АД</t>
  </si>
  <si>
    <t>09006684АЕ</t>
  </si>
  <si>
    <t>09006684ЖА</t>
  </si>
  <si>
    <t>09006684АЛ</t>
  </si>
  <si>
    <t>09006684АМ</t>
  </si>
  <si>
    <t>09006684АН</t>
  </si>
  <si>
    <t>09006684ЖБ</t>
  </si>
  <si>
    <t>09006684АП</t>
  </si>
  <si>
    <t>09006684АР</t>
  </si>
  <si>
    <t>09006684АС</t>
  </si>
  <si>
    <t>09006684АТ</t>
  </si>
  <si>
    <t>09006684АУ</t>
  </si>
  <si>
    <t>09006684АФ</t>
  </si>
  <si>
    <t>09006684ЖВ</t>
  </si>
  <si>
    <t>09006684АЦ</t>
  </si>
  <si>
    <t>09006684АЧ</t>
  </si>
  <si>
    <t>09006684АШ</t>
  </si>
  <si>
    <t>09006684АЩ</t>
  </si>
  <si>
    <t>09006684АЭ</t>
  </si>
  <si>
    <t>09006684АЮ</t>
  </si>
  <si>
    <t>09006684АЯ</t>
  </si>
  <si>
    <t>09006684БА</t>
  </si>
  <si>
    <t>09006684ББ</t>
  </si>
  <si>
    <t>09006684БВ</t>
  </si>
  <si>
    <t>09006684БГ</t>
  </si>
  <si>
    <t>09006684БД</t>
  </si>
  <si>
    <t>09006684БЕ</t>
  </si>
  <si>
    <t>09006684БЖ</t>
  </si>
  <si>
    <t>09006684ЖГ</t>
  </si>
  <si>
    <t>09006684БИ</t>
  </si>
  <si>
    <t>09006684БК</t>
  </si>
  <si>
    <t>09006684БЛ</t>
  </si>
  <si>
    <t>09006684БМ</t>
  </si>
  <si>
    <t>09006684БН</t>
  </si>
  <si>
    <t>09006684БП</t>
  </si>
  <si>
    <t>09006684БР</t>
  </si>
  <si>
    <t>09006684БС</t>
  </si>
  <si>
    <t>09006684БТ</t>
  </si>
  <si>
    <t>09006684БУ</t>
  </si>
  <si>
    <t>09006684БФ</t>
  </si>
  <si>
    <t>09006684ЖЕ</t>
  </si>
  <si>
    <t>09006684БЦ</t>
  </si>
  <si>
    <t>09006684БЧ</t>
  </si>
  <si>
    <t>09006684БШ</t>
  </si>
  <si>
    <t>09006684БЩ</t>
  </si>
  <si>
    <t>09006684БЭ</t>
  </si>
  <si>
    <t>09006684БЮ</t>
  </si>
  <si>
    <t>09006684БЯ</t>
  </si>
  <si>
    <t>09006684ВА</t>
  </si>
  <si>
    <t>09006684ВБ</t>
  </si>
  <si>
    <t>09006684ВВ</t>
  </si>
  <si>
    <t>09006684ВГ</t>
  </si>
  <si>
    <t>09006684ВД</t>
  </si>
  <si>
    <t>09006684ВЕ</t>
  </si>
  <si>
    <t>09006684ВЖ</t>
  </si>
  <si>
    <t>09006684ЖИ</t>
  </si>
  <si>
    <t>09006684ВИ</t>
  </si>
  <si>
    <t>09006684ВК</t>
  </si>
  <si>
    <t>09006684ВЛ</t>
  </si>
  <si>
    <t>09006684ВМ</t>
  </si>
  <si>
    <t>09006684ВН</t>
  </si>
  <si>
    <t>09006684ЖК</t>
  </si>
  <si>
    <t>09006684ВП</t>
  </si>
  <si>
    <t>09006684ВР</t>
  </si>
  <si>
    <t>09006684ВС</t>
  </si>
  <si>
    <t>09006684ВТ</t>
  </si>
  <si>
    <t>09006684ВУ</t>
  </si>
  <si>
    <t>09006684ВФ</t>
  </si>
  <si>
    <t>09006684ЖЛ</t>
  </si>
  <si>
    <t>09006684ВЦ</t>
  </si>
  <si>
    <t>09006684ВЧ</t>
  </si>
  <si>
    <t>09006684ВШ</t>
  </si>
  <si>
    <t>09006684ВЩ</t>
  </si>
  <si>
    <t>09006684ВЭ</t>
  </si>
  <si>
    <t>09006684ВЮ</t>
  </si>
  <si>
    <t>09006684ВЯ</t>
  </si>
  <si>
    <t>09006684ГА</t>
  </si>
  <si>
    <t>09006684ГБ</t>
  </si>
  <si>
    <t>09006684ГВ</t>
  </si>
  <si>
    <t>09006684ГГ</t>
  </si>
  <si>
    <t>09006684ГД</t>
  </si>
  <si>
    <t>09006684ГЕ</t>
  </si>
  <si>
    <t>09006684ГЖ</t>
  </si>
  <si>
    <t>09006684ЖМ</t>
  </si>
  <si>
    <t>09006684ГИ</t>
  </si>
  <si>
    <t>09006684ГК</t>
  </si>
  <si>
    <t>09006684ГЛ</t>
  </si>
  <si>
    <t>09006684ГМ</t>
  </si>
  <si>
    <t>09006684ГН</t>
  </si>
  <si>
    <t>09006684ЖН</t>
  </si>
  <si>
    <t>09006684ГП</t>
  </si>
  <si>
    <t>09006684ГР</t>
  </si>
  <si>
    <t>09006684ГС</t>
  </si>
  <si>
    <t>09006684ГТ</t>
  </si>
  <si>
    <t>09006684ГУ</t>
  </si>
  <si>
    <t>09006684ГФ</t>
  </si>
  <si>
    <t>09006684ЖП</t>
  </si>
  <si>
    <t>09006684ГЦ</t>
  </si>
  <si>
    <t>09006684ГЧ</t>
  </si>
  <si>
    <t>09006684ГШ</t>
  </si>
  <si>
    <t>09006684ГЩ</t>
  </si>
  <si>
    <t>09006684ГЭ</t>
  </si>
  <si>
    <t>09006684ГЯ</t>
  </si>
  <si>
    <t>09006684ДА</t>
  </si>
  <si>
    <t>09006684ДБ</t>
  </si>
  <si>
    <t>09006684ДВ</t>
  </si>
  <si>
    <t>09006684ДГ</t>
  </si>
  <si>
    <t>09006684ДД</t>
  </si>
  <si>
    <t>09006684ДЕ</t>
  </si>
  <si>
    <t>09006684ДЖ</t>
  </si>
  <si>
    <t>09006684ЖР</t>
  </si>
  <si>
    <t>09006684ДИ</t>
  </si>
  <si>
    <t>09006684ДК</t>
  </si>
  <si>
    <t>09006684ДЛ</t>
  </si>
  <si>
    <t>09006684ДМ</t>
  </si>
  <si>
    <t>09006684ДН</t>
  </si>
  <si>
    <t>09006684ЖС</t>
  </si>
  <si>
    <t>09006684ДП</t>
  </si>
  <si>
    <t>09006684ДР</t>
  </si>
  <si>
    <t>09006684ДС</t>
  </si>
  <si>
    <t>09006684ДТ</t>
  </si>
  <si>
    <t>09006684ДУ</t>
  </si>
  <si>
    <t>09006684ЖТ</t>
  </si>
  <si>
    <t>09006684ДЧ</t>
  </si>
  <si>
    <t>09006684ДЩ</t>
  </si>
  <si>
    <t>09006684ДЭ</t>
  </si>
  <si>
    <t>09006684ДЮ</t>
  </si>
  <si>
    <t>09006684ДЯ</t>
  </si>
  <si>
    <t>09006684ЕА</t>
  </si>
  <si>
    <t>09006684ЕБ</t>
  </si>
  <si>
    <t>09006684ЕВ</t>
  </si>
  <si>
    <t>09006684ЕГ</t>
  </si>
  <si>
    <t>09006684ЕД</t>
  </si>
  <si>
    <t>09006684ЕЕ</t>
  </si>
  <si>
    <t>09006684ЕЖ</t>
  </si>
  <si>
    <t>09006684ЖУ</t>
  </si>
  <si>
    <t>09006684ЕИ</t>
  </si>
  <si>
    <t>09006684ЕК</t>
  </si>
  <si>
    <t>09006684ЕЛ</t>
  </si>
  <si>
    <t>09006684ЕМ</t>
  </si>
  <si>
    <t>09006684ЕН</t>
  </si>
  <si>
    <t>09006684ЕП</t>
  </si>
  <si>
    <t>09006684ЕР</t>
  </si>
  <si>
    <t>09006684ЕС</t>
  </si>
  <si>
    <t>09006684ЕТ</t>
  </si>
  <si>
    <t>09006684ЕУ</t>
  </si>
  <si>
    <t>09006684ЕФ</t>
  </si>
  <si>
    <t>09006684ЕЦ</t>
  </si>
  <si>
    <t>09006684ЕШ</t>
  </si>
  <si>
    <t>09006684ЕЩ</t>
  </si>
  <si>
    <t>09006684ЕЭ</t>
  </si>
  <si>
    <t>09006684ЕЮ</t>
  </si>
  <si>
    <t xml:space="preserve">Расходы за счет средств от введения самообложения граждан </t>
  </si>
  <si>
    <t>от 02.09.2022 № 355</t>
  </si>
  <si>
    <t>09006S9554</t>
  </si>
  <si>
    <t>09006S9555</t>
  </si>
  <si>
    <t>09006S9556</t>
  </si>
  <si>
    <t>09006S9551</t>
  </si>
  <si>
    <t>09006S9557</t>
  </si>
  <si>
    <t>Расходы на реализацию мероприятий по поэтапному внедрению Всероссийского физкультурно-спортивного комплекса "Готов к труду и обороне" (ГТО)</t>
  </si>
  <si>
    <t>0400151270</t>
  </si>
  <si>
    <t>Расходы на предоставление грантов по итогам оценки эффективности деятельности</t>
  </si>
  <si>
    <t>9900305580</t>
  </si>
  <si>
    <t>1330460150</t>
  </si>
  <si>
    <t>1410760180</t>
  </si>
  <si>
    <t>9900000310</t>
  </si>
  <si>
    <t>1410700310</t>
  </si>
  <si>
    <t>1410705580</t>
  </si>
  <si>
    <t>1110100310</t>
  </si>
  <si>
    <t>1000100310</t>
  </si>
  <si>
    <t>0110100310</t>
  </si>
  <si>
    <t>0110200310</t>
  </si>
  <si>
    <t>0120100310</t>
  </si>
  <si>
    <t>0140100310</t>
  </si>
  <si>
    <t>0200400310</t>
  </si>
  <si>
    <t>от 28.09.2022 № 364</t>
  </si>
  <si>
    <t>0900500310</t>
  </si>
  <si>
    <t>Подпрограмма «Содержание и развитие коммунальной инфраструктуры Завьяловского района"</t>
  </si>
  <si>
    <t>09006S9552</t>
  </si>
  <si>
    <t>09006S9553</t>
  </si>
  <si>
    <t>Разработка проектно-сметной документации на капитальный ремонт гидротехнических сооружений, находящихся в муниципальной собственности</t>
  </si>
  <si>
    <t>Подпрограмма «Энергосбережение и повышение энергетической эффективности Завьяловского района»</t>
  </si>
  <si>
    <t>1330406220</t>
  </si>
  <si>
    <t>Расходы на подготовку (переподготовку) и повышение квалификации кадров</t>
  </si>
  <si>
    <t>0130260270</t>
  </si>
  <si>
    <t>09006S881D</t>
  </si>
  <si>
    <t>09006S881G</t>
  </si>
  <si>
    <t>Благоустройство спортивной площадки МБДОУ «Центр развития ребенка - детский сад №1»</t>
  </si>
  <si>
    <t>09006S881F</t>
  </si>
  <si>
    <t>Дот на сбал-ть (лизинговые платежи)</t>
  </si>
  <si>
    <t>от 19.10.2022 № 373</t>
  </si>
  <si>
    <t>Ремонт дороги ул. Новая д. Малиново</t>
  </si>
  <si>
    <t>Ремонт дороги ул.Ромашковая с.Завьялово</t>
  </si>
  <si>
    <t>Приобретение материалов на ремонт дороги ул. Лунная, от дома 5 до дома 31 по нечетной стороне и от дома 6 до дома 34 по четной стороне, с. Завьялово</t>
  </si>
  <si>
    <t>Приобретение материалов на ремонт дороги ул.Дивная от дома 1 до дома 42, ул.Галактическая от ул.Лунная до ул.Витуса Беренга</t>
  </si>
  <si>
    <t>Приобретение материалов для ремонта дороги ул. Прудовая д. Старый Чультем</t>
  </si>
  <si>
    <t>Приобретение материалов для ремонта участка дороги ул. Светлая от пересечения с ул. Отрадная до ул. Мирная д. Сизево</t>
  </si>
  <si>
    <t>Приобретение материалов для ремонта дороги ул. Черноморская д. Старый Чультем</t>
  </si>
  <si>
    <t>Ремонт дороги ул. Ивановская д. Старые Кены</t>
  </si>
  <si>
    <t>Приобретение материалов на ремонт дороги ул. Цветочная, от перекрестка с ул. Полевая до дома 30, д. Каменное</t>
  </si>
  <si>
    <t>Приобретение материалов для ремонта дорожных обочин по ул. Родниковая, ул. Янтарная д. Каменное</t>
  </si>
  <si>
    <t>ремонт дороги ул. Луговая с. Первомайский</t>
  </si>
  <si>
    <t>Ремонт дороги ул. Солнечная с. Первомайский</t>
  </si>
  <si>
    <t>Ремонт дороги ул.Цветочная с.Первомайский</t>
  </si>
  <si>
    <t>Приобретение материалов на ремонт дороги ул. Сосновая д. Курегово</t>
  </si>
  <si>
    <t>Ремонт дорог ул. Лесная, ул. Подлесная, ул. Еловая, переулок 2-й Лесной, переулок 3-й Лесной, переулок 4-й Лесной, переулок 5-й Лесной, переулок 6-й Лесной д. Курегово</t>
  </si>
  <si>
    <t>Ремонт дороги ул. Нагорная от дома 1 до дома 55, переулок Малый д. Сепыч</t>
  </si>
  <si>
    <t>Асфальтированин автомобильной дороги переулка Бирюзовый д. Хохряки</t>
  </si>
  <si>
    <t>Ремонт автомобильной дороги с ул.Мира на ул.Южная д.Хохряки</t>
  </si>
  <si>
    <t>асфальтирование автомобильной дороги ул. Труда д. Хохряки</t>
  </si>
  <si>
    <t>асфальтирование автомобильной дороги переулка Сосновый д. Хохряки</t>
  </si>
  <si>
    <t>асфальтирование автомобильной дороги переулка Родниковый д. Хохряки</t>
  </si>
  <si>
    <t>асфальтирование автомобильной дороги        ул. Солнечная д. Хохряки</t>
  </si>
  <si>
    <t>ремонт автомобильной дороги с ул. Мира на ул. Лазурная д. Хохряки</t>
  </si>
  <si>
    <t>Ремонт автомобильной дороги с ул. Мира на ул. Приозерная д. Хохряки</t>
  </si>
  <si>
    <t>Асфальтирование автомобильной дороги в деревне Хохряки по улице Подлесная</t>
  </si>
  <si>
    <t>Асфальтирование автомобильной дороги по       ул. Васильковая д. Хохряки</t>
  </si>
  <si>
    <t>Асфальтирование автомобильной дороги ул.Радужная д.Хохряки</t>
  </si>
  <si>
    <t>Ремонт дороги ул. Смородиновая д. Русский Вожой</t>
  </si>
  <si>
    <t>Ремонт дорог ул. Весенняя, ул. Васильковая д. Русский Вожой</t>
  </si>
  <si>
    <t>Приобретение материалов на ремонт дороги ул. Березовая с. Ягул</t>
  </si>
  <si>
    <t>Приобретение материалов на ремонт дороги ул. Солнечная с. Ягул</t>
  </si>
  <si>
    <t>Ремонт дорог ул. Курская,  Смоленская, Брянская, Рязанская, Ярославская, Владимирская, Новгородская, Живописная, Новгородская д. Старое Михайловское</t>
  </si>
  <si>
    <t>приобретение строительных материалов на ремонт дороги ул. Родниковая поч. Новомихайловский</t>
  </si>
  <si>
    <t>Ремонт дороги ул. Верхняя  д. Крестовоздвиженское</t>
  </si>
  <si>
    <t>Асфальтирование дороги  в поч. Мирный</t>
  </si>
  <si>
    <t>Ремонт дороги ул. Каштановая д.Русский Вожой</t>
  </si>
  <si>
    <t>Ремонт дороги ул.Графа Шувалова с.Ягул</t>
  </si>
  <si>
    <t>Приобретение материалов для ремонта дороги ул. Колхозная с.Ягул</t>
  </si>
  <si>
    <t>Ремонт дороги пр. Бородинский, ул. Новгородская д. Старое Михайловское</t>
  </si>
  <si>
    <t>Ремонт дороги ул.Ольховая д.Старое Михайловское</t>
  </si>
  <si>
    <t>Приобретение асфальтной крошки для ремонта дороги ул. Сосновая д. 25, 27, 29, 31-52 д. Якшур</t>
  </si>
  <si>
    <t>Ремонт дороги ул. Молодёжная от дома 11 до дома 24 д.Якшур</t>
  </si>
  <si>
    <t>09006684АИ</t>
  </si>
  <si>
    <t>09006684ИД</t>
  </si>
  <si>
    <t>09006684ИЖ</t>
  </si>
  <si>
    <t>09006684ИЛ</t>
  </si>
  <si>
    <t>09006684ИМ</t>
  </si>
  <si>
    <t>09006684ИН</t>
  </si>
  <si>
    <t>09006684ИР</t>
  </si>
  <si>
    <t>09006684ИТ</t>
  </si>
  <si>
    <t>09006684ИФ</t>
  </si>
  <si>
    <t>09006684ИЦ</t>
  </si>
  <si>
    <t>09006684ИЮ</t>
  </si>
  <si>
    <t>09006684ИЯ</t>
  </si>
  <si>
    <t>09006684КА</t>
  </si>
  <si>
    <t>09006684КБ</t>
  </si>
  <si>
    <t>09006684КВ</t>
  </si>
  <si>
    <t>09006684КГ</t>
  </si>
  <si>
    <t>09006684КЖ</t>
  </si>
  <si>
    <t>09006684КИ</t>
  </si>
  <si>
    <t>09006684КК</t>
  </si>
  <si>
    <t>09006684КЛ</t>
  </si>
  <si>
    <t>09006684КМ</t>
  </si>
  <si>
    <t>09006684КН</t>
  </si>
  <si>
    <t>09006684КП</t>
  </si>
  <si>
    <t>09006684КР</t>
  </si>
  <si>
    <t>09006684КС</t>
  </si>
  <si>
    <t>09006684КТ</t>
  </si>
  <si>
    <t>09006684КУ</t>
  </si>
  <si>
    <t>09006684КЦ</t>
  </si>
  <si>
    <t>09006684КШ</t>
  </si>
  <si>
    <t>09006684КЩ</t>
  </si>
  <si>
    <t>09006684КЭ</t>
  </si>
  <si>
    <t>09006684КЮ</t>
  </si>
  <si>
    <t>09006684КЯ</t>
  </si>
  <si>
    <t>09006684ЛБ</t>
  </si>
  <si>
    <t>09006684ЛВ</t>
  </si>
  <si>
    <t>09006684ЛД</t>
  </si>
  <si>
    <t>09006684ЛЕ</t>
  </si>
  <si>
    <t>09006684ЛЖ</t>
  </si>
  <si>
    <t>09006684ЛИ</t>
  </si>
  <si>
    <t>09006684ЛК</t>
  </si>
  <si>
    <t>09006684ЛН</t>
  </si>
  <si>
    <t>09006684ЛП</t>
  </si>
  <si>
    <t>Приобретение водонапорной башни в д. Каменное</t>
  </si>
  <si>
    <t>09006684ИЧ</t>
  </si>
  <si>
    <t>Благоустройство территории досугового центра «Сапаровский» - сетевое представительство Сельского Дома культуры «Бабинский» - структурного подразделения муниципального бюджетного учреждения «Культурный комплекс «Центральный»</t>
  </si>
  <si>
    <t>Благоустройство детской площадки на ул.Лесная д. Малиново</t>
  </si>
  <si>
    <t>Ремонт пешеходной дорожки вдоль многоквартирного жилого дома № 55 по ул. Калинина с. Завьялово</t>
  </si>
  <si>
    <t>Устройство уличного освещения ул. Спасская, ул. Фестивальная, ул. Тихая, ул. Цветущая, ул. Небесная, ул. Ясная, ул. Рождественская, ул. Лучистая д. Старое Мартьяново</t>
  </si>
  <si>
    <t>Обустройство уличного освещения территории детской площадки по адресу: Удмуртская Республика, Завьяловский район, с. Завьялово, ул. Орбитальная</t>
  </si>
  <si>
    <t>Обустройство уличного освещения ул. Васильковая от дома 42 до дома 84 по четной стороне и от дома 57 до дома 105 по нечетной стороне, переулка Васильковый, от дома 1 до дома 5 с.Завьялово</t>
  </si>
  <si>
    <t xml:space="preserve">Приобретение оборудования для детской площадки по адресу: Удмуртская Республика, Завьяловский район, с. Завьялово, ул. Орбитальная </t>
  </si>
  <si>
    <t>Обустройство уличного освещения                 ул. Черноморская д. Старый Чультем</t>
  </si>
  <si>
    <t>Обустройство уличного освещения ул. Мира, от дома 1 до дома 49, ул. Южный Взвоз д. Сизево</t>
  </si>
  <si>
    <t>Обустройство уличного освещения                   ул. Молодежная, ул. Песчаная, ул. Подгорная, ул. Сосновая, ул. Элитная д. Старый Чультем</t>
  </si>
  <si>
    <t>Обустройство уличного освещения ул. Цветочная, от перекрестка с ул. Полевая до дома 30, д. Каменное</t>
  </si>
  <si>
    <t>Приобретение снегоуборочной техники для расчистки тротуарной дорожки в д.Подшивалово</t>
  </si>
  <si>
    <t>Приобретение и установка детского игрового комплекса на ул. Степная с. Совхозный</t>
  </si>
  <si>
    <t>Обустройство уличного освещения ул.Зеленая, ул. Прудовая, ул. Луговая д. Старое Михайловское</t>
  </si>
  <si>
    <t>Обустройство детской спортивной площадки в поч. Мирный</t>
  </si>
  <si>
    <t>Обустройство уличного освещения ул. Дорожная с. Ягул</t>
  </si>
  <si>
    <t>Обустройство уличного освещения ул.Дружбы д.Старое Михайловское</t>
  </si>
  <si>
    <t>09006684АЖ</t>
  </si>
  <si>
    <t>09006684КФ</t>
  </si>
  <si>
    <t>09006684ИА</t>
  </si>
  <si>
    <t>09006684ИБ</t>
  </si>
  <si>
    <t>09006684ИВ</t>
  </si>
  <si>
    <t>09006684ИЕ</t>
  </si>
  <si>
    <t>09006684ИК</t>
  </si>
  <si>
    <t>09006684ИП</t>
  </si>
  <si>
    <t>09006684ИУ</t>
  </si>
  <si>
    <t>09006684ИШ</t>
  </si>
  <si>
    <t>09006684ИЩ</t>
  </si>
  <si>
    <t>09006684КД</t>
  </si>
  <si>
    <t>09006684КЕ</t>
  </si>
  <si>
    <t>09006684ЖФ</t>
  </si>
  <si>
    <t>09006684КЧ</t>
  </si>
  <si>
    <t>09006684ЛА</t>
  </si>
  <si>
    <t>09006684ЛГ</t>
  </si>
  <si>
    <t>Приобретение одежды сцены (текстильного оформления сцены) в СДК «Каменский» (адрес местонахождения: Удмуртская Республика, Завьяловский район, д. Каменное, ул. Молодежная 2а) – структурного подразделения муниципального бюджетного учреждения «Культурный комплекс «Центральный»</t>
  </si>
  <si>
    <t>приобретение стульев для зрительного зала Досугового центра Новосентегский (адрес местонахождения: Удмуртская Республика, Завьяловский район, д. Новый Сентег, ул. Клубная, д. 19) – сетевое представительство Сельского Дома культуры «Люкский» - структурного подразделения муниципального бюджетного учреждения «Культурный комплекс «Центральный»</t>
  </si>
  <si>
    <t>09006684ИС</t>
  </si>
  <si>
    <t>09006684ИЭ</t>
  </si>
  <si>
    <t>Установка систем видеонаблюдения на территории детской площадки по адресу: Удмуртская Республика, Завьяловский район, с. Завьялово, ул. Орбитальная</t>
  </si>
  <si>
    <t>09006684ИГ</t>
  </si>
  <si>
    <t>09006S9558</t>
  </si>
  <si>
    <t>1110160150</t>
  </si>
  <si>
    <t>Расходы на переселение граждан из аварийного жилищного фонда, осуществляемые за счет средств местного бюджета</t>
  </si>
  <si>
    <t>111F36748S</t>
  </si>
  <si>
    <t>0140362150</t>
  </si>
  <si>
    <t>1000205040</t>
  </si>
  <si>
    <t>Управление земельными участками и развитие инфраструктуры системы государственного и муниципального управления земельными ресурсами</t>
  </si>
  <si>
    <t>Приложение № 2</t>
  </si>
  <si>
    <t>от 10.11.2022 № 383</t>
  </si>
  <si>
    <t>9900060032</t>
  </si>
  <si>
    <t>1410660032</t>
  </si>
  <si>
    <t>1110160032</t>
  </si>
  <si>
    <t>1110360032</t>
  </si>
  <si>
    <t>0900560032</t>
  </si>
  <si>
    <t>0140160032</t>
  </si>
  <si>
    <t>1000160032</t>
  </si>
  <si>
    <t>0200460032</t>
  </si>
  <si>
    <t>1410960032</t>
  </si>
  <si>
    <t>1000300310</t>
  </si>
  <si>
    <t>1110300310</t>
  </si>
  <si>
    <t>1410600310</t>
  </si>
  <si>
    <t>Расходы на мероприятия по стимулированию программ развития жилищного строительства (сверх установленного уровня софинансирования)</t>
  </si>
  <si>
    <t>111F120210</t>
  </si>
  <si>
    <t>Расходы на выполнение наказов избирателей депутатам Совета депутатов муниципального образования "Муниципальный округ Завьяловский район Удмуртской Республики</t>
  </si>
  <si>
    <t>1410760322</t>
  </si>
  <si>
    <t>0200160150</t>
  </si>
  <si>
    <t>0140200310</t>
  </si>
  <si>
    <t>Софинасирование расходов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</si>
  <si>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01501S3040</t>
  </si>
  <si>
    <t>0300205230</t>
  </si>
  <si>
    <t>Субсидии на подготовку проектов межевания земельных участков и проведение кадастровых работ</t>
  </si>
  <si>
    <t>10002L5990</t>
  </si>
  <si>
    <t>1120257840</t>
  </si>
  <si>
    <t>Финансирование дорожной деятельности в отношении автомобильных дорог общего пользования регионального или межмуниципального, местного значения</t>
  </si>
  <si>
    <t>Развитие общественных формирований правоохранительной направленности</t>
  </si>
  <si>
    <t>1310107480</t>
  </si>
  <si>
    <t>Софинансирование мероприятий по развитию общественных формирований правоохранительной деятельности</t>
  </si>
  <si>
    <t>13101S7480</t>
  </si>
  <si>
    <t>от 21.12.2022 № 398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</si>
</sst>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5" x14ac:knownFonts="1">
    <font>
      <sz val="11"/>
      <color theme="1"/>
      <name val="Calibri"/>
      <family val="2"/>
      <charset val="204"/>
      <scheme val="minor"/>
    </font>
    <font>
      <sz val="12"/>
      <name val="Times New Roman"/>
      <family val="1"/>
      <charset val="204"/>
    </font>
    <font>
      <b/>
      <sz val="12"/>
      <name val="Times New Roman"/>
      <family val="1"/>
      <charset val="204"/>
    </font>
    <font>
      <b/>
      <sz val="9"/>
      <name val="Times New Roman"/>
      <family val="1"/>
      <charset val="204"/>
    </font>
    <font>
      <b/>
      <sz val="10"/>
      <name val="Times New Roman"/>
      <family val="1"/>
      <charset val="204"/>
    </font>
    <font>
      <b/>
      <sz val="11"/>
      <color theme="1"/>
      <name val="Calibri"/>
      <family val="2"/>
      <charset val="204"/>
      <scheme val="minor"/>
    </font>
    <font>
      <sz val="10"/>
      <name val="Arial Cyr"/>
      <charset val="204"/>
    </font>
    <font>
      <sz val="11"/>
      <name val="Times New Roman"/>
      <family val="1"/>
      <charset val="204"/>
    </font>
    <font>
      <sz val="11"/>
      <color theme="1"/>
      <name val="Times New Roman"/>
      <family val="1"/>
      <charset val="204"/>
    </font>
    <font>
      <sz val="9"/>
      <name val="Times New Roman"/>
      <family val="1"/>
      <charset val="204"/>
    </font>
    <font>
      <sz val="9"/>
      <color theme="1"/>
      <name val="Calibri"/>
      <family val="2"/>
      <charset val="204"/>
      <scheme val="minor"/>
    </font>
    <font>
      <b/>
      <sz val="10"/>
      <color theme="1"/>
      <name val="Times New Roman"/>
      <family val="1"/>
      <charset val="204"/>
    </font>
    <font>
      <sz val="10"/>
      <color theme="1"/>
      <name val="Times New Roman"/>
      <family val="1"/>
      <charset val="204"/>
    </font>
    <font>
      <b/>
      <sz val="11"/>
      <color theme="1"/>
      <name val="Times New Roman"/>
      <family val="1"/>
      <charset val="204"/>
    </font>
    <font>
      <sz val="10"/>
      <name val="Times New Roman"/>
      <family val="1"/>
      <charset val="204"/>
    </font>
    <font>
      <b/>
      <sz val="12"/>
      <color theme="1"/>
      <name val="Times New Roman"/>
      <family val="1"/>
      <charset val="204"/>
    </font>
    <font>
      <sz val="10"/>
      <color rgb="FFFF0000"/>
      <name val="Times New Roman"/>
      <family val="1"/>
      <charset val="204"/>
    </font>
    <font>
      <b/>
      <sz val="9"/>
      <color theme="1"/>
      <name val="Times New Roman"/>
      <family val="1"/>
      <charset val="204"/>
    </font>
    <font>
      <b/>
      <sz val="9"/>
      <color rgb="FF000000"/>
      <name val="Times New Roman"/>
      <family val="1"/>
      <charset val="204"/>
    </font>
    <font>
      <u/>
      <sz val="11"/>
      <color theme="10"/>
      <name val="Calibri"/>
      <family val="2"/>
      <charset val="204"/>
    </font>
    <font>
      <b/>
      <sz val="11"/>
      <name val="Calibri"/>
      <family val="2"/>
      <charset val="204"/>
      <scheme val="minor"/>
    </font>
    <font>
      <sz val="9"/>
      <color theme="1"/>
      <name val="Times New Roman"/>
      <family val="1"/>
      <charset val="204"/>
    </font>
    <font>
      <sz val="11"/>
      <name val="Calibri"/>
      <family val="2"/>
      <charset val="204"/>
      <scheme val="minor"/>
    </font>
    <font>
      <sz val="11"/>
      <color rgb="FFFF0000"/>
      <name val="Calibri"/>
      <family val="2"/>
      <charset val="204"/>
      <scheme val="minor"/>
    </font>
    <font>
      <b/>
      <sz val="11"/>
      <color rgb="FFFF0000"/>
      <name val="Calibri"/>
      <family val="2"/>
      <charset val="204"/>
      <scheme val="minor"/>
    </font>
  </fonts>
  <fills count="1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399975585192419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92D050"/>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3">
    <xf numFmtId="0" fontId="0" fillId="0" borderId="0"/>
    <xf numFmtId="0" fontId="6" fillId="0" borderId="0"/>
    <xf numFmtId="0" fontId="19" fillId="0" borderId="0" applyNumberFormat="0" applyFill="0" applyBorder="0" applyAlignment="0" applyProtection="0">
      <alignment vertical="top"/>
      <protection locked="0"/>
    </xf>
  </cellStyleXfs>
  <cellXfs count="205">
    <xf numFmtId="0" fontId="0" fillId="0" borderId="0" xfId="0"/>
    <xf numFmtId="0" fontId="1" fillId="0" borderId="0" xfId="0" applyFont="1" applyBorder="1"/>
    <xf numFmtId="0" fontId="1" fillId="0" borderId="0" xfId="0" applyFont="1"/>
    <xf numFmtId="0" fontId="1" fillId="0" borderId="0" xfId="0" applyNumberFormat="1" applyFont="1" applyAlignment="1">
      <alignment horizontal="center" vertical="center" wrapText="1"/>
    </xf>
    <xf numFmtId="0" fontId="4" fillId="0" borderId="0" xfId="0" applyFont="1" applyAlignment="1">
      <alignment wrapText="1"/>
    </xf>
    <xf numFmtId="0" fontId="2" fillId="0" borderId="0" xfId="0" applyFont="1"/>
    <xf numFmtId="0" fontId="5" fillId="0" borderId="0" xfId="0" applyFont="1"/>
    <xf numFmtId="0" fontId="0" fillId="0" borderId="0" xfId="0" applyBorder="1"/>
    <xf numFmtId="0" fontId="7" fillId="0" borderId="0" xfId="1" applyFont="1" applyFill="1" applyBorder="1" applyAlignment="1"/>
    <xf numFmtId="0" fontId="7" fillId="0" borderId="0" xfId="1" applyFont="1" applyFill="1" applyAlignment="1"/>
    <xf numFmtId="0" fontId="7" fillId="0" borderId="0" xfId="0" applyNumberFormat="1" applyFont="1" applyFill="1" applyAlignment="1"/>
    <xf numFmtId="0" fontId="8" fillId="0" borderId="0" xfId="0" applyNumberFormat="1" applyFont="1" applyAlignment="1"/>
    <xf numFmtId="0" fontId="9" fillId="0" borderId="1" xfId="0" applyNumberFormat="1" applyFont="1" applyFill="1" applyBorder="1" applyAlignment="1">
      <alignment vertical="top" wrapText="1"/>
    </xf>
    <xf numFmtId="49" fontId="9" fillId="0" borderId="0" xfId="0" applyNumberFormat="1" applyFont="1" applyBorder="1" applyAlignment="1">
      <alignment wrapText="1"/>
    </xf>
    <xf numFmtId="49" fontId="9" fillId="0" borderId="0" xfId="0" applyNumberFormat="1" applyFont="1" applyAlignment="1">
      <alignment vertical="center" wrapText="1"/>
    </xf>
    <xf numFmtId="49" fontId="10" fillId="0" borderId="0" xfId="0" applyNumberFormat="1" applyFont="1"/>
    <xf numFmtId="49" fontId="3" fillId="2" borderId="1" xfId="0" applyNumberFormat="1" applyFont="1" applyFill="1" applyBorder="1" applyAlignment="1">
      <alignment wrapText="1"/>
    </xf>
    <xf numFmtId="49" fontId="9" fillId="2" borderId="1" xfId="0" applyNumberFormat="1" applyFont="1" applyFill="1" applyBorder="1" applyAlignment="1">
      <alignment wrapText="1"/>
    </xf>
    <xf numFmtId="164" fontId="11" fillId="2" borderId="1" xfId="0" applyNumberFormat="1" applyFont="1" applyFill="1" applyBorder="1"/>
    <xf numFmtId="164" fontId="12" fillId="2" borderId="1" xfId="0" applyNumberFormat="1" applyFont="1" applyFill="1" applyBorder="1"/>
    <xf numFmtId="49" fontId="11" fillId="2" borderId="1" xfId="0" applyNumberFormat="1" applyFont="1" applyFill="1" applyBorder="1" applyAlignment="1">
      <alignment horizontal="center"/>
    </xf>
    <xf numFmtId="49" fontId="12" fillId="2" borderId="1" xfId="0" applyNumberFormat="1" applyFont="1" applyFill="1" applyBorder="1" applyAlignment="1">
      <alignment horizontal="center"/>
    </xf>
    <xf numFmtId="0" fontId="3" fillId="0" borderId="1" xfId="0" applyNumberFormat="1" applyFont="1" applyBorder="1" applyAlignment="1">
      <alignment wrapText="1"/>
    </xf>
    <xf numFmtId="49" fontId="11" fillId="0" borderId="1" xfId="0" applyNumberFormat="1" applyFont="1" applyBorder="1" applyAlignment="1">
      <alignment horizontal="center"/>
    </xf>
    <xf numFmtId="164" fontId="11" fillId="0" borderId="1" xfId="0" applyNumberFormat="1" applyFont="1" applyBorder="1"/>
    <xf numFmtId="0" fontId="9" fillId="0" borderId="1" xfId="0" applyNumberFormat="1" applyFont="1" applyBorder="1" applyAlignment="1">
      <alignment wrapText="1"/>
    </xf>
    <xf numFmtId="49" fontId="12" fillId="0" borderId="1" xfId="0" applyNumberFormat="1" applyFont="1" applyBorder="1" applyAlignment="1">
      <alignment horizontal="center"/>
    </xf>
    <xf numFmtId="164" fontId="12" fillId="0" borderId="1" xfId="0" applyNumberFormat="1" applyFont="1" applyBorder="1"/>
    <xf numFmtId="0" fontId="3" fillId="2" borderId="1" xfId="0" applyNumberFormat="1" applyFont="1" applyFill="1" applyBorder="1" applyAlignment="1">
      <alignment wrapText="1"/>
    </xf>
    <xf numFmtId="0" fontId="9" fillId="2" borderId="1" xfId="0" applyNumberFormat="1" applyFont="1" applyFill="1" applyBorder="1" applyAlignment="1">
      <alignment wrapText="1"/>
    </xf>
    <xf numFmtId="0" fontId="9" fillId="0" borderId="1" xfId="0" quotePrefix="1" applyNumberFormat="1" applyFont="1" applyBorder="1" applyAlignment="1">
      <alignment wrapText="1"/>
    </xf>
    <xf numFmtId="164" fontId="13" fillId="0" borderId="0" xfId="0" applyNumberFormat="1" applyFont="1"/>
    <xf numFmtId="0" fontId="12" fillId="0" borderId="0" xfId="0" applyFont="1"/>
    <xf numFmtId="0" fontId="14" fillId="0" borderId="0" xfId="0" applyFont="1"/>
    <xf numFmtId="0" fontId="3" fillId="3" borderId="1" xfId="0" applyNumberFormat="1" applyFont="1" applyFill="1" applyBorder="1" applyAlignment="1">
      <alignment wrapText="1"/>
    </xf>
    <xf numFmtId="49" fontId="11" fillId="3" borderId="1" xfId="0" applyNumberFormat="1" applyFont="1" applyFill="1" applyBorder="1" applyAlignment="1">
      <alignment horizontal="center"/>
    </xf>
    <xf numFmtId="164" fontId="11" fillId="3" borderId="1" xfId="0" applyNumberFormat="1" applyFont="1" applyFill="1" applyBorder="1"/>
    <xf numFmtId="164" fontId="2" fillId="4" borderId="1" xfId="0" applyNumberFormat="1" applyFont="1" applyFill="1" applyBorder="1"/>
    <xf numFmtId="164" fontId="15" fillId="4" borderId="1" xfId="0" applyNumberFormat="1" applyFont="1" applyFill="1" applyBorder="1"/>
    <xf numFmtId="164" fontId="12" fillId="5" borderId="1" xfId="0" applyNumberFormat="1" applyFont="1" applyFill="1" applyBorder="1"/>
    <xf numFmtId="0" fontId="3" fillId="0" borderId="1" xfId="0" quotePrefix="1" applyNumberFormat="1" applyFont="1" applyBorder="1" applyAlignment="1">
      <alignment wrapText="1"/>
    </xf>
    <xf numFmtId="49" fontId="4" fillId="0" borderId="1" xfId="0" quotePrefix="1" applyNumberFormat="1" applyFont="1" applyBorder="1" applyAlignment="1">
      <alignment horizontal="center" wrapText="1"/>
    </xf>
    <xf numFmtId="49" fontId="14" fillId="0" borderId="1" xfId="0" quotePrefix="1" applyNumberFormat="1" applyFont="1" applyBorder="1" applyAlignment="1">
      <alignment horizontal="center" wrapText="1"/>
    </xf>
    <xf numFmtId="164" fontId="12" fillId="6" borderId="1" xfId="0" applyNumberFormat="1" applyFont="1" applyFill="1" applyBorder="1"/>
    <xf numFmtId="0" fontId="3" fillId="0" borderId="1" xfId="0" quotePrefix="1" applyNumberFormat="1" applyFont="1" applyBorder="1" applyAlignment="1">
      <alignment vertical="top" wrapText="1"/>
    </xf>
    <xf numFmtId="0" fontId="3" fillId="0" borderId="1" xfId="0" applyNumberFormat="1" applyFont="1" applyFill="1" applyBorder="1" applyAlignment="1">
      <alignment wrapText="1"/>
    </xf>
    <xf numFmtId="0" fontId="3" fillId="0" borderId="1" xfId="0" applyNumberFormat="1" applyFont="1" applyBorder="1" applyAlignment="1">
      <alignment horizontal="left" wrapText="1"/>
    </xf>
    <xf numFmtId="164" fontId="11" fillId="0" borderId="1" xfId="0" applyNumberFormat="1" applyFont="1" applyFill="1" applyBorder="1"/>
    <xf numFmtId="49" fontId="4" fillId="0" borderId="1" xfId="0" applyNumberFormat="1" applyFont="1" applyBorder="1" applyAlignment="1">
      <alignment horizontal="center"/>
    </xf>
    <xf numFmtId="49" fontId="14" fillId="0" borderId="1" xfId="0" applyNumberFormat="1" applyFont="1" applyBorder="1" applyAlignment="1">
      <alignment horizontal="center"/>
    </xf>
    <xf numFmtId="164" fontId="4" fillId="2" borderId="1" xfId="0" applyNumberFormat="1" applyFont="1" applyFill="1" applyBorder="1"/>
    <xf numFmtId="164" fontId="14" fillId="6" borderId="1" xfId="0" applyNumberFormat="1" applyFont="1" applyFill="1" applyBorder="1"/>
    <xf numFmtId="49" fontId="0" fillId="0" borderId="0" xfId="0" applyNumberFormat="1" applyBorder="1" applyAlignment="1">
      <alignment horizontal="center"/>
    </xf>
    <xf numFmtId="49" fontId="1" fillId="0" borderId="0" xfId="0" applyNumberFormat="1" applyFont="1" applyBorder="1" applyAlignment="1">
      <alignment horizontal="center"/>
    </xf>
    <xf numFmtId="49" fontId="11" fillId="0" borderId="1" xfId="0" applyNumberFormat="1" applyFont="1" applyFill="1" applyBorder="1" applyAlignment="1">
      <alignment horizontal="center"/>
    </xf>
    <xf numFmtId="49" fontId="4" fillId="2" borderId="1" xfId="0" applyNumberFormat="1" applyFont="1" applyFill="1" applyBorder="1" applyAlignment="1">
      <alignment horizontal="center"/>
    </xf>
    <xf numFmtId="49" fontId="14" fillId="2" borderId="1" xfId="0" applyNumberFormat="1" applyFont="1" applyFill="1" applyBorder="1" applyAlignment="1">
      <alignment horizontal="center"/>
    </xf>
    <xf numFmtId="49" fontId="0" fillId="0" borderId="0" xfId="0" applyNumberFormat="1" applyAlignment="1">
      <alignment horizontal="center"/>
    </xf>
    <xf numFmtId="0" fontId="8" fillId="0" borderId="0" xfId="0" applyNumberFormat="1" applyFont="1" applyAlignment="1">
      <alignment horizontal="center"/>
    </xf>
    <xf numFmtId="0" fontId="1" fillId="0" borderId="0" xfId="0" applyFont="1" applyAlignment="1">
      <alignment horizontal="center"/>
    </xf>
    <xf numFmtId="0" fontId="9" fillId="0" borderId="1" xfId="0" quotePrefix="1" applyNumberFormat="1" applyFont="1" applyBorder="1" applyAlignment="1">
      <alignment vertical="top" wrapText="1"/>
    </xf>
    <xf numFmtId="164" fontId="0" fillId="0" borderId="0" xfId="0" applyNumberFormat="1"/>
    <xf numFmtId="0" fontId="9" fillId="2" borderId="1" xfId="0" quotePrefix="1" applyNumberFormat="1" applyFont="1" applyFill="1" applyBorder="1" applyAlignment="1">
      <alignment wrapText="1"/>
    </xf>
    <xf numFmtId="164" fontId="12" fillId="7" borderId="1" xfId="0" applyNumberFormat="1" applyFont="1" applyFill="1" applyBorder="1"/>
    <xf numFmtId="0" fontId="9" fillId="0" borderId="1" xfId="0" applyNumberFormat="1" applyFont="1" applyFill="1" applyBorder="1" applyAlignment="1">
      <alignment wrapText="1"/>
    </xf>
    <xf numFmtId="49" fontId="14" fillId="0" borderId="1" xfId="0" applyNumberFormat="1" applyFont="1" applyBorder="1" applyAlignment="1">
      <alignment horizontal="center" wrapText="1"/>
    </xf>
    <xf numFmtId="49" fontId="4" fillId="0" borderId="1" xfId="0" applyNumberFormat="1" applyFont="1" applyFill="1" applyBorder="1" applyAlignment="1">
      <alignment horizontal="center" vertical="center"/>
    </xf>
    <xf numFmtId="49" fontId="14" fillId="0" borderId="1" xfId="0" applyNumberFormat="1" applyFont="1" applyFill="1" applyBorder="1" applyAlignment="1">
      <alignment horizontal="center" vertical="center"/>
    </xf>
    <xf numFmtId="164" fontId="16" fillId="0" borderId="1" xfId="0" applyNumberFormat="1" applyFont="1" applyFill="1" applyBorder="1"/>
    <xf numFmtId="164" fontId="12" fillId="0" borderId="1" xfId="0" applyNumberFormat="1" applyFont="1" applyFill="1" applyBorder="1"/>
    <xf numFmtId="49" fontId="4" fillId="0" borderId="1" xfId="0" applyNumberFormat="1" applyFont="1" applyBorder="1" applyAlignment="1">
      <alignment horizontal="center" wrapText="1"/>
    </xf>
    <xf numFmtId="0" fontId="17" fillId="0" borderId="1" xfId="0" applyFont="1" applyFill="1" applyBorder="1" applyAlignment="1">
      <alignment horizontal="left" vertical="center" wrapText="1"/>
    </xf>
    <xf numFmtId="0" fontId="18" fillId="0" borderId="1" xfId="0" applyFont="1" applyFill="1" applyBorder="1" applyAlignment="1">
      <alignment vertical="center" wrapText="1"/>
    </xf>
    <xf numFmtId="0" fontId="17" fillId="0" borderId="1" xfId="0" applyFont="1" applyFill="1" applyBorder="1" applyAlignment="1">
      <alignment vertical="center" wrapText="1"/>
    </xf>
    <xf numFmtId="0" fontId="18" fillId="0" borderId="2" xfId="0" applyFont="1" applyFill="1" applyBorder="1" applyAlignment="1">
      <alignment vertical="center" wrapText="1"/>
    </xf>
    <xf numFmtId="49" fontId="4" fillId="0" borderId="1" xfId="0" applyNumberFormat="1" applyFont="1" applyFill="1" applyBorder="1" applyAlignment="1">
      <alignment horizontal="center"/>
    </xf>
    <xf numFmtId="49" fontId="12" fillId="0" borderId="1" xfId="0" applyNumberFormat="1" applyFont="1" applyFill="1" applyBorder="1" applyAlignment="1">
      <alignment horizontal="center"/>
    </xf>
    <xf numFmtId="49" fontId="11" fillId="0" borderId="2" xfId="0" applyNumberFormat="1" applyFont="1" applyFill="1" applyBorder="1" applyAlignment="1">
      <alignment horizontal="center"/>
    </xf>
    <xf numFmtId="49" fontId="12" fillId="0" borderId="2" xfId="0" applyNumberFormat="1" applyFont="1" applyFill="1" applyBorder="1" applyAlignment="1">
      <alignment horizontal="center"/>
    </xf>
    <xf numFmtId="164" fontId="11" fillId="0" borderId="2" xfId="0" applyNumberFormat="1" applyFont="1" applyFill="1" applyBorder="1"/>
    <xf numFmtId="164" fontId="12" fillId="5" borderId="2" xfId="0" applyNumberFormat="1" applyFont="1" applyFill="1" applyBorder="1"/>
    <xf numFmtId="49" fontId="14" fillId="0" borderId="1" xfId="0" applyNumberFormat="1" applyFont="1" applyFill="1" applyBorder="1" applyAlignment="1">
      <alignment horizontal="center"/>
    </xf>
    <xf numFmtId="0" fontId="18" fillId="0" borderId="1" xfId="0" applyFont="1" applyFill="1" applyBorder="1" applyAlignment="1">
      <alignment horizontal="left" vertical="center" wrapText="1"/>
    </xf>
    <xf numFmtId="164" fontId="12" fillId="0" borderId="2" xfId="0" applyNumberFormat="1" applyFont="1" applyFill="1" applyBorder="1"/>
    <xf numFmtId="164" fontId="14" fillId="0" borderId="1" xfId="0" applyNumberFormat="1" applyFont="1" applyFill="1" applyBorder="1"/>
    <xf numFmtId="164" fontId="4" fillId="0" borderId="1" xfId="0" applyNumberFormat="1" applyFont="1" applyFill="1" applyBorder="1"/>
    <xf numFmtId="164" fontId="12" fillId="8" borderId="1" xfId="0" applyNumberFormat="1" applyFont="1" applyFill="1" applyBorder="1"/>
    <xf numFmtId="164" fontId="11" fillId="5" borderId="1" xfId="0" applyNumberFormat="1" applyFont="1" applyFill="1" applyBorder="1"/>
    <xf numFmtId="49" fontId="3" fillId="2" borderId="1" xfId="0" quotePrefix="1" applyNumberFormat="1" applyFont="1" applyFill="1" applyBorder="1" applyAlignment="1">
      <alignment wrapText="1"/>
    </xf>
    <xf numFmtId="0" fontId="3" fillId="0" borderId="1" xfId="0" applyNumberFormat="1" applyFont="1" applyBorder="1" applyAlignment="1">
      <alignment vertical="top" wrapText="1"/>
    </xf>
    <xf numFmtId="164" fontId="14" fillId="7" borderId="1" xfId="0" applyNumberFormat="1" applyFont="1" applyFill="1" applyBorder="1"/>
    <xf numFmtId="164" fontId="14" fillId="5" borderId="1" xfId="0" applyNumberFormat="1" applyFont="1" applyFill="1" applyBorder="1"/>
    <xf numFmtId="49" fontId="3" fillId="0" borderId="1" xfId="0" applyNumberFormat="1" applyFont="1" applyFill="1" applyBorder="1" applyAlignment="1">
      <alignment wrapText="1"/>
    </xf>
    <xf numFmtId="0" fontId="0" fillId="0" borderId="0" xfId="0" applyFill="1"/>
    <xf numFmtId="164" fontId="12" fillId="9" borderId="1" xfId="0" applyNumberFormat="1" applyFont="1" applyFill="1" applyBorder="1"/>
    <xf numFmtId="164" fontId="12" fillId="9" borderId="2" xfId="0" applyNumberFormat="1" applyFont="1" applyFill="1" applyBorder="1"/>
    <xf numFmtId="164" fontId="12" fillId="10" borderId="1" xfId="0" applyNumberFormat="1" applyFont="1" applyFill="1" applyBorder="1"/>
    <xf numFmtId="49" fontId="0" fillId="2" borderId="0" xfId="0" applyNumberFormat="1" applyFill="1" applyAlignment="1">
      <alignment horizontal="center"/>
    </xf>
    <xf numFmtId="164" fontId="14" fillId="10" borderId="1" xfId="0" applyNumberFormat="1" applyFont="1" applyFill="1" applyBorder="1"/>
    <xf numFmtId="164" fontId="8" fillId="0" borderId="0" xfId="0" applyNumberFormat="1" applyFont="1"/>
    <xf numFmtId="0" fontId="3" fillId="2" borderId="1" xfId="0" quotePrefix="1" applyNumberFormat="1" applyFont="1" applyFill="1" applyBorder="1" applyAlignment="1">
      <alignment wrapText="1"/>
    </xf>
    <xf numFmtId="49" fontId="4" fillId="0" borderId="2" xfId="0" applyNumberFormat="1" applyFont="1" applyFill="1" applyBorder="1" applyAlignment="1">
      <alignment horizontal="center"/>
    </xf>
    <xf numFmtId="164" fontId="14" fillId="9" borderId="1" xfId="0" applyNumberFormat="1" applyFont="1" applyFill="1" applyBorder="1"/>
    <xf numFmtId="0" fontId="0" fillId="2" borderId="0" xfId="0" applyFill="1"/>
    <xf numFmtId="164" fontId="4" fillId="0" borderId="1" xfId="0" applyNumberFormat="1" applyFont="1" applyBorder="1"/>
    <xf numFmtId="0" fontId="20" fillId="0" borderId="0" xfId="0" applyFont="1"/>
    <xf numFmtId="164" fontId="14" fillId="0" borderId="1" xfId="0" applyNumberFormat="1" applyFont="1" applyBorder="1"/>
    <xf numFmtId="164" fontId="12" fillId="11" borderId="1" xfId="0" applyNumberFormat="1" applyFont="1" applyFill="1" applyBorder="1"/>
    <xf numFmtId="164" fontId="14" fillId="11" borderId="1" xfId="0" applyNumberFormat="1" applyFont="1" applyFill="1" applyBorder="1"/>
    <xf numFmtId="164" fontId="12" fillId="12" borderId="1" xfId="0" applyNumberFormat="1" applyFont="1" applyFill="1" applyBorder="1"/>
    <xf numFmtId="49" fontId="5" fillId="2" borderId="0" xfId="0" applyNumberFormat="1" applyFont="1" applyFill="1" applyAlignment="1">
      <alignment horizontal="center"/>
    </xf>
    <xf numFmtId="49" fontId="5" fillId="0" borderId="0" xfId="0" applyNumberFormat="1" applyFont="1" applyAlignment="1">
      <alignment horizontal="center"/>
    </xf>
    <xf numFmtId="164" fontId="11" fillId="7" borderId="1" xfId="0" applyNumberFormat="1" applyFont="1" applyFill="1" applyBorder="1"/>
    <xf numFmtId="164" fontId="11" fillId="11" borderId="1" xfId="0" applyNumberFormat="1" applyFont="1" applyFill="1" applyBorder="1"/>
    <xf numFmtId="0" fontId="0" fillId="0" borderId="0" xfId="0" applyFont="1"/>
    <xf numFmtId="0" fontId="3" fillId="0" borderId="1" xfId="0" applyFont="1" applyFill="1" applyBorder="1" applyAlignment="1">
      <alignment horizontal="left" vertical="center" wrapText="1"/>
    </xf>
    <xf numFmtId="164" fontId="12" fillId="6" borderId="2" xfId="0" applyNumberFormat="1" applyFont="1" applyFill="1" applyBorder="1"/>
    <xf numFmtId="0" fontId="3" fillId="0" borderId="1" xfId="0" quotePrefix="1" applyNumberFormat="1" applyFont="1" applyFill="1" applyBorder="1" applyAlignment="1">
      <alignment wrapText="1"/>
    </xf>
    <xf numFmtId="4" fontId="12" fillId="7" borderId="1" xfId="0" applyNumberFormat="1" applyFont="1" applyFill="1" applyBorder="1"/>
    <xf numFmtId="164" fontId="12" fillId="7" borderId="2" xfId="0" applyNumberFormat="1" applyFont="1" applyFill="1" applyBorder="1"/>
    <xf numFmtId="164" fontId="12" fillId="13" borderId="1" xfId="0" applyNumberFormat="1" applyFont="1" applyFill="1" applyBorder="1"/>
    <xf numFmtId="0" fontId="21" fillId="0" borderId="1" xfId="0" quotePrefix="1" applyNumberFormat="1" applyFont="1" applyBorder="1" applyAlignment="1">
      <alignment wrapText="1"/>
    </xf>
    <xf numFmtId="164" fontId="11" fillId="13" borderId="1" xfId="0" applyNumberFormat="1" applyFont="1" applyFill="1" applyBorder="1"/>
    <xf numFmtId="0" fontId="21" fillId="0" borderId="1" xfId="0" applyNumberFormat="1" applyFont="1" applyBorder="1" applyAlignment="1">
      <alignment wrapText="1"/>
    </xf>
    <xf numFmtId="4" fontId="12" fillId="0" borderId="1" xfId="0" applyNumberFormat="1" applyFont="1" applyFill="1" applyBorder="1"/>
    <xf numFmtId="164" fontId="12" fillId="14" borderId="1" xfId="0" applyNumberFormat="1" applyFont="1" applyFill="1" applyBorder="1"/>
    <xf numFmtId="164" fontId="12" fillId="15" borderId="1" xfId="0" applyNumberFormat="1" applyFont="1" applyFill="1" applyBorder="1"/>
    <xf numFmtId="164" fontId="12" fillId="16" borderId="1" xfId="0" applyNumberFormat="1" applyFont="1" applyFill="1" applyBorder="1"/>
    <xf numFmtId="0" fontId="3" fillId="2" borderId="1"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4" xfId="0" applyFont="1" applyFill="1" applyBorder="1" applyAlignment="1">
      <alignment horizontal="left" vertical="top" wrapText="1"/>
    </xf>
    <xf numFmtId="49" fontId="11" fillId="2" borderId="1" xfId="0" applyNumberFormat="1" applyFont="1" applyFill="1" applyBorder="1" applyAlignment="1">
      <alignment horizontal="center" vertical="top"/>
    </xf>
    <xf numFmtId="49" fontId="12" fillId="2" borderId="1" xfId="0" applyNumberFormat="1" applyFont="1" applyFill="1" applyBorder="1" applyAlignment="1">
      <alignment horizontal="center" vertical="top"/>
    </xf>
    <xf numFmtId="0" fontId="3" fillId="0" borderId="1" xfId="0" applyFont="1" applyFill="1" applyBorder="1" applyAlignment="1">
      <alignment horizontal="left" vertical="top" wrapText="1"/>
    </xf>
    <xf numFmtId="49" fontId="11" fillId="0" borderId="1" xfId="0" applyNumberFormat="1" applyFont="1" applyFill="1" applyBorder="1" applyAlignment="1">
      <alignment horizontal="center" vertical="top"/>
    </xf>
    <xf numFmtId="0" fontId="9" fillId="0" borderId="1" xfId="0" quotePrefix="1" applyNumberFormat="1" applyFont="1" applyFill="1" applyBorder="1" applyAlignment="1">
      <alignment wrapText="1"/>
    </xf>
    <xf numFmtId="49" fontId="12" fillId="0" borderId="1" xfId="0" applyNumberFormat="1" applyFont="1" applyFill="1" applyBorder="1" applyAlignment="1">
      <alignment horizontal="center" vertical="top"/>
    </xf>
    <xf numFmtId="0" fontId="3" fillId="0" borderId="2" xfId="0" applyFont="1" applyFill="1" applyBorder="1" applyAlignment="1">
      <alignment horizontal="left" vertical="top" wrapText="1"/>
    </xf>
    <xf numFmtId="49" fontId="4" fillId="0" borderId="1" xfId="0" quotePrefix="1" applyNumberFormat="1" applyFont="1" applyFill="1" applyBorder="1" applyAlignment="1">
      <alignment horizontal="center" wrapText="1"/>
    </xf>
    <xf numFmtId="164" fontId="12" fillId="0" borderId="2" xfId="0" applyNumberFormat="1" applyFont="1" applyBorder="1"/>
    <xf numFmtId="0" fontId="3" fillId="0" borderId="1" xfId="0" applyFont="1" applyBorder="1" applyAlignment="1">
      <alignment horizontal="left" vertical="center" wrapText="1"/>
    </xf>
    <xf numFmtId="0" fontId="22" fillId="0" borderId="0" xfId="0" applyFont="1"/>
    <xf numFmtId="49" fontId="14" fillId="0" borderId="2" xfId="0" applyNumberFormat="1" applyFont="1" applyFill="1" applyBorder="1" applyAlignment="1">
      <alignment horizontal="center"/>
    </xf>
    <xf numFmtId="0" fontId="3" fillId="0" borderId="1" xfId="0" applyFont="1" applyBorder="1" applyAlignment="1">
      <alignment horizontal="left" wrapText="1"/>
    </xf>
    <xf numFmtId="0" fontId="3" fillId="0" borderId="1" xfId="2" applyFont="1" applyBorder="1" applyAlignment="1" applyProtection="1">
      <alignment horizontal="left" vertical="center" wrapText="1"/>
    </xf>
    <xf numFmtId="49" fontId="12" fillId="2" borderId="2" xfId="0" applyNumberFormat="1" applyFont="1" applyFill="1" applyBorder="1" applyAlignment="1">
      <alignment horizontal="center"/>
    </xf>
    <xf numFmtId="49" fontId="11" fillId="2" borderId="2" xfId="0" applyNumberFormat="1" applyFont="1" applyFill="1" applyBorder="1" applyAlignment="1">
      <alignment horizontal="center"/>
    </xf>
    <xf numFmtId="0" fontId="18" fillId="0" borderId="1" xfId="0" applyFont="1" applyBorder="1" applyAlignment="1">
      <alignment vertical="top" wrapText="1"/>
    </xf>
    <xf numFmtId="0" fontId="5" fillId="0" borderId="0" xfId="0" applyFont="1" applyFill="1"/>
    <xf numFmtId="164" fontId="14" fillId="14" borderId="1" xfId="0" applyNumberFormat="1" applyFont="1" applyFill="1" applyBorder="1"/>
    <xf numFmtId="0" fontId="3" fillId="2" borderId="2" xfId="0" applyFont="1" applyFill="1" applyBorder="1" applyAlignment="1">
      <alignment horizontal="left" vertical="top" wrapText="1"/>
    </xf>
    <xf numFmtId="0" fontId="17" fillId="2" borderId="1" xfId="0" applyFont="1" applyFill="1" applyBorder="1" applyAlignment="1">
      <alignment horizontal="left" vertical="top" wrapText="1"/>
    </xf>
    <xf numFmtId="0" fontId="3" fillId="0" borderId="1" xfId="0" quotePrefix="1" applyNumberFormat="1" applyFont="1" applyBorder="1" applyAlignment="1">
      <alignment horizontal="left"/>
    </xf>
    <xf numFmtId="49" fontId="4" fillId="2" borderId="5" xfId="0" applyNumberFormat="1" applyFont="1" applyFill="1" applyBorder="1" applyAlignment="1">
      <alignment horizontal="center" wrapText="1"/>
    </xf>
    <xf numFmtId="0" fontId="4" fillId="2" borderId="5" xfId="0" applyFont="1" applyFill="1" applyBorder="1" applyAlignment="1">
      <alignment horizontal="center" wrapText="1"/>
    </xf>
    <xf numFmtId="0" fontId="14" fillId="2" borderId="5" xfId="0" applyFont="1" applyFill="1" applyBorder="1" applyAlignment="1">
      <alignment horizontal="center" wrapText="1"/>
    </xf>
    <xf numFmtId="49" fontId="14" fillId="2" borderId="5" xfId="0" applyNumberFormat="1" applyFont="1" applyFill="1" applyBorder="1" applyAlignment="1">
      <alignment horizontal="center" wrapText="1"/>
    </xf>
    <xf numFmtId="49" fontId="11" fillId="2" borderId="5" xfId="0" applyNumberFormat="1" applyFont="1" applyFill="1" applyBorder="1" applyAlignment="1">
      <alignment horizontal="center"/>
    </xf>
    <xf numFmtId="49" fontId="14" fillId="2" borderId="5" xfId="0" applyNumberFormat="1" applyFont="1" applyFill="1" applyBorder="1" applyAlignment="1">
      <alignment horizontal="center"/>
    </xf>
    <xf numFmtId="49" fontId="12" fillId="2" borderId="5" xfId="0" applyNumberFormat="1" applyFont="1" applyFill="1" applyBorder="1" applyAlignment="1">
      <alignment horizontal="center"/>
    </xf>
    <xf numFmtId="0" fontId="17" fillId="0" borderId="2" xfId="0" applyFont="1" applyFill="1" applyBorder="1" applyAlignment="1">
      <alignment horizontal="left" vertical="top" wrapText="1"/>
    </xf>
    <xf numFmtId="49" fontId="11" fillId="0" borderId="6" xfId="0" applyNumberFormat="1" applyFont="1" applyFill="1" applyBorder="1" applyAlignment="1">
      <alignment horizontal="center"/>
    </xf>
    <xf numFmtId="49" fontId="12" fillId="0" borderId="6" xfId="0" applyNumberFormat="1" applyFont="1" applyFill="1" applyBorder="1" applyAlignment="1">
      <alignment horizontal="center"/>
    </xf>
    <xf numFmtId="0" fontId="17" fillId="0" borderId="1" xfId="0" applyFont="1" applyFill="1" applyBorder="1" applyAlignment="1">
      <alignment horizontal="left" vertical="top" wrapText="1"/>
    </xf>
    <xf numFmtId="49" fontId="4" fillId="0" borderId="5" xfId="0" applyNumberFormat="1" applyFont="1" applyFill="1" applyBorder="1" applyAlignment="1">
      <alignment horizontal="center" wrapText="1"/>
    </xf>
    <xf numFmtId="0" fontId="4" fillId="0" borderId="5" xfId="0" applyFont="1" applyFill="1" applyBorder="1" applyAlignment="1">
      <alignment horizontal="center" wrapText="1"/>
    </xf>
    <xf numFmtId="0" fontId="14" fillId="0" borderId="5" xfId="0" applyFont="1" applyFill="1" applyBorder="1" applyAlignment="1">
      <alignment horizontal="center" wrapText="1"/>
    </xf>
    <xf numFmtId="49" fontId="14" fillId="0" borderId="5" xfId="0" applyNumberFormat="1" applyFont="1" applyFill="1" applyBorder="1" applyAlignment="1">
      <alignment horizontal="center" wrapText="1"/>
    </xf>
    <xf numFmtId="49" fontId="4" fillId="0" borderId="5" xfId="0" applyNumberFormat="1" applyFont="1" applyFill="1" applyBorder="1" applyAlignment="1">
      <alignment horizontal="center"/>
    </xf>
    <xf numFmtId="49" fontId="14" fillId="0" borderId="5" xfId="0" applyNumberFormat="1" applyFont="1" applyFill="1" applyBorder="1" applyAlignment="1">
      <alignment horizontal="center"/>
    </xf>
    <xf numFmtId="49" fontId="11" fillId="0" borderId="5" xfId="0" applyNumberFormat="1" applyFont="1" applyFill="1" applyBorder="1" applyAlignment="1">
      <alignment horizontal="center"/>
    </xf>
    <xf numFmtId="49" fontId="12" fillId="0" borderId="5" xfId="0" applyNumberFormat="1" applyFont="1" applyFill="1" applyBorder="1" applyAlignment="1">
      <alignment horizontal="center"/>
    </xf>
    <xf numFmtId="0" fontId="4" fillId="0" borderId="5" xfId="0" applyFont="1" applyFill="1" applyBorder="1" applyAlignment="1">
      <alignment horizontal="center"/>
    </xf>
    <xf numFmtId="0" fontId="14" fillId="0" borderId="5" xfId="0" applyFont="1" applyFill="1" applyBorder="1" applyAlignment="1">
      <alignment horizontal="center"/>
    </xf>
    <xf numFmtId="49" fontId="4" fillId="0" borderId="7" xfId="0" applyNumberFormat="1" applyFont="1" applyFill="1" applyBorder="1" applyAlignment="1">
      <alignment horizontal="center"/>
    </xf>
    <xf numFmtId="49" fontId="14" fillId="0" borderId="7" xfId="0" applyNumberFormat="1" applyFont="1" applyFill="1" applyBorder="1" applyAlignment="1">
      <alignment horizontal="center"/>
    </xf>
    <xf numFmtId="49" fontId="11" fillId="2" borderId="6" xfId="0" applyNumberFormat="1" applyFont="1" applyFill="1" applyBorder="1" applyAlignment="1">
      <alignment horizontal="center"/>
    </xf>
    <xf numFmtId="49" fontId="12" fillId="2" borderId="6" xfId="0" applyNumberFormat="1" applyFont="1" applyFill="1" applyBorder="1" applyAlignment="1">
      <alignment horizontal="center"/>
    </xf>
    <xf numFmtId="0" fontId="23" fillId="0" borderId="0" xfId="0" applyFont="1"/>
    <xf numFmtId="164" fontId="23" fillId="0" borderId="0" xfId="0" applyNumberFormat="1" applyFont="1"/>
    <xf numFmtId="164" fontId="14" fillId="4" borderId="1" xfId="0" applyNumberFormat="1" applyFont="1" applyFill="1" applyBorder="1"/>
    <xf numFmtId="164" fontId="12" fillId="4" borderId="1" xfId="0" applyNumberFormat="1" applyFont="1" applyFill="1" applyBorder="1"/>
    <xf numFmtId="164" fontId="11" fillId="14" borderId="1" xfId="0" applyNumberFormat="1" applyFont="1" applyFill="1" applyBorder="1"/>
    <xf numFmtId="164" fontId="11" fillId="0" borderId="2" xfId="0" applyNumberFormat="1" applyFont="1" applyBorder="1"/>
    <xf numFmtId="164" fontId="11" fillId="2" borderId="2" xfId="0" applyNumberFormat="1" applyFont="1" applyFill="1" applyBorder="1"/>
    <xf numFmtId="164" fontId="14" fillId="17" borderId="1" xfId="0" applyNumberFormat="1" applyFont="1" applyFill="1" applyBorder="1"/>
    <xf numFmtId="164" fontId="14" fillId="12" borderId="1" xfId="0" applyNumberFormat="1" applyFont="1" applyFill="1" applyBorder="1"/>
    <xf numFmtId="164" fontId="12" fillId="18" borderId="1" xfId="0" applyNumberFormat="1" applyFont="1" applyFill="1" applyBorder="1"/>
    <xf numFmtId="164" fontId="14" fillId="2" borderId="1" xfId="0" applyNumberFormat="1" applyFont="1" applyFill="1" applyBorder="1"/>
    <xf numFmtId="164" fontId="5" fillId="0" borderId="0" xfId="0" applyNumberFormat="1" applyFont="1"/>
    <xf numFmtId="164" fontId="1" fillId="0" borderId="0" xfId="0" applyNumberFormat="1" applyFont="1"/>
    <xf numFmtId="164" fontId="4" fillId="0" borderId="0" xfId="0" applyNumberFormat="1" applyFont="1" applyAlignment="1">
      <alignment wrapText="1"/>
    </xf>
    <xf numFmtId="164" fontId="5" fillId="0" borderId="0" xfId="0" applyNumberFormat="1" applyFont="1" applyFill="1"/>
    <xf numFmtId="164" fontId="0" fillId="0" borderId="0" xfId="0" applyNumberFormat="1" applyFont="1"/>
    <xf numFmtId="164" fontId="22" fillId="0" borderId="0" xfId="0" applyNumberFormat="1" applyFont="1"/>
    <xf numFmtId="164" fontId="0" fillId="0" borderId="0" xfId="0" applyNumberFormat="1" applyFill="1"/>
    <xf numFmtId="164" fontId="20" fillId="0" borderId="0" xfId="0" applyNumberFormat="1" applyFont="1"/>
    <xf numFmtId="164" fontId="2" fillId="0" borderId="0" xfId="0" applyNumberFormat="1" applyFont="1"/>
    <xf numFmtId="164" fontId="24" fillId="0" borderId="0" xfId="0" applyNumberFormat="1" applyFont="1"/>
    <xf numFmtId="0" fontId="15" fillId="0" borderId="0" xfId="0" applyFont="1" applyAlignment="1">
      <alignment horizontal="center" vertical="top" wrapText="1"/>
    </xf>
    <xf numFmtId="0" fontId="2" fillId="0" borderId="0" xfId="0" applyNumberFormat="1" applyFont="1" applyAlignment="1">
      <alignment horizontal="center" vertical="center" wrapText="1"/>
    </xf>
    <xf numFmtId="2" fontId="4" fillId="2" borderId="1" xfId="0" applyNumberFormat="1" applyFont="1" applyFill="1" applyBorder="1" applyAlignment="1">
      <alignment horizontal="center" vertical="center" wrapText="1"/>
    </xf>
    <xf numFmtId="49" fontId="2" fillId="4" borderId="1" xfId="0" applyNumberFormat="1" applyFont="1" applyFill="1" applyBorder="1" applyAlignment="1">
      <alignment horizontal="left"/>
    </xf>
    <xf numFmtId="0"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textRotation="90" wrapText="1"/>
    </xf>
  </cellXfs>
  <cellStyles count="3">
    <cellStyle name="Гиперссылка" xfId="2" builtinId="8"/>
    <cellStyle name="Обычный" xfId="0" builtinId="0"/>
    <cellStyle name="Обычный_Лист1" xfId="1"/>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filterMode="1">
    <pageSetUpPr fitToPage="1"/>
  </sheetPr>
  <dimension ref="A1:AA1885"/>
  <sheetViews>
    <sheetView tabSelected="1" view="pageBreakPreview" zoomScaleNormal="100" zoomScaleSheetLayoutView="100" workbookViewId="0">
      <pane xSplit="10" ySplit="14" topLeftCell="W1856" activePane="bottomRight" state="frozen"/>
      <selection pane="topRight" activeCell="K1" sqref="K1"/>
      <selection pane="bottomLeft" activeCell="A15" sqref="A15"/>
      <selection pane="bottomRight" activeCell="AE1888" sqref="AE1888"/>
    </sheetView>
  </sheetViews>
  <sheetFormatPr defaultRowHeight="15" x14ac:dyDescent="0.25"/>
  <cols>
    <col min="1" max="1" width="63" style="15" customWidth="1"/>
    <col min="2" max="2" width="6" style="57" customWidth="1"/>
    <col min="3" max="3" width="13.7109375" style="57" customWidth="1"/>
    <col min="4" max="4" width="5" style="57" customWidth="1"/>
    <col min="5" max="5" width="13.7109375" hidden="1" customWidth="1"/>
    <col min="6" max="6" width="12.5703125" hidden="1" customWidth="1"/>
    <col min="7" max="7" width="13.140625" style="32" hidden="1" customWidth="1"/>
    <col min="8" max="8" width="10.7109375" hidden="1" customWidth="1"/>
    <col min="9" max="9" width="13.42578125" hidden="1" customWidth="1"/>
    <col min="10" max="10" width="9.85546875" hidden="1" customWidth="1"/>
    <col min="11" max="11" width="12.140625" hidden="1" customWidth="1"/>
    <col min="12" max="12" width="11" hidden="1" customWidth="1"/>
    <col min="13" max="13" width="13" hidden="1" customWidth="1"/>
    <col min="14" max="14" width="10.28515625" hidden="1" customWidth="1"/>
    <col min="15" max="15" width="12.140625" hidden="1" customWidth="1"/>
    <col min="16" max="16" width="10.5703125" hidden="1" customWidth="1"/>
    <col min="17" max="17" width="12.140625" hidden="1" customWidth="1"/>
    <col min="18" max="18" width="10" hidden="1" customWidth="1"/>
    <col min="19" max="19" width="12.5703125" hidden="1" customWidth="1"/>
    <col min="20" max="20" width="10.28515625" hidden="1" customWidth="1"/>
    <col min="21" max="21" width="13" hidden="1" customWidth="1"/>
    <col min="22" max="22" width="9.85546875" hidden="1" customWidth="1"/>
    <col min="23" max="23" width="13.140625" hidden="1" customWidth="1"/>
    <col min="24" max="24" width="10.42578125" hidden="1" customWidth="1"/>
    <col min="25" max="25" width="13.28515625" customWidth="1"/>
    <col min="26" max="26" width="13.85546875" style="61" hidden="1" customWidth="1"/>
    <col min="27" max="27" width="12.7109375" hidden="1" customWidth="1"/>
    <col min="28" max="28" width="0" hidden="1" customWidth="1"/>
  </cols>
  <sheetData>
    <row r="1" spans="1:26" x14ac:dyDescent="0.25">
      <c r="A1" s="13"/>
      <c r="B1" s="52"/>
      <c r="C1" s="8" t="s">
        <v>696</v>
      </c>
      <c r="E1" s="7"/>
      <c r="F1" s="8" t="s">
        <v>652</v>
      </c>
      <c r="H1" s="8" t="s">
        <v>696</v>
      </c>
      <c r="J1" s="8" t="s">
        <v>696</v>
      </c>
      <c r="L1" s="8" t="s">
        <v>696</v>
      </c>
      <c r="N1" s="8" t="s">
        <v>856</v>
      </c>
      <c r="P1" s="8" t="s">
        <v>856</v>
      </c>
      <c r="R1" s="8" t="s">
        <v>856</v>
      </c>
      <c r="T1" s="8" t="s">
        <v>856</v>
      </c>
      <c r="V1" s="8" t="s">
        <v>1397</v>
      </c>
    </row>
    <row r="2" spans="1:26" x14ac:dyDescent="0.25">
      <c r="A2" s="13"/>
      <c r="B2" s="52"/>
      <c r="C2" s="9" t="s">
        <v>554</v>
      </c>
      <c r="E2" s="7"/>
      <c r="F2" s="9" t="s">
        <v>554</v>
      </c>
      <c r="H2" s="9" t="s">
        <v>554</v>
      </c>
      <c r="J2" s="9" t="s">
        <v>554</v>
      </c>
      <c r="L2" s="9" t="s">
        <v>554</v>
      </c>
      <c r="N2" s="9" t="s">
        <v>554</v>
      </c>
      <c r="P2" s="9" t="s">
        <v>554</v>
      </c>
      <c r="R2" s="9" t="s">
        <v>554</v>
      </c>
      <c r="T2" s="9" t="s">
        <v>554</v>
      </c>
      <c r="V2" s="9" t="s">
        <v>554</v>
      </c>
    </row>
    <row r="3" spans="1:26" x14ac:dyDescent="0.25">
      <c r="A3" s="13"/>
      <c r="B3" s="52"/>
      <c r="C3" s="10" t="s">
        <v>555</v>
      </c>
      <c r="E3" s="7"/>
      <c r="F3" s="10" t="s">
        <v>555</v>
      </c>
      <c r="H3" s="10" t="s">
        <v>555</v>
      </c>
      <c r="J3" s="10" t="s">
        <v>555</v>
      </c>
      <c r="L3" s="10" t="s">
        <v>555</v>
      </c>
      <c r="N3" s="10" t="s">
        <v>555</v>
      </c>
      <c r="P3" s="10" t="s">
        <v>555</v>
      </c>
      <c r="R3" s="10" t="s">
        <v>555</v>
      </c>
      <c r="T3" s="10" t="s">
        <v>555</v>
      </c>
      <c r="V3" s="10" t="s">
        <v>555</v>
      </c>
    </row>
    <row r="4" spans="1:26" x14ac:dyDescent="0.25">
      <c r="A4" s="13"/>
      <c r="B4" s="52"/>
      <c r="C4" s="10" t="s">
        <v>646</v>
      </c>
      <c r="E4" s="7"/>
      <c r="F4" s="10" t="s">
        <v>646</v>
      </c>
      <c r="H4" s="10" t="s">
        <v>646</v>
      </c>
      <c r="J4" s="10" t="s">
        <v>646</v>
      </c>
      <c r="L4" s="10" t="s">
        <v>646</v>
      </c>
      <c r="N4" s="10" t="s">
        <v>646</v>
      </c>
      <c r="P4" s="10" t="s">
        <v>646</v>
      </c>
      <c r="R4" s="10" t="s">
        <v>646</v>
      </c>
      <c r="T4" s="10" t="s">
        <v>646</v>
      </c>
      <c r="V4" s="10" t="s">
        <v>646</v>
      </c>
    </row>
    <row r="5" spans="1:26" x14ac:dyDescent="0.25">
      <c r="A5" s="13"/>
      <c r="B5" s="52"/>
      <c r="C5" s="11" t="s">
        <v>556</v>
      </c>
      <c r="E5" s="7"/>
      <c r="F5" s="11" t="s">
        <v>556</v>
      </c>
      <c r="H5" s="11" t="s">
        <v>556</v>
      </c>
      <c r="J5" s="11" t="s">
        <v>556</v>
      </c>
      <c r="L5" s="11" t="s">
        <v>556</v>
      </c>
      <c r="N5" s="11" t="s">
        <v>556</v>
      </c>
      <c r="P5" s="11" t="s">
        <v>556</v>
      </c>
      <c r="R5" s="11" t="s">
        <v>556</v>
      </c>
      <c r="T5" s="11" t="s">
        <v>556</v>
      </c>
      <c r="V5" s="11" t="s">
        <v>556</v>
      </c>
    </row>
    <row r="6" spans="1:26" x14ac:dyDescent="0.25">
      <c r="A6" s="13"/>
      <c r="B6" s="52"/>
      <c r="C6" s="11" t="s">
        <v>647</v>
      </c>
      <c r="E6" s="7"/>
      <c r="F6" s="11" t="s">
        <v>647</v>
      </c>
      <c r="H6" s="11" t="s">
        <v>647</v>
      </c>
      <c r="J6" s="11" t="s">
        <v>647</v>
      </c>
      <c r="L6" s="11" t="s">
        <v>647</v>
      </c>
      <c r="N6" s="11" t="s">
        <v>647</v>
      </c>
      <c r="P6" s="11" t="s">
        <v>647</v>
      </c>
      <c r="R6" s="11" t="s">
        <v>647</v>
      </c>
      <c r="T6" s="11" t="s">
        <v>647</v>
      </c>
      <c r="V6" s="11" t="s">
        <v>647</v>
      </c>
    </row>
    <row r="7" spans="1:26" s="2" customFormat="1" ht="15.75" x14ac:dyDescent="0.25">
      <c r="A7" s="13"/>
      <c r="B7" s="53"/>
      <c r="C7" s="11" t="s">
        <v>1428</v>
      </c>
      <c r="D7" s="59"/>
      <c r="E7" s="1"/>
      <c r="F7" s="11" t="s">
        <v>684</v>
      </c>
      <c r="G7" s="33"/>
      <c r="H7" s="11" t="s">
        <v>761</v>
      </c>
      <c r="J7" s="11" t="s">
        <v>787</v>
      </c>
      <c r="L7" s="11" t="s">
        <v>846</v>
      </c>
      <c r="N7" s="11" t="s">
        <v>898</v>
      </c>
      <c r="P7" s="11" t="s">
        <v>1226</v>
      </c>
      <c r="R7" s="11" t="s">
        <v>1248</v>
      </c>
      <c r="T7" s="11" t="s">
        <v>1263</v>
      </c>
      <c r="V7" s="11" t="s">
        <v>1398</v>
      </c>
      <c r="Z7" s="190"/>
    </row>
    <row r="8" spans="1:26" s="2" customFormat="1" ht="15.75" x14ac:dyDescent="0.25">
      <c r="A8" s="13"/>
      <c r="B8" s="53"/>
      <c r="C8" s="58"/>
      <c r="D8" s="59"/>
      <c r="E8" s="1"/>
      <c r="G8" s="33"/>
      <c r="Z8" s="190"/>
    </row>
    <row r="9" spans="1:26" s="2" customFormat="1" ht="67.5" customHeight="1" x14ac:dyDescent="0.25">
      <c r="A9" s="199" t="s">
        <v>890</v>
      </c>
      <c r="B9" s="199"/>
      <c r="C9" s="199"/>
      <c r="D9" s="199"/>
      <c r="E9" s="199"/>
      <c r="F9" s="199"/>
      <c r="G9" s="199"/>
      <c r="H9" s="199"/>
      <c r="I9" s="199"/>
      <c r="J9" s="199"/>
      <c r="K9" s="199"/>
      <c r="L9" s="199"/>
      <c r="M9" s="199"/>
      <c r="N9" s="199"/>
      <c r="O9" s="199"/>
      <c r="P9" s="199"/>
      <c r="Q9" s="199"/>
      <c r="R9" s="199"/>
      <c r="S9" s="199"/>
      <c r="T9" s="199"/>
      <c r="U9" s="199"/>
      <c r="V9" s="199"/>
      <c r="W9" s="199"/>
      <c r="X9" s="199"/>
      <c r="Y9" s="199"/>
      <c r="Z9" s="190"/>
    </row>
    <row r="10" spans="1:26" ht="66" customHeight="1" x14ac:dyDescent="0.25">
      <c r="A10" s="200" t="s">
        <v>651</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row>
    <row r="11" spans="1:26" s="2" customFormat="1" ht="15.75" x14ac:dyDescent="0.25">
      <c r="A11" s="14"/>
      <c r="B11" s="3"/>
      <c r="C11" s="3"/>
      <c r="D11" s="3"/>
      <c r="S11" s="3"/>
      <c r="Y11" s="3" t="s">
        <v>557</v>
      </c>
      <c r="Z11" s="190"/>
    </row>
    <row r="12" spans="1:26" s="2" customFormat="1" ht="15.75" customHeight="1" x14ac:dyDescent="0.25">
      <c r="A12" s="203" t="s">
        <v>0</v>
      </c>
      <c r="B12" s="204" t="s">
        <v>558</v>
      </c>
      <c r="C12" s="204" t="s">
        <v>1</v>
      </c>
      <c r="D12" s="204" t="s">
        <v>559</v>
      </c>
      <c r="E12" s="201" t="s">
        <v>648</v>
      </c>
      <c r="F12" s="201" t="s">
        <v>649</v>
      </c>
      <c r="G12" s="201" t="s">
        <v>650</v>
      </c>
      <c r="H12" s="201" t="s">
        <v>649</v>
      </c>
      <c r="I12" s="201" t="s">
        <v>650</v>
      </c>
      <c r="J12" s="201" t="s">
        <v>649</v>
      </c>
      <c r="K12" s="201" t="s">
        <v>650</v>
      </c>
      <c r="L12" s="201" t="s">
        <v>649</v>
      </c>
      <c r="M12" s="201" t="s">
        <v>650</v>
      </c>
      <c r="N12" s="201" t="s">
        <v>649</v>
      </c>
      <c r="O12" s="201" t="s">
        <v>650</v>
      </c>
      <c r="P12" s="201" t="s">
        <v>649</v>
      </c>
      <c r="Q12" s="201" t="s">
        <v>650</v>
      </c>
      <c r="R12" s="201" t="s">
        <v>649</v>
      </c>
      <c r="S12" s="201" t="s">
        <v>650</v>
      </c>
      <c r="T12" s="201" t="s">
        <v>649</v>
      </c>
      <c r="U12" s="201" t="s">
        <v>650</v>
      </c>
      <c r="V12" s="201" t="s">
        <v>649</v>
      </c>
      <c r="W12" s="201" t="s">
        <v>650</v>
      </c>
      <c r="X12" s="201" t="s">
        <v>649</v>
      </c>
      <c r="Y12" s="201" t="s">
        <v>650</v>
      </c>
      <c r="Z12" s="190"/>
    </row>
    <row r="13" spans="1:26" s="2" customFormat="1" ht="15.75" x14ac:dyDescent="0.25">
      <c r="A13" s="203"/>
      <c r="B13" s="204"/>
      <c r="C13" s="204"/>
      <c r="D13" s="204"/>
      <c r="E13" s="201"/>
      <c r="F13" s="201"/>
      <c r="G13" s="201"/>
      <c r="H13" s="201"/>
      <c r="I13" s="201"/>
      <c r="J13" s="201"/>
      <c r="K13" s="201"/>
      <c r="L13" s="201"/>
      <c r="M13" s="201"/>
      <c r="N13" s="201"/>
      <c r="O13" s="201"/>
      <c r="P13" s="201"/>
      <c r="Q13" s="201"/>
      <c r="R13" s="201"/>
      <c r="S13" s="201"/>
      <c r="T13" s="201"/>
      <c r="U13" s="201"/>
      <c r="V13" s="201"/>
      <c r="W13" s="201"/>
      <c r="X13" s="201"/>
      <c r="Y13" s="201"/>
      <c r="Z13" s="190"/>
    </row>
    <row r="14" spans="1:26" s="4" customFormat="1" ht="25.5" customHeight="1" x14ac:dyDescent="0.2">
      <c r="A14" s="203"/>
      <c r="B14" s="204"/>
      <c r="C14" s="204"/>
      <c r="D14" s="204"/>
      <c r="E14" s="201"/>
      <c r="F14" s="201"/>
      <c r="G14" s="201"/>
      <c r="H14" s="201"/>
      <c r="I14" s="201"/>
      <c r="J14" s="201"/>
      <c r="K14" s="201"/>
      <c r="L14" s="201"/>
      <c r="M14" s="201"/>
      <c r="N14" s="201"/>
      <c r="O14" s="201"/>
      <c r="P14" s="201"/>
      <c r="Q14" s="201"/>
      <c r="R14" s="201"/>
      <c r="S14" s="201"/>
      <c r="T14" s="201"/>
      <c r="U14" s="201"/>
      <c r="V14" s="201"/>
      <c r="W14" s="201"/>
      <c r="X14" s="201"/>
      <c r="Y14" s="201"/>
      <c r="Z14" s="191"/>
    </row>
    <row r="15" spans="1:26" s="6" customFormat="1" x14ac:dyDescent="0.25">
      <c r="A15" s="34" t="s">
        <v>4</v>
      </c>
      <c r="B15" s="35" t="s">
        <v>5</v>
      </c>
      <c r="C15" s="35" t="s">
        <v>2</v>
      </c>
      <c r="D15" s="35" t="s">
        <v>2</v>
      </c>
      <c r="E15" s="36">
        <f>E16+E27+E38+E110+E114+E142+E147</f>
        <v>257513.06999999998</v>
      </c>
      <c r="F15" s="36">
        <f>F16+F27+F38+F110+F114+F142+F147</f>
        <v>2848.6000000000004</v>
      </c>
      <c r="G15" s="36">
        <f>E15+F15</f>
        <v>260361.66999999998</v>
      </c>
      <c r="H15" s="36">
        <f>H16+H27+H38+H110+H114+H142+H147</f>
        <v>-16191.4</v>
      </c>
      <c r="I15" s="36">
        <f>G15+H15</f>
        <v>244170.27</v>
      </c>
      <c r="J15" s="36">
        <f>J16+J27+J38+J110+J114+J142+J147</f>
        <v>-609.39999999999986</v>
      </c>
      <c r="K15" s="36">
        <f>I15+J15</f>
        <v>243560.87</v>
      </c>
      <c r="L15" s="36">
        <f>L16+L27+L38+L110+L114+L142+L147</f>
        <v>70250.3</v>
      </c>
      <c r="M15" s="36">
        <f>K15+L15</f>
        <v>313811.17</v>
      </c>
      <c r="N15" s="36">
        <f>N16+N27+N38+N110+N114+N142+N147</f>
        <v>63992.7</v>
      </c>
      <c r="O15" s="36">
        <f>M15+N15</f>
        <v>377803.87</v>
      </c>
      <c r="P15" s="36">
        <f>P16+P27+P38+P110+P114+P142+P147</f>
        <v>-119460.9</v>
      </c>
      <c r="Q15" s="36">
        <f>O15+P15</f>
        <v>258342.97</v>
      </c>
      <c r="R15" s="36">
        <f>R16+R27+R38+R110+R114+R142+R147</f>
        <v>31662.700000000004</v>
      </c>
      <c r="S15" s="36">
        <f>Q15+R15</f>
        <v>290005.67</v>
      </c>
      <c r="T15" s="36">
        <f>T16+T27+T38+T110+T114+T142+T147</f>
        <v>989.10000000000025</v>
      </c>
      <c r="U15" s="36">
        <f>S15+T15</f>
        <v>290994.76999999996</v>
      </c>
      <c r="V15" s="36">
        <f>V16+V27+V38+V110+V114+V142+V147</f>
        <v>-21911.699999999993</v>
      </c>
      <c r="W15" s="36">
        <f>U15+V15</f>
        <v>269083.06999999995</v>
      </c>
      <c r="X15" s="36">
        <f>X16+X27+X38+X110+X114+X142+X147</f>
        <v>5320.5999999999995</v>
      </c>
      <c r="Y15" s="36">
        <f>W15+X15</f>
        <v>274403.66999999993</v>
      </c>
      <c r="Z15" s="189"/>
    </row>
    <row r="16" spans="1:26" s="6" customFormat="1" ht="24.75" x14ac:dyDescent="0.25">
      <c r="A16" s="22" t="s">
        <v>6</v>
      </c>
      <c r="B16" s="23" t="s">
        <v>7</v>
      </c>
      <c r="C16" s="23" t="s">
        <v>2</v>
      </c>
      <c r="D16" s="23" t="s">
        <v>2</v>
      </c>
      <c r="E16" s="24">
        <f>E17</f>
        <v>2606.9</v>
      </c>
      <c r="F16" s="24">
        <f>F17</f>
        <v>0</v>
      </c>
      <c r="G16" s="24">
        <f>E16+F16</f>
        <v>2606.9</v>
      </c>
      <c r="H16" s="24">
        <f>H17</f>
        <v>0</v>
      </c>
      <c r="I16" s="24">
        <f>G16+H16</f>
        <v>2606.9</v>
      </c>
      <c r="J16" s="24">
        <f>J17</f>
        <v>0</v>
      </c>
      <c r="K16" s="24">
        <f>I16+J16</f>
        <v>2606.9</v>
      </c>
      <c r="L16" s="24">
        <f>L17</f>
        <v>0</v>
      </c>
      <c r="M16" s="24">
        <f>K16+L16</f>
        <v>2606.9</v>
      </c>
      <c r="N16" s="24">
        <f>N17</f>
        <v>0</v>
      </c>
      <c r="O16" s="24">
        <f>M16+N16</f>
        <v>2606.9</v>
      </c>
      <c r="P16" s="24">
        <f>P17</f>
        <v>0</v>
      </c>
      <c r="Q16" s="24">
        <f>O16+P16</f>
        <v>2606.9</v>
      </c>
      <c r="R16" s="24">
        <f>R17</f>
        <v>397.20000000000005</v>
      </c>
      <c r="S16" s="24">
        <f>Q16+R16</f>
        <v>3004.1000000000004</v>
      </c>
      <c r="T16" s="24">
        <f>T17</f>
        <v>0</v>
      </c>
      <c r="U16" s="24">
        <f>S16+T16</f>
        <v>3004.1000000000004</v>
      </c>
      <c r="V16" s="24">
        <f>V17</f>
        <v>278.3</v>
      </c>
      <c r="W16" s="24">
        <f>U16+V16</f>
        <v>3282.4000000000005</v>
      </c>
      <c r="X16" s="24">
        <f>X17</f>
        <v>-52.79999999999999</v>
      </c>
      <c r="Y16" s="24">
        <f>W16+X16</f>
        <v>3229.6000000000004</v>
      </c>
      <c r="Z16" s="189"/>
    </row>
    <row r="17" spans="1:27" s="6" customFormat="1" x14ac:dyDescent="0.25">
      <c r="A17" s="22" t="s">
        <v>8</v>
      </c>
      <c r="B17" s="23" t="s">
        <v>7</v>
      </c>
      <c r="C17" s="23" t="s">
        <v>9</v>
      </c>
      <c r="D17" s="23" t="s">
        <v>2</v>
      </c>
      <c r="E17" s="24">
        <f>E21</f>
        <v>2606.9</v>
      </c>
      <c r="F17" s="24">
        <f>F21</f>
        <v>0</v>
      </c>
      <c r="G17" s="24">
        <f t="shared" ref="G17:G137" si="0">E17+F17</f>
        <v>2606.9</v>
      </c>
      <c r="H17" s="24">
        <f>H21</f>
        <v>0</v>
      </c>
      <c r="I17" s="24">
        <f t="shared" ref="I17:I137" si="1">G17+H17</f>
        <v>2606.9</v>
      </c>
      <c r="J17" s="24">
        <f>J21</f>
        <v>0</v>
      </c>
      <c r="K17" s="24">
        <f t="shared" ref="K17:K137" si="2">I17+J17</f>
        <v>2606.9</v>
      </c>
      <c r="L17" s="24">
        <f>L21</f>
        <v>0</v>
      </c>
      <c r="M17" s="24">
        <f t="shared" ref="M17:M137" si="3">K17+L17</f>
        <v>2606.9</v>
      </c>
      <c r="N17" s="24">
        <f>N21</f>
        <v>0</v>
      </c>
      <c r="O17" s="24">
        <f t="shared" ref="O17:O137" si="4">M17+N17</f>
        <v>2606.9</v>
      </c>
      <c r="P17" s="24">
        <f>P21</f>
        <v>0</v>
      </c>
      <c r="Q17" s="24">
        <f t="shared" ref="Q17:Q54" si="5">O17+P17</f>
        <v>2606.9</v>
      </c>
      <c r="R17" s="24">
        <f>R21+R18</f>
        <v>397.20000000000005</v>
      </c>
      <c r="S17" s="24">
        <f t="shared" ref="S17:S54" si="6">Q17+R17</f>
        <v>3004.1000000000004</v>
      </c>
      <c r="T17" s="24">
        <f>T21+T18</f>
        <v>0</v>
      </c>
      <c r="U17" s="24">
        <f t="shared" ref="U17:U54" si="7">S17+T17</f>
        <v>3004.1000000000004</v>
      </c>
      <c r="V17" s="24">
        <f>V21+V18+V24</f>
        <v>278.3</v>
      </c>
      <c r="W17" s="24">
        <f t="shared" ref="W17:W54" si="8">U17+V17</f>
        <v>3282.4000000000005</v>
      </c>
      <c r="X17" s="24">
        <f>X21+X18+X24</f>
        <v>-52.79999999999999</v>
      </c>
      <c r="Y17" s="24">
        <f t="shared" ref="Y17:Y54" si="9">W17+X17</f>
        <v>3229.6000000000004</v>
      </c>
      <c r="Z17" s="189"/>
    </row>
    <row r="18" spans="1:27" s="6" customFormat="1" x14ac:dyDescent="0.25">
      <c r="A18" s="16" t="s">
        <v>769</v>
      </c>
      <c r="B18" s="20" t="s">
        <v>7</v>
      </c>
      <c r="C18" s="20" t="s">
        <v>1238</v>
      </c>
      <c r="D18" s="20"/>
      <c r="E18" s="24"/>
      <c r="F18" s="24"/>
      <c r="G18" s="24"/>
      <c r="H18" s="24"/>
      <c r="I18" s="24"/>
      <c r="J18" s="24"/>
      <c r="K18" s="24"/>
      <c r="L18" s="24"/>
      <c r="M18" s="24"/>
      <c r="N18" s="24"/>
      <c r="O18" s="24"/>
      <c r="P18" s="24"/>
      <c r="Q18" s="24"/>
      <c r="R18" s="50">
        <f>R19+R20</f>
        <v>397.20000000000005</v>
      </c>
      <c r="S18" s="24">
        <f t="shared" si="6"/>
        <v>397.20000000000005</v>
      </c>
      <c r="T18" s="50">
        <f>T19+T20</f>
        <v>0</v>
      </c>
      <c r="U18" s="24">
        <f t="shared" si="7"/>
        <v>397.20000000000005</v>
      </c>
      <c r="V18" s="50">
        <f>V19+V20</f>
        <v>0</v>
      </c>
      <c r="W18" s="24">
        <f t="shared" si="8"/>
        <v>397.20000000000005</v>
      </c>
      <c r="X18" s="50">
        <f>X19+X20</f>
        <v>0</v>
      </c>
      <c r="Y18" s="24">
        <f t="shared" si="9"/>
        <v>397.20000000000005</v>
      </c>
      <c r="Z18" s="189"/>
    </row>
    <row r="19" spans="1:27" s="6" customFormat="1" x14ac:dyDescent="0.25">
      <c r="A19" s="17" t="s">
        <v>560</v>
      </c>
      <c r="B19" s="21" t="s">
        <v>7</v>
      </c>
      <c r="C19" s="21" t="s">
        <v>1238</v>
      </c>
      <c r="D19" s="21" t="s">
        <v>12</v>
      </c>
      <c r="E19" s="24"/>
      <c r="F19" s="24"/>
      <c r="G19" s="24"/>
      <c r="H19" s="24"/>
      <c r="I19" s="24"/>
      <c r="J19" s="24"/>
      <c r="K19" s="24"/>
      <c r="L19" s="24"/>
      <c r="M19" s="24"/>
      <c r="N19" s="24"/>
      <c r="O19" s="24"/>
      <c r="P19" s="24"/>
      <c r="Q19" s="24"/>
      <c r="R19" s="51">
        <v>305.10000000000002</v>
      </c>
      <c r="S19" s="24">
        <f t="shared" si="6"/>
        <v>305.10000000000002</v>
      </c>
      <c r="T19" s="84"/>
      <c r="U19" s="24">
        <f t="shared" si="7"/>
        <v>305.10000000000002</v>
      </c>
      <c r="V19" s="84"/>
      <c r="W19" s="24">
        <f t="shared" si="8"/>
        <v>305.10000000000002</v>
      </c>
      <c r="X19" s="84"/>
      <c r="Y19" s="24">
        <f t="shared" si="9"/>
        <v>305.10000000000002</v>
      </c>
      <c r="Z19" s="189"/>
      <c r="AA19" s="189">
        <f>Y19+Z19</f>
        <v>305.10000000000002</v>
      </c>
    </row>
    <row r="20" spans="1:27" s="6" customFormat="1" ht="36.75" x14ac:dyDescent="0.25">
      <c r="A20" s="17" t="s">
        <v>561</v>
      </c>
      <c r="B20" s="21" t="s">
        <v>7</v>
      </c>
      <c r="C20" s="21" t="s">
        <v>1238</v>
      </c>
      <c r="D20" s="21" t="s">
        <v>13</v>
      </c>
      <c r="E20" s="24"/>
      <c r="F20" s="24"/>
      <c r="G20" s="24"/>
      <c r="H20" s="24"/>
      <c r="I20" s="24"/>
      <c r="J20" s="24"/>
      <c r="K20" s="24"/>
      <c r="L20" s="24"/>
      <c r="M20" s="24"/>
      <c r="N20" s="24"/>
      <c r="O20" s="24"/>
      <c r="P20" s="24"/>
      <c r="Q20" s="24"/>
      <c r="R20" s="51">
        <v>92.1</v>
      </c>
      <c r="S20" s="24">
        <f t="shared" si="6"/>
        <v>92.1</v>
      </c>
      <c r="T20" s="84"/>
      <c r="U20" s="24">
        <f t="shared" si="7"/>
        <v>92.1</v>
      </c>
      <c r="V20" s="84"/>
      <c r="W20" s="24">
        <f t="shared" si="8"/>
        <v>92.1</v>
      </c>
      <c r="X20" s="84"/>
      <c r="Y20" s="24">
        <f t="shared" si="9"/>
        <v>92.1</v>
      </c>
      <c r="Z20" s="189"/>
      <c r="AA20" s="189">
        <f>Y20+Z20</f>
        <v>92.1</v>
      </c>
    </row>
    <row r="21" spans="1:27" s="6" customFormat="1" x14ac:dyDescent="0.25">
      <c r="A21" s="22" t="s">
        <v>10</v>
      </c>
      <c r="B21" s="23" t="s">
        <v>7</v>
      </c>
      <c r="C21" s="23" t="s">
        <v>11</v>
      </c>
      <c r="D21" s="23" t="s">
        <v>2</v>
      </c>
      <c r="E21" s="24">
        <f>E22+E23</f>
        <v>2606.9</v>
      </c>
      <c r="F21" s="24">
        <f>F22+F23</f>
        <v>0</v>
      </c>
      <c r="G21" s="24">
        <f t="shared" si="0"/>
        <v>2606.9</v>
      </c>
      <c r="H21" s="24">
        <f>H22+H23</f>
        <v>0</v>
      </c>
      <c r="I21" s="24">
        <f t="shared" si="1"/>
        <v>2606.9</v>
      </c>
      <c r="J21" s="24">
        <f>J22+J23</f>
        <v>0</v>
      </c>
      <c r="K21" s="24">
        <f t="shared" si="2"/>
        <v>2606.9</v>
      </c>
      <c r="L21" s="24">
        <f>L22+L23</f>
        <v>0</v>
      </c>
      <c r="M21" s="24">
        <f t="shared" si="3"/>
        <v>2606.9</v>
      </c>
      <c r="N21" s="24">
        <f>N22+N23</f>
        <v>0</v>
      </c>
      <c r="O21" s="24">
        <f t="shared" si="4"/>
        <v>2606.9</v>
      </c>
      <c r="P21" s="24">
        <f>P22+P23</f>
        <v>0</v>
      </c>
      <c r="Q21" s="24">
        <f t="shared" si="5"/>
        <v>2606.9</v>
      </c>
      <c r="R21" s="24">
        <f>R22+R23</f>
        <v>0</v>
      </c>
      <c r="S21" s="24">
        <f t="shared" si="6"/>
        <v>2606.9</v>
      </c>
      <c r="T21" s="24">
        <f>T22+T23</f>
        <v>0</v>
      </c>
      <c r="U21" s="24">
        <f t="shared" si="7"/>
        <v>2606.9</v>
      </c>
      <c r="V21" s="24">
        <f>V22+V23</f>
        <v>249.60000000000002</v>
      </c>
      <c r="W21" s="24">
        <f t="shared" si="8"/>
        <v>2856.5</v>
      </c>
      <c r="X21" s="24">
        <f>X22+X23</f>
        <v>-52.79999999999999</v>
      </c>
      <c r="Y21" s="24">
        <f t="shared" si="9"/>
        <v>2803.7</v>
      </c>
      <c r="Z21" s="189"/>
    </row>
    <row r="22" spans="1:27" x14ac:dyDescent="0.25">
      <c r="A22" s="25" t="s">
        <v>560</v>
      </c>
      <c r="B22" s="26" t="s">
        <v>7</v>
      </c>
      <c r="C22" s="26" t="s">
        <v>11</v>
      </c>
      <c r="D22" s="26" t="s">
        <v>12</v>
      </c>
      <c r="E22" s="27">
        <f>10+1991.9</f>
        <v>2001.9</v>
      </c>
      <c r="F22" s="27"/>
      <c r="G22" s="24">
        <f t="shared" si="0"/>
        <v>2001.9</v>
      </c>
      <c r="H22" s="27"/>
      <c r="I22" s="24">
        <f t="shared" si="1"/>
        <v>2001.9</v>
      </c>
      <c r="J22" s="27"/>
      <c r="K22" s="24">
        <f t="shared" si="2"/>
        <v>2001.9</v>
      </c>
      <c r="L22" s="27"/>
      <c r="M22" s="24">
        <f t="shared" si="3"/>
        <v>2001.9</v>
      </c>
      <c r="N22" s="27"/>
      <c r="O22" s="24">
        <f t="shared" si="4"/>
        <v>2001.9</v>
      </c>
      <c r="P22" s="27"/>
      <c r="Q22" s="24">
        <f t="shared" si="5"/>
        <v>2001.9</v>
      </c>
      <c r="R22" s="27"/>
      <c r="S22" s="24">
        <f t="shared" si="6"/>
        <v>2001.9</v>
      </c>
      <c r="T22" s="69"/>
      <c r="U22" s="24">
        <f t="shared" si="7"/>
        <v>2001.9</v>
      </c>
      <c r="V22" s="94">
        <f>249.6+30</f>
        <v>279.60000000000002</v>
      </c>
      <c r="W22" s="24">
        <f t="shared" si="8"/>
        <v>2281.5</v>
      </c>
      <c r="X22" s="39">
        <v>17.100000000000001</v>
      </c>
      <c r="Y22" s="24">
        <f t="shared" si="9"/>
        <v>2298.6</v>
      </c>
      <c r="AA22" s="189">
        <f t="shared" ref="AA22:AA23" si="10">Y22+Z22</f>
        <v>2298.6</v>
      </c>
    </row>
    <row r="23" spans="1:27" ht="28.5" customHeight="1" x14ac:dyDescent="0.25">
      <c r="A23" s="25" t="s">
        <v>561</v>
      </c>
      <c r="B23" s="26" t="s">
        <v>7</v>
      </c>
      <c r="C23" s="26" t="s">
        <v>11</v>
      </c>
      <c r="D23" s="26" t="s">
        <v>13</v>
      </c>
      <c r="E23" s="27">
        <v>605</v>
      </c>
      <c r="F23" s="27"/>
      <c r="G23" s="24">
        <f t="shared" si="0"/>
        <v>605</v>
      </c>
      <c r="H23" s="27"/>
      <c r="I23" s="24">
        <f t="shared" si="1"/>
        <v>605</v>
      </c>
      <c r="J23" s="27"/>
      <c r="K23" s="24">
        <f t="shared" si="2"/>
        <v>605</v>
      </c>
      <c r="L23" s="27"/>
      <c r="M23" s="24">
        <f t="shared" si="3"/>
        <v>605</v>
      </c>
      <c r="N23" s="27"/>
      <c r="O23" s="24">
        <f t="shared" si="4"/>
        <v>605</v>
      </c>
      <c r="P23" s="27"/>
      <c r="Q23" s="24">
        <f t="shared" si="5"/>
        <v>605</v>
      </c>
      <c r="R23" s="27"/>
      <c r="S23" s="24">
        <f t="shared" si="6"/>
        <v>605</v>
      </c>
      <c r="T23" s="69"/>
      <c r="U23" s="24">
        <f t="shared" si="7"/>
        <v>605</v>
      </c>
      <c r="V23" s="94">
        <v>-30</v>
      </c>
      <c r="W23" s="24">
        <f t="shared" si="8"/>
        <v>575</v>
      </c>
      <c r="X23" s="39">
        <f>-69.8-0.1</f>
        <v>-69.899999999999991</v>
      </c>
      <c r="Y23" s="24">
        <f t="shared" si="9"/>
        <v>505.1</v>
      </c>
      <c r="Z23" s="61">
        <v>-0.1</v>
      </c>
      <c r="AA23" s="189">
        <f t="shared" si="10"/>
        <v>505</v>
      </c>
    </row>
    <row r="24" spans="1:27" ht="20.25" customHeight="1" x14ac:dyDescent="0.25">
      <c r="A24" s="100" t="s">
        <v>841</v>
      </c>
      <c r="B24" s="20" t="s">
        <v>7</v>
      </c>
      <c r="C24" s="20" t="s">
        <v>1399</v>
      </c>
      <c r="D24" s="26"/>
      <c r="E24" s="27"/>
      <c r="F24" s="27"/>
      <c r="G24" s="24"/>
      <c r="H24" s="27"/>
      <c r="I24" s="24"/>
      <c r="J24" s="27"/>
      <c r="K24" s="24"/>
      <c r="L24" s="27"/>
      <c r="M24" s="24"/>
      <c r="N24" s="27"/>
      <c r="O24" s="24"/>
      <c r="P24" s="27"/>
      <c r="Q24" s="24"/>
      <c r="R24" s="27"/>
      <c r="S24" s="24"/>
      <c r="T24" s="69"/>
      <c r="U24" s="24"/>
      <c r="V24" s="47">
        <f>V25+V26</f>
        <v>28.7</v>
      </c>
      <c r="W24" s="24">
        <f t="shared" si="8"/>
        <v>28.7</v>
      </c>
      <c r="X24" s="47">
        <f>X25+X26</f>
        <v>0</v>
      </c>
      <c r="Y24" s="24">
        <f t="shared" si="9"/>
        <v>28.7</v>
      </c>
    </row>
    <row r="25" spans="1:27" ht="17.25" customHeight="1" x14ac:dyDescent="0.25">
      <c r="A25" s="30" t="s">
        <v>560</v>
      </c>
      <c r="B25" s="21" t="s">
        <v>7</v>
      </c>
      <c r="C25" s="21" t="s">
        <v>1399</v>
      </c>
      <c r="D25" s="21" t="s">
        <v>12</v>
      </c>
      <c r="E25" s="27"/>
      <c r="F25" s="27"/>
      <c r="G25" s="24"/>
      <c r="H25" s="27"/>
      <c r="I25" s="24"/>
      <c r="J25" s="27"/>
      <c r="K25" s="24"/>
      <c r="L25" s="27"/>
      <c r="M25" s="24"/>
      <c r="N25" s="27"/>
      <c r="O25" s="24"/>
      <c r="P25" s="27"/>
      <c r="Q25" s="24"/>
      <c r="R25" s="27"/>
      <c r="S25" s="24"/>
      <c r="T25" s="69"/>
      <c r="U25" s="24"/>
      <c r="V25" s="180">
        <v>22</v>
      </c>
      <c r="W25" s="24">
        <f t="shared" si="8"/>
        <v>22</v>
      </c>
      <c r="X25" s="84"/>
      <c r="Y25" s="24">
        <f t="shared" si="9"/>
        <v>22</v>
      </c>
      <c r="AA25" s="189">
        <f t="shared" ref="AA25:AA26" si="11">Y25+Z25</f>
        <v>22</v>
      </c>
    </row>
    <row r="26" spans="1:27" ht="28.5" customHeight="1" x14ac:dyDescent="0.25">
      <c r="A26" s="17" t="s">
        <v>561</v>
      </c>
      <c r="B26" s="21" t="s">
        <v>7</v>
      </c>
      <c r="C26" s="21" t="s">
        <v>1399</v>
      </c>
      <c r="D26" s="21" t="s">
        <v>13</v>
      </c>
      <c r="E26" s="27"/>
      <c r="F26" s="27"/>
      <c r="G26" s="24"/>
      <c r="H26" s="27"/>
      <c r="I26" s="24"/>
      <c r="J26" s="27"/>
      <c r="K26" s="24"/>
      <c r="L26" s="27"/>
      <c r="M26" s="24"/>
      <c r="N26" s="27"/>
      <c r="O26" s="24"/>
      <c r="P26" s="27"/>
      <c r="Q26" s="24"/>
      <c r="R26" s="27"/>
      <c r="S26" s="24"/>
      <c r="T26" s="69"/>
      <c r="U26" s="24"/>
      <c r="V26" s="180">
        <v>6.7</v>
      </c>
      <c r="W26" s="24">
        <f t="shared" si="8"/>
        <v>6.7</v>
      </c>
      <c r="X26" s="84"/>
      <c r="Y26" s="24">
        <f t="shared" si="9"/>
        <v>6.7</v>
      </c>
      <c r="AA26" s="189">
        <f t="shared" si="11"/>
        <v>6.7</v>
      </c>
    </row>
    <row r="27" spans="1:27" s="6" customFormat="1" ht="36.75" x14ac:dyDescent="0.25">
      <c r="A27" s="22" t="s">
        <v>14</v>
      </c>
      <c r="B27" s="23" t="s">
        <v>15</v>
      </c>
      <c r="C27" s="23" t="s">
        <v>2</v>
      </c>
      <c r="D27" s="23" t="s">
        <v>2</v>
      </c>
      <c r="E27" s="24">
        <f>E28</f>
        <v>1878.1</v>
      </c>
      <c r="F27" s="24">
        <f>F28</f>
        <v>0</v>
      </c>
      <c r="G27" s="24">
        <f t="shared" si="0"/>
        <v>1878.1</v>
      </c>
      <c r="H27" s="24">
        <f>H28</f>
        <v>0</v>
      </c>
      <c r="I27" s="24">
        <f t="shared" si="1"/>
        <v>1878.1</v>
      </c>
      <c r="J27" s="24">
        <f>J28</f>
        <v>0</v>
      </c>
      <c r="K27" s="24">
        <f t="shared" si="2"/>
        <v>1878.1</v>
      </c>
      <c r="L27" s="24">
        <f>L28</f>
        <v>0</v>
      </c>
      <c r="M27" s="24">
        <f t="shared" si="3"/>
        <v>1878.1</v>
      </c>
      <c r="N27" s="24">
        <f>N28</f>
        <v>0</v>
      </c>
      <c r="O27" s="24">
        <f t="shared" si="4"/>
        <v>1878.1</v>
      </c>
      <c r="P27" s="24">
        <f>P28</f>
        <v>0</v>
      </c>
      <c r="Q27" s="24">
        <f t="shared" si="5"/>
        <v>1878.1</v>
      </c>
      <c r="R27" s="24">
        <f>R28</f>
        <v>147.4</v>
      </c>
      <c r="S27" s="24">
        <f t="shared" si="6"/>
        <v>2025.5</v>
      </c>
      <c r="T27" s="24">
        <f>T28</f>
        <v>0</v>
      </c>
      <c r="U27" s="24">
        <f t="shared" si="7"/>
        <v>2025.5</v>
      </c>
      <c r="V27" s="24">
        <f>V28</f>
        <v>96.5</v>
      </c>
      <c r="W27" s="24">
        <f t="shared" si="8"/>
        <v>2122</v>
      </c>
      <c r="X27" s="24">
        <f>X28</f>
        <v>-33</v>
      </c>
      <c r="Y27" s="24">
        <f t="shared" si="9"/>
        <v>2089</v>
      </c>
      <c r="Z27" s="189"/>
    </row>
    <row r="28" spans="1:27" s="6" customFormat="1" x14ac:dyDescent="0.25">
      <c r="A28" s="22" t="s">
        <v>8</v>
      </c>
      <c r="B28" s="23" t="s">
        <v>15</v>
      </c>
      <c r="C28" s="23" t="s">
        <v>9</v>
      </c>
      <c r="D28" s="23" t="s">
        <v>2</v>
      </c>
      <c r="E28" s="24">
        <f>E35</f>
        <v>1878.1</v>
      </c>
      <c r="F28" s="24">
        <f>F35</f>
        <v>0</v>
      </c>
      <c r="G28" s="24">
        <f t="shared" si="0"/>
        <v>1878.1</v>
      </c>
      <c r="H28" s="24">
        <f>H35</f>
        <v>0</v>
      </c>
      <c r="I28" s="24">
        <f t="shared" si="1"/>
        <v>1878.1</v>
      </c>
      <c r="J28" s="24">
        <f>J35</f>
        <v>0</v>
      </c>
      <c r="K28" s="24">
        <f t="shared" si="2"/>
        <v>1878.1</v>
      </c>
      <c r="L28" s="24">
        <f>L35</f>
        <v>0</v>
      </c>
      <c r="M28" s="24">
        <f t="shared" si="3"/>
        <v>1878.1</v>
      </c>
      <c r="N28" s="24">
        <f>N35</f>
        <v>0</v>
      </c>
      <c r="O28" s="24">
        <f t="shared" si="4"/>
        <v>1878.1</v>
      </c>
      <c r="P28" s="24">
        <f>P35</f>
        <v>0</v>
      </c>
      <c r="Q28" s="24">
        <f t="shared" si="5"/>
        <v>1878.1</v>
      </c>
      <c r="R28" s="24">
        <f>R35+R29</f>
        <v>147.4</v>
      </c>
      <c r="S28" s="24">
        <f t="shared" si="6"/>
        <v>2025.5</v>
      </c>
      <c r="T28" s="24">
        <f>T35+T29</f>
        <v>0</v>
      </c>
      <c r="U28" s="24">
        <f t="shared" si="7"/>
        <v>2025.5</v>
      </c>
      <c r="V28" s="24">
        <f>V35+V29+V32</f>
        <v>96.5</v>
      </c>
      <c r="W28" s="24">
        <f t="shared" si="8"/>
        <v>2122</v>
      </c>
      <c r="X28" s="24">
        <f>X35+X29+X32</f>
        <v>-33</v>
      </c>
      <c r="Y28" s="24">
        <f t="shared" si="9"/>
        <v>2089</v>
      </c>
      <c r="Z28" s="189"/>
    </row>
    <row r="29" spans="1:27" s="6" customFormat="1" x14ac:dyDescent="0.25">
      <c r="A29" s="16" t="s">
        <v>769</v>
      </c>
      <c r="B29" s="20" t="s">
        <v>15</v>
      </c>
      <c r="C29" s="20" t="s">
        <v>1238</v>
      </c>
      <c r="D29" s="20"/>
      <c r="E29" s="24"/>
      <c r="F29" s="24"/>
      <c r="G29" s="24"/>
      <c r="H29" s="24"/>
      <c r="I29" s="24"/>
      <c r="J29" s="24"/>
      <c r="K29" s="24"/>
      <c r="L29" s="24"/>
      <c r="M29" s="24"/>
      <c r="N29" s="24"/>
      <c r="O29" s="24"/>
      <c r="P29" s="24"/>
      <c r="Q29" s="24"/>
      <c r="R29" s="18">
        <f>R30+R31</f>
        <v>147.4</v>
      </c>
      <c r="S29" s="24">
        <f t="shared" si="6"/>
        <v>147.4</v>
      </c>
      <c r="T29" s="18">
        <f>T30+T31</f>
        <v>0</v>
      </c>
      <c r="U29" s="24">
        <f t="shared" si="7"/>
        <v>147.4</v>
      </c>
      <c r="V29" s="18">
        <f>V30+V31</f>
        <v>0</v>
      </c>
      <c r="W29" s="24">
        <f t="shared" si="8"/>
        <v>147.4</v>
      </c>
      <c r="X29" s="18">
        <f>X30+X31</f>
        <v>0</v>
      </c>
      <c r="Y29" s="24">
        <f t="shared" si="9"/>
        <v>147.4</v>
      </c>
      <c r="Z29" s="189"/>
    </row>
    <row r="30" spans="1:27" s="6" customFormat="1" x14ac:dyDescent="0.25">
      <c r="A30" s="17" t="s">
        <v>560</v>
      </c>
      <c r="B30" s="21" t="s">
        <v>15</v>
      </c>
      <c r="C30" s="21" t="s">
        <v>1238</v>
      </c>
      <c r="D30" s="21" t="s">
        <v>12</v>
      </c>
      <c r="E30" s="24"/>
      <c r="F30" s="24"/>
      <c r="G30" s="24"/>
      <c r="H30" s="24"/>
      <c r="I30" s="24"/>
      <c r="J30" s="24"/>
      <c r="K30" s="24"/>
      <c r="L30" s="24"/>
      <c r="M30" s="24"/>
      <c r="N30" s="24"/>
      <c r="O30" s="24"/>
      <c r="P30" s="24"/>
      <c r="Q30" s="24"/>
      <c r="R30" s="43">
        <v>113.2</v>
      </c>
      <c r="S30" s="24">
        <f t="shared" si="6"/>
        <v>113.2</v>
      </c>
      <c r="T30" s="69"/>
      <c r="U30" s="24">
        <f t="shared" si="7"/>
        <v>113.2</v>
      </c>
      <c r="V30" s="69"/>
      <c r="W30" s="24">
        <f t="shared" si="8"/>
        <v>113.2</v>
      </c>
      <c r="X30" s="69"/>
      <c r="Y30" s="24">
        <f t="shared" si="9"/>
        <v>113.2</v>
      </c>
      <c r="Z30" s="189"/>
      <c r="AA30" s="189">
        <f t="shared" ref="AA30:AA31" si="12">Y30+Z30</f>
        <v>113.2</v>
      </c>
    </row>
    <row r="31" spans="1:27" s="6" customFormat="1" ht="36.75" x14ac:dyDescent="0.25">
      <c r="A31" s="17" t="s">
        <v>561</v>
      </c>
      <c r="B31" s="21" t="s">
        <v>15</v>
      </c>
      <c r="C31" s="21" t="s">
        <v>1238</v>
      </c>
      <c r="D31" s="21" t="s">
        <v>13</v>
      </c>
      <c r="E31" s="24"/>
      <c r="F31" s="24"/>
      <c r="G31" s="24"/>
      <c r="H31" s="24"/>
      <c r="I31" s="24"/>
      <c r="J31" s="24"/>
      <c r="K31" s="24"/>
      <c r="L31" s="24"/>
      <c r="M31" s="24"/>
      <c r="N31" s="24"/>
      <c r="O31" s="24"/>
      <c r="P31" s="24"/>
      <c r="Q31" s="24"/>
      <c r="R31" s="43">
        <v>34.200000000000003</v>
      </c>
      <c r="S31" s="24">
        <f t="shared" si="6"/>
        <v>34.200000000000003</v>
      </c>
      <c r="T31" s="69"/>
      <c r="U31" s="24">
        <f t="shared" si="7"/>
        <v>34.200000000000003</v>
      </c>
      <c r="V31" s="69"/>
      <c r="W31" s="24">
        <f t="shared" si="8"/>
        <v>34.200000000000003</v>
      </c>
      <c r="X31" s="69"/>
      <c r="Y31" s="24">
        <f t="shared" si="9"/>
        <v>34.200000000000003</v>
      </c>
      <c r="Z31" s="189"/>
      <c r="AA31" s="189">
        <f t="shared" si="12"/>
        <v>34.200000000000003</v>
      </c>
    </row>
    <row r="32" spans="1:27" s="6" customFormat="1" x14ac:dyDescent="0.25">
      <c r="A32" s="100" t="s">
        <v>841</v>
      </c>
      <c r="B32" s="20" t="s">
        <v>15</v>
      </c>
      <c r="C32" s="20" t="s">
        <v>1399</v>
      </c>
      <c r="D32" s="20"/>
      <c r="E32" s="24"/>
      <c r="F32" s="24"/>
      <c r="G32" s="24"/>
      <c r="H32" s="24"/>
      <c r="I32" s="24"/>
      <c r="J32" s="24"/>
      <c r="K32" s="24"/>
      <c r="L32" s="24"/>
      <c r="M32" s="24"/>
      <c r="N32" s="24"/>
      <c r="O32" s="24"/>
      <c r="P32" s="24"/>
      <c r="Q32" s="24"/>
      <c r="R32" s="43"/>
      <c r="S32" s="24"/>
      <c r="T32" s="69"/>
      <c r="U32" s="24"/>
      <c r="V32" s="47">
        <f>V33+V34</f>
        <v>22.3</v>
      </c>
      <c r="W32" s="24">
        <f t="shared" si="8"/>
        <v>22.3</v>
      </c>
      <c r="X32" s="47">
        <f>X33+X34</f>
        <v>0</v>
      </c>
      <c r="Y32" s="24">
        <f t="shared" si="9"/>
        <v>22.3</v>
      </c>
      <c r="Z32" s="189"/>
    </row>
    <row r="33" spans="1:27" s="6" customFormat="1" x14ac:dyDescent="0.25">
      <c r="A33" s="17" t="s">
        <v>560</v>
      </c>
      <c r="B33" s="21" t="s">
        <v>15</v>
      </c>
      <c r="C33" s="21" t="s">
        <v>1399</v>
      </c>
      <c r="D33" s="21" t="s">
        <v>12</v>
      </c>
      <c r="E33" s="24"/>
      <c r="F33" s="24"/>
      <c r="G33" s="24"/>
      <c r="H33" s="24"/>
      <c r="I33" s="24"/>
      <c r="J33" s="24"/>
      <c r="K33" s="24"/>
      <c r="L33" s="24"/>
      <c r="M33" s="24"/>
      <c r="N33" s="24"/>
      <c r="O33" s="24"/>
      <c r="P33" s="24"/>
      <c r="Q33" s="24"/>
      <c r="R33" s="43"/>
      <c r="S33" s="24"/>
      <c r="T33" s="69"/>
      <c r="U33" s="24"/>
      <c r="V33" s="181">
        <v>17.100000000000001</v>
      </c>
      <c r="W33" s="24">
        <f t="shared" si="8"/>
        <v>17.100000000000001</v>
      </c>
      <c r="X33" s="69"/>
      <c r="Y33" s="24">
        <f t="shared" si="9"/>
        <v>17.100000000000001</v>
      </c>
      <c r="Z33" s="189"/>
      <c r="AA33" s="189">
        <f t="shared" ref="AA33:AA34" si="13">Y33+Z33</f>
        <v>17.100000000000001</v>
      </c>
    </row>
    <row r="34" spans="1:27" s="6" customFormat="1" ht="36.75" x14ac:dyDescent="0.25">
      <c r="A34" s="17" t="s">
        <v>561</v>
      </c>
      <c r="B34" s="21" t="s">
        <v>15</v>
      </c>
      <c r="C34" s="21" t="s">
        <v>1399</v>
      </c>
      <c r="D34" s="21" t="s">
        <v>13</v>
      </c>
      <c r="E34" s="24"/>
      <c r="F34" s="24"/>
      <c r="G34" s="24"/>
      <c r="H34" s="24"/>
      <c r="I34" s="24"/>
      <c r="J34" s="24"/>
      <c r="K34" s="24"/>
      <c r="L34" s="24"/>
      <c r="M34" s="24"/>
      <c r="N34" s="24"/>
      <c r="O34" s="24"/>
      <c r="P34" s="24"/>
      <c r="Q34" s="24"/>
      <c r="R34" s="43"/>
      <c r="S34" s="24"/>
      <c r="T34" s="69"/>
      <c r="U34" s="24"/>
      <c r="V34" s="181">
        <v>5.2</v>
      </c>
      <c r="W34" s="24">
        <f t="shared" si="8"/>
        <v>5.2</v>
      </c>
      <c r="X34" s="69"/>
      <c r="Y34" s="24">
        <f t="shared" si="9"/>
        <v>5.2</v>
      </c>
      <c r="Z34" s="189"/>
      <c r="AA34" s="189">
        <f t="shared" si="13"/>
        <v>5.2</v>
      </c>
    </row>
    <row r="35" spans="1:27" s="6" customFormat="1" ht="36.75" x14ac:dyDescent="0.25">
      <c r="A35" s="22" t="s">
        <v>16</v>
      </c>
      <c r="B35" s="23" t="s">
        <v>15</v>
      </c>
      <c r="C35" s="23" t="s">
        <v>17</v>
      </c>
      <c r="D35" s="23" t="s">
        <v>2</v>
      </c>
      <c r="E35" s="24">
        <f>E36+E37</f>
        <v>1878.1</v>
      </c>
      <c r="F35" s="24">
        <f>F36+F37</f>
        <v>0</v>
      </c>
      <c r="G35" s="24">
        <f t="shared" si="0"/>
        <v>1878.1</v>
      </c>
      <c r="H35" s="24">
        <f>H36+H37</f>
        <v>0</v>
      </c>
      <c r="I35" s="24">
        <f t="shared" si="1"/>
        <v>1878.1</v>
      </c>
      <c r="J35" s="24">
        <f>J36+J37</f>
        <v>0</v>
      </c>
      <c r="K35" s="24">
        <f t="shared" si="2"/>
        <v>1878.1</v>
      </c>
      <c r="L35" s="24">
        <f>L36+L37</f>
        <v>0</v>
      </c>
      <c r="M35" s="24">
        <f t="shared" si="3"/>
        <v>1878.1</v>
      </c>
      <c r="N35" s="24">
        <f>N36+N37</f>
        <v>0</v>
      </c>
      <c r="O35" s="24">
        <f t="shared" si="4"/>
        <v>1878.1</v>
      </c>
      <c r="P35" s="24">
        <f>P36+P37</f>
        <v>0</v>
      </c>
      <c r="Q35" s="24">
        <f t="shared" si="5"/>
        <v>1878.1</v>
      </c>
      <c r="R35" s="24">
        <f>R36+R37</f>
        <v>0</v>
      </c>
      <c r="S35" s="24">
        <f t="shared" si="6"/>
        <v>1878.1</v>
      </c>
      <c r="T35" s="24">
        <f>T36+T37</f>
        <v>0</v>
      </c>
      <c r="U35" s="24">
        <f t="shared" si="7"/>
        <v>1878.1</v>
      </c>
      <c r="V35" s="24">
        <f>V36+V37</f>
        <v>74.2</v>
      </c>
      <c r="W35" s="24">
        <f t="shared" si="8"/>
        <v>1952.3</v>
      </c>
      <c r="X35" s="24">
        <f>X36+X37</f>
        <v>-33</v>
      </c>
      <c r="Y35" s="24">
        <f t="shared" si="9"/>
        <v>1919.3</v>
      </c>
      <c r="Z35" s="189"/>
    </row>
    <row r="36" spans="1:27" x14ac:dyDescent="0.25">
      <c r="A36" s="25" t="s">
        <v>560</v>
      </c>
      <c r="B36" s="26" t="s">
        <v>15</v>
      </c>
      <c r="C36" s="26" t="s">
        <v>17</v>
      </c>
      <c r="D36" s="26" t="s">
        <v>12</v>
      </c>
      <c r="E36" s="27">
        <f>20+1428.1</f>
        <v>1448.1</v>
      </c>
      <c r="F36" s="27"/>
      <c r="G36" s="24">
        <f t="shared" si="0"/>
        <v>1448.1</v>
      </c>
      <c r="H36" s="27"/>
      <c r="I36" s="24">
        <f t="shared" si="1"/>
        <v>1448.1</v>
      </c>
      <c r="J36" s="27"/>
      <c r="K36" s="24">
        <f t="shared" si="2"/>
        <v>1448.1</v>
      </c>
      <c r="L36" s="27"/>
      <c r="M36" s="24">
        <f t="shared" si="3"/>
        <v>1448.1</v>
      </c>
      <c r="N36" s="27"/>
      <c r="O36" s="24">
        <f t="shared" si="4"/>
        <v>1448.1</v>
      </c>
      <c r="P36" s="27"/>
      <c r="Q36" s="24">
        <f t="shared" si="5"/>
        <v>1448.1</v>
      </c>
      <c r="R36" s="27"/>
      <c r="S36" s="24">
        <f t="shared" si="6"/>
        <v>1448.1</v>
      </c>
      <c r="T36" s="69"/>
      <c r="U36" s="24">
        <f t="shared" si="7"/>
        <v>1448.1</v>
      </c>
      <c r="V36" s="94">
        <f>74.2-35</f>
        <v>39.200000000000003</v>
      </c>
      <c r="W36" s="24">
        <f t="shared" si="8"/>
        <v>1487.3</v>
      </c>
      <c r="X36" s="39">
        <f>-24.2+30</f>
        <v>5.8000000000000007</v>
      </c>
      <c r="Y36" s="24">
        <f t="shared" si="9"/>
        <v>1493.1</v>
      </c>
      <c r="Z36" s="61">
        <v>30</v>
      </c>
      <c r="AA36" s="189">
        <f t="shared" ref="AA36:AA37" si="14">Y36+Z36</f>
        <v>1523.1</v>
      </c>
    </row>
    <row r="37" spans="1:27" ht="27" customHeight="1" x14ac:dyDescent="0.25">
      <c r="A37" s="25" t="s">
        <v>561</v>
      </c>
      <c r="B37" s="26" t="s">
        <v>15</v>
      </c>
      <c r="C37" s="26" t="s">
        <v>17</v>
      </c>
      <c r="D37" s="26" t="s">
        <v>13</v>
      </c>
      <c r="E37" s="27">
        <v>430</v>
      </c>
      <c r="F37" s="27"/>
      <c r="G37" s="24">
        <f t="shared" si="0"/>
        <v>430</v>
      </c>
      <c r="H37" s="27"/>
      <c r="I37" s="24">
        <f t="shared" si="1"/>
        <v>430</v>
      </c>
      <c r="J37" s="27"/>
      <c r="K37" s="24">
        <f t="shared" si="2"/>
        <v>430</v>
      </c>
      <c r="L37" s="27"/>
      <c r="M37" s="24">
        <f t="shared" si="3"/>
        <v>430</v>
      </c>
      <c r="N37" s="27"/>
      <c r="O37" s="24">
        <f t="shared" si="4"/>
        <v>430</v>
      </c>
      <c r="P37" s="27"/>
      <c r="Q37" s="24">
        <f t="shared" si="5"/>
        <v>430</v>
      </c>
      <c r="R37" s="27"/>
      <c r="S37" s="24">
        <f t="shared" si="6"/>
        <v>430</v>
      </c>
      <c r="T37" s="69"/>
      <c r="U37" s="24">
        <f t="shared" si="7"/>
        <v>430</v>
      </c>
      <c r="V37" s="94">
        <v>35</v>
      </c>
      <c r="W37" s="24">
        <f t="shared" si="8"/>
        <v>465</v>
      </c>
      <c r="X37" s="39">
        <f>-8.8-30</f>
        <v>-38.799999999999997</v>
      </c>
      <c r="Y37" s="24">
        <f t="shared" si="9"/>
        <v>426.2</v>
      </c>
      <c r="Z37" s="61">
        <v>-30</v>
      </c>
      <c r="AA37" s="189">
        <f t="shared" si="14"/>
        <v>396.2</v>
      </c>
    </row>
    <row r="38" spans="1:27" s="6" customFormat="1" ht="36.75" x14ac:dyDescent="0.25">
      <c r="A38" s="22" t="s">
        <v>18</v>
      </c>
      <c r="B38" s="23" t="s">
        <v>19</v>
      </c>
      <c r="C38" s="23" t="s">
        <v>2</v>
      </c>
      <c r="D38" s="23" t="s">
        <v>2</v>
      </c>
      <c r="E38" s="24">
        <f>E43+E58</f>
        <v>132796.87</v>
      </c>
      <c r="F38" s="24">
        <f>F43+F58</f>
        <v>3421.2</v>
      </c>
      <c r="G38" s="24">
        <f t="shared" si="0"/>
        <v>136218.07</v>
      </c>
      <c r="H38" s="24">
        <f>H43+H58</f>
        <v>-10000</v>
      </c>
      <c r="I38" s="24">
        <f t="shared" si="1"/>
        <v>126218.07</v>
      </c>
      <c r="J38" s="24">
        <f>J43+J58</f>
        <v>-51.199999999999953</v>
      </c>
      <c r="K38" s="24">
        <f t="shared" si="2"/>
        <v>126166.87000000001</v>
      </c>
      <c r="L38" s="24">
        <f>L43+L58+L39</f>
        <v>3074.9</v>
      </c>
      <c r="M38" s="24">
        <f t="shared" si="3"/>
        <v>129241.77</v>
      </c>
      <c r="N38" s="24">
        <f>N43+N58+N39</f>
        <v>-345.6</v>
      </c>
      <c r="O38" s="24">
        <f t="shared" si="4"/>
        <v>128896.17</v>
      </c>
      <c r="P38" s="24">
        <f>P43+P58+P39</f>
        <v>-7000</v>
      </c>
      <c r="Q38" s="24">
        <f t="shared" si="5"/>
        <v>121896.17</v>
      </c>
      <c r="R38" s="24">
        <f>R43+R58+R39</f>
        <v>16695.8</v>
      </c>
      <c r="S38" s="24">
        <f t="shared" si="6"/>
        <v>138591.97</v>
      </c>
      <c r="T38" s="24">
        <f>T43+T58+T39</f>
        <v>1517.4</v>
      </c>
      <c r="U38" s="24">
        <f t="shared" si="7"/>
        <v>140109.37</v>
      </c>
      <c r="V38" s="24">
        <f>V43+V58+V39</f>
        <v>2573.6000000000004</v>
      </c>
      <c r="W38" s="24">
        <f t="shared" si="8"/>
        <v>142682.97</v>
      </c>
      <c r="X38" s="24">
        <f>X43+X58+X39</f>
        <v>422.89999999999969</v>
      </c>
      <c r="Y38" s="24">
        <f t="shared" si="9"/>
        <v>143105.87</v>
      </c>
      <c r="Z38" s="189"/>
    </row>
    <row r="39" spans="1:27" s="6" customFormat="1" x14ac:dyDescent="0.25">
      <c r="A39" s="16" t="s">
        <v>843</v>
      </c>
      <c r="B39" s="20" t="s">
        <v>19</v>
      </c>
      <c r="C39" s="20" t="s">
        <v>429</v>
      </c>
      <c r="D39" s="20"/>
      <c r="E39" s="24"/>
      <c r="F39" s="24"/>
      <c r="G39" s="24"/>
      <c r="H39" s="24"/>
      <c r="I39" s="24"/>
      <c r="J39" s="24"/>
      <c r="K39" s="24"/>
      <c r="L39" s="50">
        <f>L40</f>
        <v>300</v>
      </c>
      <c r="M39" s="24">
        <f t="shared" si="3"/>
        <v>300</v>
      </c>
      <c r="N39" s="50">
        <f>N40</f>
        <v>0</v>
      </c>
      <c r="O39" s="24">
        <f t="shared" si="4"/>
        <v>300</v>
      </c>
      <c r="P39" s="50">
        <f>P40</f>
        <v>0</v>
      </c>
      <c r="Q39" s="24">
        <f t="shared" si="5"/>
        <v>300</v>
      </c>
      <c r="R39" s="50">
        <f>R40</f>
        <v>0</v>
      </c>
      <c r="S39" s="24">
        <f t="shared" si="6"/>
        <v>300</v>
      </c>
      <c r="T39" s="50">
        <f>T40</f>
        <v>0</v>
      </c>
      <c r="U39" s="24">
        <f t="shared" si="7"/>
        <v>300</v>
      </c>
      <c r="V39" s="50">
        <f>V40</f>
        <v>0</v>
      </c>
      <c r="W39" s="24">
        <f t="shared" si="8"/>
        <v>300</v>
      </c>
      <c r="X39" s="50">
        <f>X40</f>
        <v>0</v>
      </c>
      <c r="Y39" s="24">
        <f t="shared" si="9"/>
        <v>300</v>
      </c>
      <c r="Z39" s="189"/>
    </row>
    <row r="40" spans="1:27" s="6" customFormat="1" x14ac:dyDescent="0.25">
      <c r="A40" s="16" t="s">
        <v>433</v>
      </c>
      <c r="B40" s="20" t="s">
        <v>19</v>
      </c>
      <c r="C40" s="20" t="s">
        <v>434</v>
      </c>
      <c r="D40" s="20"/>
      <c r="E40" s="24"/>
      <c r="F40" s="24"/>
      <c r="G40" s="24"/>
      <c r="H40" s="24"/>
      <c r="I40" s="24"/>
      <c r="J40" s="24"/>
      <c r="K40" s="24"/>
      <c r="L40" s="50">
        <f>L41</f>
        <v>300</v>
      </c>
      <c r="M40" s="24">
        <f t="shared" si="3"/>
        <v>300</v>
      </c>
      <c r="N40" s="50">
        <f>N41</f>
        <v>0</v>
      </c>
      <c r="O40" s="24">
        <f t="shared" si="4"/>
        <v>300</v>
      </c>
      <c r="P40" s="50">
        <f>P41</f>
        <v>0</v>
      </c>
      <c r="Q40" s="24">
        <f t="shared" si="5"/>
        <v>300</v>
      </c>
      <c r="R40" s="50">
        <f>R41</f>
        <v>0</v>
      </c>
      <c r="S40" s="24">
        <f t="shared" si="6"/>
        <v>300</v>
      </c>
      <c r="T40" s="50">
        <f>T41</f>
        <v>0</v>
      </c>
      <c r="U40" s="24">
        <f t="shared" si="7"/>
        <v>300</v>
      </c>
      <c r="V40" s="50">
        <f>V41</f>
        <v>0</v>
      </c>
      <c r="W40" s="24">
        <f t="shared" si="8"/>
        <v>300</v>
      </c>
      <c r="X40" s="50">
        <f>X41</f>
        <v>0</v>
      </c>
      <c r="Y40" s="24">
        <f t="shared" si="9"/>
        <v>300</v>
      </c>
      <c r="Z40" s="189"/>
    </row>
    <row r="41" spans="1:27" s="6" customFormat="1" ht="36.75" x14ac:dyDescent="0.25">
      <c r="A41" s="22" t="s">
        <v>619</v>
      </c>
      <c r="B41" s="20" t="s">
        <v>19</v>
      </c>
      <c r="C41" s="20" t="s">
        <v>637</v>
      </c>
      <c r="D41" s="20" t="s">
        <v>2</v>
      </c>
      <c r="E41" s="24"/>
      <c r="F41" s="24"/>
      <c r="G41" s="24"/>
      <c r="H41" s="24"/>
      <c r="I41" s="24"/>
      <c r="J41" s="24"/>
      <c r="K41" s="24"/>
      <c r="L41" s="50">
        <f>L42</f>
        <v>300</v>
      </c>
      <c r="M41" s="24">
        <f t="shared" si="3"/>
        <v>300</v>
      </c>
      <c r="N41" s="50">
        <f>N42</f>
        <v>0</v>
      </c>
      <c r="O41" s="24">
        <f t="shared" si="4"/>
        <v>300</v>
      </c>
      <c r="P41" s="50">
        <f>P42</f>
        <v>0</v>
      </c>
      <c r="Q41" s="24">
        <f t="shared" si="5"/>
        <v>300</v>
      </c>
      <c r="R41" s="50">
        <f>R42</f>
        <v>0</v>
      </c>
      <c r="S41" s="24">
        <f t="shared" si="6"/>
        <v>300</v>
      </c>
      <c r="T41" s="50">
        <f>T42</f>
        <v>0</v>
      </c>
      <c r="U41" s="24">
        <f t="shared" si="7"/>
        <v>300</v>
      </c>
      <c r="V41" s="50">
        <f>V42</f>
        <v>0</v>
      </c>
      <c r="W41" s="24">
        <f t="shared" si="8"/>
        <v>300</v>
      </c>
      <c r="X41" s="50">
        <f>X42</f>
        <v>0</v>
      </c>
      <c r="Y41" s="24">
        <f t="shared" si="9"/>
        <v>300</v>
      </c>
      <c r="Z41" s="189"/>
    </row>
    <row r="42" spans="1:27" s="6" customFormat="1" x14ac:dyDescent="0.25">
      <c r="A42" s="30" t="s">
        <v>66</v>
      </c>
      <c r="B42" s="21" t="s">
        <v>19</v>
      </c>
      <c r="C42" s="21" t="s">
        <v>637</v>
      </c>
      <c r="D42" s="21" t="s">
        <v>42</v>
      </c>
      <c r="E42" s="24"/>
      <c r="F42" s="24"/>
      <c r="G42" s="24"/>
      <c r="H42" s="24"/>
      <c r="I42" s="24"/>
      <c r="J42" s="24"/>
      <c r="K42" s="24"/>
      <c r="L42" s="91">
        <v>300</v>
      </c>
      <c r="M42" s="24">
        <f t="shared" si="3"/>
        <v>300</v>
      </c>
      <c r="N42" s="84"/>
      <c r="O42" s="24">
        <f t="shared" si="4"/>
        <v>300</v>
      </c>
      <c r="P42" s="84"/>
      <c r="Q42" s="24">
        <f t="shared" si="5"/>
        <v>300</v>
      </c>
      <c r="R42" s="84"/>
      <c r="S42" s="24">
        <f t="shared" si="6"/>
        <v>300</v>
      </c>
      <c r="T42" s="84"/>
      <c r="U42" s="24">
        <f t="shared" si="7"/>
        <v>300</v>
      </c>
      <c r="V42" s="84"/>
      <c r="W42" s="24">
        <f t="shared" si="8"/>
        <v>300</v>
      </c>
      <c r="X42" s="84"/>
      <c r="Y42" s="24">
        <f t="shared" si="9"/>
        <v>300</v>
      </c>
      <c r="Z42" s="189"/>
      <c r="AA42" s="189">
        <f>Y42+Z42</f>
        <v>300</v>
      </c>
    </row>
    <row r="43" spans="1:27" s="6" customFormat="1" ht="24.75" x14ac:dyDescent="0.25">
      <c r="A43" s="22" t="s">
        <v>643</v>
      </c>
      <c r="B43" s="23" t="s">
        <v>19</v>
      </c>
      <c r="C43" s="23" t="s">
        <v>20</v>
      </c>
      <c r="D43" s="23" t="s">
        <v>2</v>
      </c>
      <c r="E43" s="24">
        <f>E44+E51</f>
        <v>1509.6</v>
      </c>
      <c r="F43" s="24">
        <f>F44+F51</f>
        <v>0</v>
      </c>
      <c r="G43" s="24">
        <f t="shared" si="0"/>
        <v>1509.6</v>
      </c>
      <c r="H43" s="24">
        <f>H44+H51</f>
        <v>0</v>
      </c>
      <c r="I43" s="24">
        <f t="shared" si="1"/>
        <v>1509.6</v>
      </c>
      <c r="J43" s="24">
        <f>J44+J51</f>
        <v>0</v>
      </c>
      <c r="K43" s="24">
        <f t="shared" si="2"/>
        <v>1509.6</v>
      </c>
      <c r="L43" s="24">
        <f>L44+L51</f>
        <v>0</v>
      </c>
      <c r="M43" s="24">
        <f t="shared" si="3"/>
        <v>1509.6</v>
      </c>
      <c r="N43" s="24">
        <f>N44+N51</f>
        <v>145.9</v>
      </c>
      <c r="O43" s="24">
        <f t="shared" si="4"/>
        <v>1655.5</v>
      </c>
      <c r="P43" s="24">
        <f>P44+P51</f>
        <v>0</v>
      </c>
      <c r="Q43" s="24">
        <f t="shared" si="5"/>
        <v>1655.5</v>
      </c>
      <c r="R43" s="24">
        <f>R44+R51</f>
        <v>0</v>
      </c>
      <c r="S43" s="24">
        <f t="shared" si="6"/>
        <v>1655.5</v>
      </c>
      <c r="T43" s="24">
        <f>T44+T51</f>
        <v>0</v>
      </c>
      <c r="U43" s="24">
        <f t="shared" si="7"/>
        <v>1655.5</v>
      </c>
      <c r="V43" s="24">
        <f>V44+V51</f>
        <v>0</v>
      </c>
      <c r="W43" s="24">
        <f t="shared" si="8"/>
        <v>1655.5</v>
      </c>
      <c r="X43" s="24">
        <f>X44+X51</f>
        <v>171.3</v>
      </c>
      <c r="Y43" s="24">
        <f t="shared" si="9"/>
        <v>1826.8</v>
      </c>
      <c r="Z43" s="189"/>
    </row>
    <row r="44" spans="1:27" s="6" customFormat="1" x14ac:dyDescent="0.25">
      <c r="A44" s="22" t="s">
        <v>21</v>
      </c>
      <c r="B44" s="23" t="s">
        <v>19</v>
      </c>
      <c r="C44" s="23" t="s">
        <v>22</v>
      </c>
      <c r="D44" s="23" t="s">
        <v>2</v>
      </c>
      <c r="E44" s="24">
        <f>E45</f>
        <v>1009.8</v>
      </c>
      <c r="F44" s="24">
        <f>F45</f>
        <v>0</v>
      </c>
      <c r="G44" s="24">
        <f t="shared" si="0"/>
        <v>1009.8</v>
      </c>
      <c r="H44" s="24">
        <f>H45</f>
        <v>0</v>
      </c>
      <c r="I44" s="24">
        <f t="shared" si="1"/>
        <v>1009.8</v>
      </c>
      <c r="J44" s="24">
        <f>J45</f>
        <v>0</v>
      </c>
      <c r="K44" s="24">
        <f t="shared" si="2"/>
        <v>1009.8</v>
      </c>
      <c r="L44" s="24">
        <f>L45</f>
        <v>0</v>
      </c>
      <c r="M44" s="24">
        <f t="shared" si="3"/>
        <v>1009.8</v>
      </c>
      <c r="N44" s="24">
        <f>N45</f>
        <v>112.2</v>
      </c>
      <c r="O44" s="24">
        <f t="shared" si="4"/>
        <v>1122</v>
      </c>
      <c r="P44" s="24">
        <f>P45</f>
        <v>0</v>
      </c>
      <c r="Q44" s="24">
        <f t="shared" si="5"/>
        <v>1122</v>
      </c>
      <c r="R44" s="24">
        <f>R45</f>
        <v>0</v>
      </c>
      <c r="S44" s="24">
        <f t="shared" si="6"/>
        <v>1122</v>
      </c>
      <c r="T44" s="24">
        <f>T45</f>
        <v>0</v>
      </c>
      <c r="U44" s="24">
        <f t="shared" si="7"/>
        <v>1122</v>
      </c>
      <c r="V44" s="24">
        <f>V45</f>
        <v>0</v>
      </c>
      <c r="W44" s="24">
        <f t="shared" si="8"/>
        <v>1122</v>
      </c>
      <c r="X44" s="24">
        <f>X45</f>
        <v>112.1</v>
      </c>
      <c r="Y44" s="24">
        <f t="shared" si="9"/>
        <v>1234.0999999999999</v>
      </c>
      <c r="Z44" s="189"/>
    </row>
    <row r="45" spans="1:27" s="6" customFormat="1" ht="24.75" x14ac:dyDescent="0.25">
      <c r="A45" s="22" t="s">
        <v>23</v>
      </c>
      <c r="B45" s="23" t="s">
        <v>19</v>
      </c>
      <c r="C45" s="23" t="s">
        <v>24</v>
      </c>
      <c r="D45" s="23" t="s">
        <v>2</v>
      </c>
      <c r="E45" s="24">
        <f>E46</f>
        <v>1009.8</v>
      </c>
      <c r="F45" s="24">
        <f>F46</f>
        <v>0</v>
      </c>
      <c r="G45" s="24">
        <f t="shared" si="0"/>
        <v>1009.8</v>
      </c>
      <c r="H45" s="24">
        <f>H46</f>
        <v>0</v>
      </c>
      <c r="I45" s="24">
        <f t="shared" si="1"/>
        <v>1009.8</v>
      </c>
      <c r="J45" s="24">
        <f>J46</f>
        <v>0</v>
      </c>
      <c r="K45" s="24">
        <f t="shared" si="2"/>
        <v>1009.8</v>
      </c>
      <c r="L45" s="24">
        <f>L46</f>
        <v>0</v>
      </c>
      <c r="M45" s="24">
        <f t="shared" si="3"/>
        <v>1009.8</v>
      </c>
      <c r="N45" s="24">
        <f>N46</f>
        <v>112.2</v>
      </c>
      <c r="O45" s="24">
        <f t="shared" si="4"/>
        <v>1122</v>
      </c>
      <c r="P45" s="24">
        <f>P46</f>
        <v>0</v>
      </c>
      <c r="Q45" s="24">
        <f t="shared" si="5"/>
        <v>1122</v>
      </c>
      <c r="R45" s="24">
        <f>R46</f>
        <v>0</v>
      </c>
      <c r="S45" s="24">
        <f t="shared" si="6"/>
        <v>1122</v>
      </c>
      <c r="T45" s="24">
        <f>T46</f>
        <v>0</v>
      </c>
      <c r="U45" s="24">
        <f t="shared" si="7"/>
        <v>1122</v>
      </c>
      <c r="V45" s="24">
        <f>V46</f>
        <v>0</v>
      </c>
      <c r="W45" s="24">
        <f t="shared" si="8"/>
        <v>1122</v>
      </c>
      <c r="X45" s="24">
        <f>X46</f>
        <v>112.1</v>
      </c>
      <c r="Y45" s="24">
        <f t="shared" si="9"/>
        <v>1234.0999999999999</v>
      </c>
      <c r="Z45" s="189"/>
    </row>
    <row r="46" spans="1:27" s="6" customFormat="1" ht="24.75" x14ac:dyDescent="0.25">
      <c r="A46" s="22" t="s">
        <v>25</v>
      </c>
      <c r="B46" s="23" t="s">
        <v>19</v>
      </c>
      <c r="C46" s="23" t="s">
        <v>26</v>
      </c>
      <c r="D46" s="23" t="s">
        <v>2</v>
      </c>
      <c r="E46" s="24">
        <f>E47+E48</f>
        <v>1009.8</v>
      </c>
      <c r="F46" s="24">
        <f>F47+F48</f>
        <v>0</v>
      </c>
      <c r="G46" s="24">
        <f t="shared" si="0"/>
        <v>1009.8</v>
      </c>
      <c r="H46" s="24">
        <f>H47+H48</f>
        <v>0</v>
      </c>
      <c r="I46" s="24">
        <f t="shared" si="1"/>
        <v>1009.8</v>
      </c>
      <c r="J46" s="24">
        <f>J47+J48</f>
        <v>0</v>
      </c>
      <c r="K46" s="24">
        <f t="shared" si="2"/>
        <v>1009.8</v>
      </c>
      <c r="L46" s="24">
        <f>L47+L48</f>
        <v>0</v>
      </c>
      <c r="M46" s="24">
        <f t="shared" si="3"/>
        <v>1009.8</v>
      </c>
      <c r="N46" s="24">
        <f>N47+N48+N50</f>
        <v>112.2</v>
      </c>
      <c r="O46" s="24">
        <f t="shared" si="4"/>
        <v>1122</v>
      </c>
      <c r="P46" s="24">
        <f>P47+P48+P50</f>
        <v>0</v>
      </c>
      <c r="Q46" s="24">
        <f t="shared" si="5"/>
        <v>1122</v>
      </c>
      <c r="R46" s="24">
        <f>R47+R48+R50</f>
        <v>0</v>
      </c>
      <c r="S46" s="24">
        <f t="shared" si="6"/>
        <v>1122</v>
      </c>
      <c r="T46" s="24">
        <f>T47+T48+T50</f>
        <v>0</v>
      </c>
      <c r="U46" s="24">
        <f t="shared" si="7"/>
        <v>1122</v>
      </c>
      <c r="V46" s="24">
        <f>V47+V48+V50</f>
        <v>0</v>
      </c>
      <c r="W46" s="24">
        <f t="shared" si="8"/>
        <v>1122</v>
      </c>
      <c r="X46" s="24">
        <f>X47+X48+X50+X49</f>
        <v>112.1</v>
      </c>
      <c r="Y46" s="24">
        <f t="shared" si="9"/>
        <v>1234.0999999999999</v>
      </c>
      <c r="Z46" s="189"/>
    </row>
    <row r="47" spans="1:27" x14ac:dyDescent="0.25">
      <c r="A47" s="25" t="s">
        <v>560</v>
      </c>
      <c r="B47" s="26" t="s">
        <v>19</v>
      </c>
      <c r="C47" s="26" t="s">
        <v>26</v>
      </c>
      <c r="D47" s="26" t="s">
        <v>12</v>
      </c>
      <c r="E47" s="27">
        <f>5+770.6</f>
        <v>775.6</v>
      </c>
      <c r="F47" s="27"/>
      <c r="G47" s="24">
        <f t="shared" si="0"/>
        <v>775.6</v>
      </c>
      <c r="H47" s="27"/>
      <c r="I47" s="24">
        <f t="shared" si="1"/>
        <v>775.6</v>
      </c>
      <c r="J47" s="27"/>
      <c r="K47" s="24">
        <f t="shared" si="2"/>
        <v>775.6</v>
      </c>
      <c r="L47" s="27"/>
      <c r="M47" s="24">
        <f t="shared" si="3"/>
        <v>775.6</v>
      </c>
      <c r="N47" s="43">
        <f>86.2-35</f>
        <v>51.2</v>
      </c>
      <c r="O47" s="24">
        <f t="shared" si="4"/>
        <v>826.80000000000007</v>
      </c>
      <c r="P47" s="69"/>
      <c r="Q47" s="24">
        <f t="shared" si="5"/>
        <v>826.80000000000007</v>
      </c>
      <c r="R47" s="69"/>
      <c r="S47" s="24">
        <f t="shared" si="6"/>
        <v>826.80000000000007</v>
      </c>
      <c r="T47" s="69"/>
      <c r="U47" s="24">
        <f t="shared" si="7"/>
        <v>826.80000000000007</v>
      </c>
      <c r="V47" s="69"/>
      <c r="W47" s="24">
        <f t="shared" si="8"/>
        <v>826.80000000000007</v>
      </c>
      <c r="X47" s="43">
        <v>20</v>
      </c>
      <c r="Y47" s="24">
        <f t="shared" si="9"/>
        <v>846.80000000000007</v>
      </c>
      <c r="AA47" s="189">
        <f t="shared" ref="AA47:AA50" si="15">Y47+Z47</f>
        <v>846.80000000000007</v>
      </c>
    </row>
    <row r="48" spans="1:27" ht="29.25" customHeight="1" x14ac:dyDescent="0.25">
      <c r="A48" s="25" t="s">
        <v>561</v>
      </c>
      <c r="B48" s="26" t="s">
        <v>19</v>
      </c>
      <c r="C48" s="26" t="s">
        <v>26</v>
      </c>
      <c r="D48" s="26" t="s">
        <v>13</v>
      </c>
      <c r="E48" s="27">
        <v>234.2</v>
      </c>
      <c r="F48" s="27"/>
      <c r="G48" s="24">
        <f t="shared" si="0"/>
        <v>234.2</v>
      </c>
      <c r="H48" s="27"/>
      <c r="I48" s="24">
        <f t="shared" si="1"/>
        <v>234.2</v>
      </c>
      <c r="J48" s="27"/>
      <c r="K48" s="24">
        <f t="shared" si="2"/>
        <v>234.2</v>
      </c>
      <c r="L48" s="27"/>
      <c r="M48" s="24">
        <f t="shared" si="3"/>
        <v>234.2</v>
      </c>
      <c r="N48" s="43">
        <f>26-10</f>
        <v>16</v>
      </c>
      <c r="O48" s="24">
        <f t="shared" si="4"/>
        <v>250.2</v>
      </c>
      <c r="P48" s="69"/>
      <c r="Q48" s="24">
        <f t="shared" si="5"/>
        <v>250.2</v>
      </c>
      <c r="R48" s="69"/>
      <c r="S48" s="24">
        <f t="shared" si="6"/>
        <v>250.2</v>
      </c>
      <c r="T48" s="69"/>
      <c r="U48" s="24">
        <f t="shared" si="7"/>
        <v>250.2</v>
      </c>
      <c r="V48" s="69"/>
      <c r="W48" s="24">
        <f t="shared" si="8"/>
        <v>250.2</v>
      </c>
      <c r="X48" s="69"/>
      <c r="Y48" s="24">
        <f t="shared" si="9"/>
        <v>250.2</v>
      </c>
      <c r="AA48" s="189">
        <f t="shared" si="15"/>
        <v>250.2</v>
      </c>
    </row>
    <row r="49" spans="1:27" ht="24.75" x14ac:dyDescent="0.25">
      <c r="A49" s="25" t="s">
        <v>562</v>
      </c>
      <c r="B49" s="26" t="s">
        <v>19</v>
      </c>
      <c r="C49" s="26" t="s">
        <v>26</v>
      </c>
      <c r="D49" s="26" t="s">
        <v>42</v>
      </c>
      <c r="E49" s="27"/>
      <c r="F49" s="27"/>
      <c r="G49" s="24"/>
      <c r="H49" s="27"/>
      <c r="I49" s="24"/>
      <c r="J49" s="27"/>
      <c r="K49" s="24"/>
      <c r="L49" s="27"/>
      <c r="M49" s="24"/>
      <c r="N49" s="43"/>
      <c r="O49" s="24"/>
      <c r="P49" s="69"/>
      <c r="Q49" s="24"/>
      <c r="R49" s="69"/>
      <c r="S49" s="24"/>
      <c r="T49" s="69"/>
      <c r="U49" s="24"/>
      <c r="V49" s="69"/>
      <c r="W49" s="24"/>
      <c r="X49" s="43">
        <v>62.8</v>
      </c>
      <c r="Y49" s="24">
        <f t="shared" si="9"/>
        <v>62.8</v>
      </c>
      <c r="AA49" s="189">
        <f t="shared" si="15"/>
        <v>62.8</v>
      </c>
    </row>
    <row r="50" spans="1:27" ht="13.5" customHeight="1" x14ac:dyDescent="0.25">
      <c r="A50" s="30" t="s">
        <v>66</v>
      </c>
      <c r="B50" s="26" t="s">
        <v>19</v>
      </c>
      <c r="C50" s="26" t="s">
        <v>26</v>
      </c>
      <c r="D50" s="26" t="s">
        <v>42</v>
      </c>
      <c r="E50" s="27"/>
      <c r="F50" s="27"/>
      <c r="G50" s="24"/>
      <c r="H50" s="27"/>
      <c r="I50" s="24"/>
      <c r="J50" s="27"/>
      <c r="K50" s="24"/>
      <c r="L50" s="27"/>
      <c r="M50" s="24"/>
      <c r="N50" s="43">
        <v>45</v>
      </c>
      <c r="O50" s="24">
        <f t="shared" si="4"/>
        <v>45</v>
      </c>
      <c r="P50" s="69"/>
      <c r="Q50" s="24">
        <f t="shared" si="5"/>
        <v>45</v>
      </c>
      <c r="R50" s="69"/>
      <c r="S50" s="24">
        <f t="shared" si="6"/>
        <v>45</v>
      </c>
      <c r="T50" s="69"/>
      <c r="U50" s="24">
        <f t="shared" si="7"/>
        <v>45</v>
      </c>
      <c r="V50" s="69"/>
      <c r="W50" s="24">
        <f t="shared" si="8"/>
        <v>45</v>
      </c>
      <c r="X50" s="43">
        <v>29.3</v>
      </c>
      <c r="Y50" s="24">
        <f t="shared" si="9"/>
        <v>74.3</v>
      </c>
      <c r="AA50" s="189">
        <f t="shared" si="15"/>
        <v>74.3</v>
      </c>
    </row>
    <row r="51" spans="1:27" s="6" customFormat="1" ht="36.75" x14ac:dyDescent="0.25">
      <c r="A51" s="22" t="s">
        <v>27</v>
      </c>
      <c r="B51" s="23" t="s">
        <v>19</v>
      </c>
      <c r="C51" s="23" t="s">
        <v>28</v>
      </c>
      <c r="D51" s="23" t="s">
        <v>2</v>
      </c>
      <c r="E51" s="24">
        <f>E52</f>
        <v>499.8</v>
      </c>
      <c r="F51" s="24">
        <f>F52</f>
        <v>0</v>
      </c>
      <c r="G51" s="24">
        <f t="shared" si="0"/>
        <v>499.8</v>
      </c>
      <c r="H51" s="24">
        <f>H52</f>
        <v>0</v>
      </c>
      <c r="I51" s="24">
        <f t="shared" si="1"/>
        <v>499.8</v>
      </c>
      <c r="J51" s="24">
        <f>J52</f>
        <v>0</v>
      </c>
      <c r="K51" s="24">
        <f t="shared" si="2"/>
        <v>499.8</v>
      </c>
      <c r="L51" s="24">
        <f>L52</f>
        <v>0</v>
      </c>
      <c r="M51" s="24">
        <f t="shared" si="3"/>
        <v>499.8</v>
      </c>
      <c r="N51" s="24">
        <f>N52</f>
        <v>33.699999999999996</v>
      </c>
      <c r="O51" s="24">
        <f t="shared" si="4"/>
        <v>533.5</v>
      </c>
      <c r="P51" s="24">
        <f>P52</f>
        <v>0</v>
      </c>
      <c r="Q51" s="24">
        <f t="shared" si="5"/>
        <v>533.5</v>
      </c>
      <c r="R51" s="24">
        <f>R52</f>
        <v>0</v>
      </c>
      <c r="S51" s="24">
        <f t="shared" si="6"/>
        <v>533.5</v>
      </c>
      <c r="T51" s="24">
        <f>T52</f>
        <v>0</v>
      </c>
      <c r="U51" s="24">
        <f t="shared" si="7"/>
        <v>533.5</v>
      </c>
      <c r="V51" s="24">
        <f>V52</f>
        <v>0</v>
      </c>
      <c r="W51" s="24">
        <f t="shared" si="8"/>
        <v>533.5</v>
      </c>
      <c r="X51" s="24">
        <f>X52</f>
        <v>59.2</v>
      </c>
      <c r="Y51" s="24">
        <f t="shared" si="9"/>
        <v>592.70000000000005</v>
      </c>
      <c r="Z51" s="189"/>
    </row>
    <row r="52" spans="1:27" s="6" customFormat="1" x14ac:dyDescent="0.25">
      <c r="A52" s="22" t="s">
        <v>29</v>
      </c>
      <c r="B52" s="23" t="s">
        <v>19</v>
      </c>
      <c r="C52" s="23" t="s">
        <v>30</v>
      </c>
      <c r="D52" s="23" t="s">
        <v>2</v>
      </c>
      <c r="E52" s="24">
        <f>E53</f>
        <v>499.8</v>
      </c>
      <c r="F52" s="24">
        <f>F53</f>
        <v>0</v>
      </c>
      <c r="G52" s="24">
        <f t="shared" si="0"/>
        <v>499.8</v>
      </c>
      <c r="H52" s="24">
        <f>H53</f>
        <v>0</v>
      </c>
      <c r="I52" s="24">
        <f t="shared" si="1"/>
        <v>499.8</v>
      </c>
      <c r="J52" s="24">
        <f>J53</f>
        <v>0</v>
      </c>
      <c r="K52" s="24">
        <f t="shared" si="2"/>
        <v>499.8</v>
      </c>
      <c r="L52" s="24">
        <f>L53</f>
        <v>0</v>
      </c>
      <c r="M52" s="24">
        <f t="shared" si="3"/>
        <v>499.8</v>
      </c>
      <c r="N52" s="24">
        <f>N53</f>
        <v>33.699999999999996</v>
      </c>
      <c r="O52" s="24">
        <f t="shared" si="4"/>
        <v>533.5</v>
      </c>
      <c r="P52" s="24">
        <f>P53</f>
        <v>0</v>
      </c>
      <c r="Q52" s="24">
        <f t="shared" si="5"/>
        <v>533.5</v>
      </c>
      <c r="R52" s="24">
        <f>R53</f>
        <v>0</v>
      </c>
      <c r="S52" s="24">
        <f t="shared" si="6"/>
        <v>533.5</v>
      </c>
      <c r="T52" s="24">
        <f>T53</f>
        <v>0</v>
      </c>
      <c r="U52" s="24">
        <f t="shared" si="7"/>
        <v>533.5</v>
      </c>
      <c r="V52" s="24">
        <f>V53</f>
        <v>0</v>
      </c>
      <c r="W52" s="24">
        <f t="shared" si="8"/>
        <v>533.5</v>
      </c>
      <c r="X52" s="24">
        <f>X53</f>
        <v>59.2</v>
      </c>
      <c r="Y52" s="24">
        <f t="shared" si="9"/>
        <v>592.70000000000005</v>
      </c>
      <c r="Z52" s="189"/>
    </row>
    <row r="53" spans="1:27" s="6" customFormat="1" ht="72.75" x14ac:dyDescent="0.25">
      <c r="A53" s="22" t="s">
        <v>645</v>
      </c>
      <c r="B53" s="23" t="s">
        <v>19</v>
      </c>
      <c r="C53" s="23" t="s">
        <v>31</v>
      </c>
      <c r="D53" s="23" t="s">
        <v>2</v>
      </c>
      <c r="E53" s="24">
        <f>E54+E55</f>
        <v>499.8</v>
      </c>
      <c r="F53" s="24">
        <f>F54+F55</f>
        <v>0</v>
      </c>
      <c r="G53" s="24">
        <f t="shared" si="0"/>
        <v>499.8</v>
      </c>
      <c r="H53" s="24">
        <f>H54+H55</f>
        <v>0</v>
      </c>
      <c r="I53" s="24">
        <f t="shared" si="1"/>
        <v>499.8</v>
      </c>
      <c r="J53" s="24">
        <f>J54+J55</f>
        <v>0</v>
      </c>
      <c r="K53" s="24">
        <f t="shared" si="2"/>
        <v>499.8</v>
      </c>
      <c r="L53" s="24">
        <f>L54+L55</f>
        <v>0</v>
      </c>
      <c r="M53" s="24">
        <f t="shared" si="3"/>
        <v>499.8</v>
      </c>
      <c r="N53" s="24">
        <f>N54+N55+N57</f>
        <v>33.699999999999996</v>
      </c>
      <c r="O53" s="24">
        <f t="shared" si="4"/>
        <v>533.5</v>
      </c>
      <c r="P53" s="24">
        <f>P54+P55+P57</f>
        <v>0</v>
      </c>
      <c r="Q53" s="24">
        <f t="shared" si="5"/>
        <v>533.5</v>
      </c>
      <c r="R53" s="24">
        <f>R54+R55+R57</f>
        <v>0</v>
      </c>
      <c r="S53" s="24">
        <f t="shared" si="6"/>
        <v>533.5</v>
      </c>
      <c r="T53" s="24">
        <f>T54+T55+T57</f>
        <v>0</v>
      </c>
      <c r="U53" s="24">
        <f t="shared" si="7"/>
        <v>533.5</v>
      </c>
      <c r="V53" s="24">
        <f>V54+V55+V57</f>
        <v>0</v>
      </c>
      <c r="W53" s="24">
        <f t="shared" si="8"/>
        <v>533.5</v>
      </c>
      <c r="X53" s="24">
        <f>X54+X55+X57+X56</f>
        <v>59.2</v>
      </c>
      <c r="Y53" s="24">
        <f t="shared" si="9"/>
        <v>592.70000000000005</v>
      </c>
      <c r="Z53" s="189"/>
    </row>
    <row r="54" spans="1:27" x14ac:dyDescent="0.25">
      <c r="A54" s="25" t="s">
        <v>560</v>
      </c>
      <c r="B54" s="26" t="s">
        <v>19</v>
      </c>
      <c r="C54" s="26" t="s">
        <v>31</v>
      </c>
      <c r="D54" s="26" t="s">
        <v>12</v>
      </c>
      <c r="E54" s="27">
        <v>383.8</v>
      </c>
      <c r="F54" s="27"/>
      <c r="G54" s="24">
        <f t="shared" si="0"/>
        <v>383.8</v>
      </c>
      <c r="H54" s="27"/>
      <c r="I54" s="24">
        <f t="shared" si="1"/>
        <v>383.8</v>
      </c>
      <c r="J54" s="27"/>
      <c r="K54" s="24">
        <f t="shared" si="2"/>
        <v>383.8</v>
      </c>
      <c r="L54" s="27"/>
      <c r="M54" s="24">
        <f t="shared" si="3"/>
        <v>383.8</v>
      </c>
      <c r="N54" s="43">
        <f>25.9-28</f>
        <v>-2.1000000000000014</v>
      </c>
      <c r="O54" s="24">
        <f t="shared" si="4"/>
        <v>381.7</v>
      </c>
      <c r="P54" s="69"/>
      <c r="Q54" s="24">
        <f t="shared" si="5"/>
        <v>381.7</v>
      </c>
      <c r="R54" s="69"/>
      <c r="S54" s="24">
        <f t="shared" si="6"/>
        <v>381.7</v>
      </c>
      <c r="T54" s="69"/>
      <c r="U54" s="24">
        <f t="shared" si="7"/>
        <v>381.7</v>
      </c>
      <c r="V54" s="69"/>
      <c r="W54" s="24">
        <f t="shared" si="8"/>
        <v>381.7</v>
      </c>
      <c r="X54" s="43">
        <v>-88.9</v>
      </c>
      <c r="Y54" s="24">
        <f t="shared" si="9"/>
        <v>292.79999999999995</v>
      </c>
      <c r="AA54" s="189">
        <f t="shared" ref="AA54:AA57" si="16">Y54+Z54</f>
        <v>292.79999999999995</v>
      </c>
    </row>
    <row r="55" spans="1:27" ht="28.5" customHeight="1" x14ac:dyDescent="0.25">
      <c r="A55" s="25" t="s">
        <v>561</v>
      </c>
      <c r="B55" s="26" t="s">
        <v>19</v>
      </c>
      <c r="C55" s="26" t="s">
        <v>31</v>
      </c>
      <c r="D55" s="26" t="s">
        <v>13</v>
      </c>
      <c r="E55" s="27">
        <v>116</v>
      </c>
      <c r="F55" s="27"/>
      <c r="G55" s="24">
        <f t="shared" si="0"/>
        <v>116</v>
      </c>
      <c r="H55" s="27"/>
      <c r="I55" s="24">
        <f t="shared" si="1"/>
        <v>116</v>
      </c>
      <c r="J55" s="27"/>
      <c r="K55" s="24">
        <f t="shared" si="2"/>
        <v>116</v>
      </c>
      <c r="L55" s="27"/>
      <c r="M55" s="24">
        <f t="shared" si="3"/>
        <v>116</v>
      </c>
      <c r="N55" s="43">
        <f>7.8-8</f>
        <v>-0.20000000000000018</v>
      </c>
      <c r="O55" s="24">
        <f>M55+N55</f>
        <v>115.8</v>
      </c>
      <c r="P55" s="69"/>
      <c r="Q55" s="24">
        <f>O55+P55</f>
        <v>115.8</v>
      </c>
      <c r="R55" s="69"/>
      <c r="S55" s="24">
        <f>Q55+R55</f>
        <v>115.8</v>
      </c>
      <c r="T55" s="69"/>
      <c r="U55" s="24">
        <f>S55+T55</f>
        <v>115.8</v>
      </c>
      <c r="V55" s="69"/>
      <c r="W55" s="24">
        <f>U55+V55</f>
        <v>115.8</v>
      </c>
      <c r="X55" s="43">
        <v>-29.9</v>
      </c>
      <c r="Y55" s="24">
        <f>W55+X55</f>
        <v>85.9</v>
      </c>
      <c r="AA55" s="189">
        <f t="shared" si="16"/>
        <v>85.9</v>
      </c>
    </row>
    <row r="56" spans="1:27" ht="28.5" customHeight="1" x14ac:dyDescent="0.25">
      <c r="A56" s="25"/>
      <c r="B56" s="26" t="s">
        <v>19</v>
      </c>
      <c r="C56" s="26" t="s">
        <v>31</v>
      </c>
      <c r="D56" s="26" t="s">
        <v>40</v>
      </c>
      <c r="E56" s="27"/>
      <c r="F56" s="27"/>
      <c r="G56" s="24"/>
      <c r="H56" s="27"/>
      <c r="I56" s="24"/>
      <c r="J56" s="27"/>
      <c r="K56" s="24"/>
      <c r="L56" s="27"/>
      <c r="M56" s="24"/>
      <c r="N56" s="43"/>
      <c r="O56" s="24"/>
      <c r="P56" s="69"/>
      <c r="Q56" s="24"/>
      <c r="R56" s="69"/>
      <c r="S56" s="24"/>
      <c r="T56" s="69"/>
      <c r="U56" s="24"/>
      <c r="V56" s="69"/>
      <c r="W56" s="24"/>
      <c r="X56" s="43">
        <v>163.30000000000001</v>
      </c>
      <c r="Y56" s="24">
        <f>W56+X56</f>
        <v>163.30000000000001</v>
      </c>
      <c r="AA56" s="189">
        <f t="shared" si="16"/>
        <v>163.30000000000001</v>
      </c>
    </row>
    <row r="57" spans="1:27" ht="14.25" customHeight="1" x14ac:dyDescent="0.25">
      <c r="A57" s="30" t="s">
        <v>66</v>
      </c>
      <c r="B57" s="26" t="s">
        <v>19</v>
      </c>
      <c r="C57" s="26" t="s">
        <v>31</v>
      </c>
      <c r="D57" s="26" t="s">
        <v>42</v>
      </c>
      <c r="E57" s="27"/>
      <c r="F57" s="27"/>
      <c r="G57" s="24"/>
      <c r="H57" s="27"/>
      <c r="I57" s="24"/>
      <c r="J57" s="27"/>
      <c r="K57" s="24"/>
      <c r="L57" s="27"/>
      <c r="M57" s="24"/>
      <c r="N57" s="43">
        <v>36</v>
      </c>
      <c r="O57" s="24">
        <f>M57+N57</f>
        <v>36</v>
      </c>
      <c r="P57" s="69"/>
      <c r="Q57" s="24">
        <f>O57+P57</f>
        <v>36</v>
      </c>
      <c r="R57" s="69"/>
      <c r="S57" s="24">
        <f>Q57+R57</f>
        <v>36</v>
      </c>
      <c r="T57" s="69"/>
      <c r="U57" s="24">
        <f>S57+T57</f>
        <v>36</v>
      </c>
      <c r="V57" s="69"/>
      <c r="W57" s="24">
        <f>U57+V57</f>
        <v>36</v>
      </c>
      <c r="X57" s="43">
        <v>14.7</v>
      </c>
      <c r="Y57" s="24">
        <f>W57+X57</f>
        <v>50.7</v>
      </c>
      <c r="AA57" s="189">
        <f t="shared" si="16"/>
        <v>50.7</v>
      </c>
    </row>
    <row r="58" spans="1:27" s="6" customFormat="1" ht="24.75" x14ac:dyDescent="0.25">
      <c r="A58" s="22" t="s">
        <v>644</v>
      </c>
      <c r="B58" s="23" t="s">
        <v>19</v>
      </c>
      <c r="C58" s="23" t="s">
        <v>32</v>
      </c>
      <c r="D58" s="23" t="s">
        <v>2</v>
      </c>
      <c r="E58" s="24">
        <f>E59</f>
        <v>131287.26999999999</v>
      </c>
      <c r="F58" s="24">
        <f>F59</f>
        <v>3421.2</v>
      </c>
      <c r="G58" s="24">
        <f t="shared" si="0"/>
        <v>134708.47</v>
      </c>
      <c r="H58" s="24">
        <f>H59</f>
        <v>-10000</v>
      </c>
      <c r="I58" s="24">
        <f t="shared" si="1"/>
        <v>124708.47</v>
      </c>
      <c r="J58" s="24">
        <f>J59</f>
        <v>-51.199999999999953</v>
      </c>
      <c r="K58" s="24">
        <f t="shared" si="2"/>
        <v>124657.27</v>
      </c>
      <c r="L58" s="24">
        <f>L59</f>
        <v>2774.9</v>
      </c>
      <c r="M58" s="24">
        <f t="shared" si="3"/>
        <v>127432.17</v>
      </c>
      <c r="N58" s="24">
        <f>N59</f>
        <v>-491.5</v>
      </c>
      <c r="O58" s="24">
        <f t="shared" si="4"/>
        <v>126940.67</v>
      </c>
      <c r="P58" s="24">
        <f>P59</f>
        <v>-7000</v>
      </c>
      <c r="Q58" s="24">
        <f t="shared" ref="Q58:Q173" si="17">O58+P58</f>
        <v>119940.67</v>
      </c>
      <c r="R58" s="24">
        <f>R59</f>
        <v>16695.8</v>
      </c>
      <c r="S58" s="24">
        <f t="shared" ref="S58:S173" si="18">Q58+R58</f>
        <v>136636.47</v>
      </c>
      <c r="T58" s="24">
        <f>T59</f>
        <v>1517.4</v>
      </c>
      <c r="U58" s="24">
        <f t="shared" ref="U58:U116" si="19">S58+T58</f>
        <v>138153.87</v>
      </c>
      <c r="V58" s="24">
        <f>V59</f>
        <v>2573.6000000000004</v>
      </c>
      <c r="W58" s="24">
        <f t="shared" ref="W58:W116" si="20">U58+V58</f>
        <v>140727.47</v>
      </c>
      <c r="X58" s="24">
        <f>X59</f>
        <v>251.59999999999968</v>
      </c>
      <c r="Y58" s="24">
        <f t="shared" ref="Y58:Y116" si="21">W58+X58</f>
        <v>140979.07</v>
      </c>
      <c r="Z58" s="189"/>
    </row>
    <row r="59" spans="1:27" s="6" customFormat="1" x14ac:dyDescent="0.25">
      <c r="A59" s="22" t="s">
        <v>33</v>
      </c>
      <c r="B59" s="23" t="s">
        <v>19</v>
      </c>
      <c r="C59" s="23" t="s">
        <v>34</v>
      </c>
      <c r="D59" s="23" t="s">
        <v>2</v>
      </c>
      <c r="E59" s="24">
        <f>E60+E103</f>
        <v>131287.26999999999</v>
      </c>
      <c r="F59" s="24">
        <f>F60+F103</f>
        <v>3421.2</v>
      </c>
      <c r="G59" s="24">
        <f t="shared" si="0"/>
        <v>134708.47</v>
      </c>
      <c r="H59" s="24">
        <f>H60+H103</f>
        <v>-10000</v>
      </c>
      <c r="I59" s="24">
        <f t="shared" si="1"/>
        <v>124708.47</v>
      </c>
      <c r="J59" s="24">
        <f>J60+J103</f>
        <v>-51.199999999999953</v>
      </c>
      <c r="K59" s="24">
        <f t="shared" si="2"/>
        <v>124657.27</v>
      </c>
      <c r="L59" s="24">
        <f>L60+L103</f>
        <v>2774.9</v>
      </c>
      <c r="M59" s="24">
        <f t="shared" si="3"/>
        <v>127432.17</v>
      </c>
      <c r="N59" s="24">
        <f>N60+N103</f>
        <v>-491.5</v>
      </c>
      <c r="O59" s="24">
        <f t="shared" si="4"/>
        <v>126940.67</v>
      </c>
      <c r="P59" s="24">
        <f>P60+P103</f>
        <v>-7000</v>
      </c>
      <c r="Q59" s="24">
        <f t="shared" si="17"/>
        <v>119940.67</v>
      </c>
      <c r="R59" s="24">
        <f>R60+R103</f>
        <v>16695.8</v>
      </c>
      <c r="S59" s="24">
        <f t="shared" si="18"/>
        <v>136636.47</v>
      </c>
      <c r="T59" s="24">
        <f>T60+T103</f>
        <v>1517.4</v>
      </c>
      <c r="U59" s="24">
        <f t="shared" si="19"/>
        <v>138153.87</v>
      </c>
      <c r="V59" s="24">
        <f>V60+V103</f>
        <v>2573.6000000000004</v>
      </c>
      <c r="W59" s="24">
        <f t="shared" si="20"/>
        <v>140727.47</v>
      </c>
      <c r="X59" s="24">
        <f>X60+X103</f>
        <v>251.59999999999968</v>
      </c>
      <c r="Y59" s="24">
        <f t="shared" si="21"/>
        <v>140979.07</v>
      </c>
      <c r="Z59" s="189"/>
    </row>
    <row r="60" spans="1:27" s="6" customFormat="1" x14ac:dyDescent="0.25">
      <c r="A60" s="22" t="s">
        <v>50</v>
      </c>
      <c r="B60" s="23" t="s">
        <v>19</v>
      </c>
      <c r="C60" s="23" t="s">
        <v>51</v>
      </c>
      <c r="D60" s="23" t="s">
        <v>2</v>
      </c>
      <c r="E60" s="24">
        <f>E67+E78+E101</f>
        <v>128783.17</v>
      </c>
      <c r="F60" s="24">
        <f>F67+F78+F101</f>
        <v>3421.2</v>
      </c>
      <c r="G60" s="24">
        <f t="shared" si="0"/>
        <v>132204.37</v>
      </c>
      <c r="H60" s="24">
        <f>H67+H78+H101</f>
        <v>-10000</v>
      </c>
      <c r="I60" s="24">
        <f t="shared" si="1"/>
        <v>122204.37</v>
      </c>
      <c r="J60" s="24">
        <f>J67+J78+J101+J95</f>
        <v>-51.199999999999953</v>
      </c>
      <c r="K60" s="24">
        <f t="shared" si="2"/>
        <v>122153.17</v>
      </c>
      <c r="L60" s="24">
        <f>L67+L78+L101+L95+L90</f>
        <v>2774.9</v>
      </c>
      <c r="M60" s="24">
        <f t="shared" si="3"/>
        <v>124928.06999999999</v>
      </c>
      <c r="N60" s="24">
        <f>N67+N78+N101+N95+N90</f>
        <v>-491.5</v>
      </c>
      <c r="O60" s="24">
        <f t="shared" si="4"/>
        <v>124436.56999999999</v>
      </c>
      <c r="P60" s="24">
        <f>P67+P78+P101+P95+P90</f>
        <v>-7000</v>
      </c>
      <c r="Q60" s="24">
        <f t="shared" si="17"/>
        <v>117436.56999999999</v>
      </c>
      <c r="R60" s="24">
        <f>R67+R78+R101+R95+R90+R93+R61+R64</f>
        <v>16695.8</v>
      </c>
      <c r="S60" s="24">
        <f t="shared" si="18"/>
        <v>134132.37</v>
      </c>
      <c r="T60" s="24">
        <f>T67+T78+T101+T95+T90+T93+T61+T64+T99</f>
        <v>1517.4</v>
      </c>
      <c r="U60" s="24">
        <f t="shared" si="19"/>
        <v>135649.76999999999</v>
      </c>
      <c r="V60" s="24">
        <f>V67+V78+V101+V95+V90+V93+V61+V64+V99+V97</f>
        <v>2573.6000000000004</v>
      </c>
      <c r="W60" s="24">
        <f t="shared" si="20"/>
        <v>138223.37</v>
      </c>
      <c r="X60" s="24">
        <f>X67+X78+X101+X95+X90+X93+X61+X64+X99+X97</f>
        <v>202.59999999999968</v>
      </c>
      <c r="Y60" s="24">
        <f t="shared" si="21"/>
        <v>138425.97</v>
      </c>
      <c r="Z60" s="189"/>
    </row>
    <row r="61" spans="1:27" s="6" customFormat="1" x14ac:dyDescent="0.25">
      <c r="A61" s="16" t="s">
        <v>769</v>
      </c>
      <c r="B61" s="20" t="s">
        <v>19</v>
      </c>
      <c r="C61" s="20" t="s">
        <v>1239</v>
      </c>
      <c r="D61" s="20"/>
      <c r="E61" s="24"/>
      <c r="F61" s="24"/>
      <c r="G61" s="24"/>
      <c r="H61" s="24"/>
      <c r="I61" s="24"/>
      <c r="J61" s="24"/>
      <c r="K61" s="24"/>
      <c r="L61" s="24"/>
      <c r="M61" s="24"/>
      <c r="N61" s="24"/>
      <c r="O61" s="24"/>
      <c r="P61" s="24"/>
      <c r="Q61" s="24"/>
      <c r="R61" s="18">
        <f>R62+R63</f>
        <v>3316.7</v>
      </c>
      <c r="S61" s="24">
        <f t="shared" si="18"/>
        <v>3316.7</v>
      </c>
      <c r="T61" s="18">
        <f>T62+T63</f>
        <v>0</v>
      </c>
      <c r="U61" s="24">
        <f t="shared" si="19"/>
        <v>3316.7</v>
      </c>
      <c r="V61" s="18">
        <f>V62+V63</f>
        <v>-4.3000000000000114</v>
      </c>
      <c r="W61" s="24">
        <f t="shared" si="20"/>
        <v>3312.3999999999996</v>
      </c>
      <c r="X61" s="18">
        <f>X62+X63</f>
        <v>0</v>
      </c>
      <c r="Y61" s="24">
        <f t="shared" si="21"/>
        <v>3312.3999999999996</v>
      </c>
      <c r="Z61" s="189"/>
    </row>
    <row r="62" spans="1:27" s="6" customFormat="1" x14ac:dyDescent="0.25">
      <c r="A62" s="17" t="s">
        <v>560</v>
      </c>
      <c r="B62" s="21" t="s">
        <v>19</v>
      </c>
      <c r="C62" s="21" t="s">
        <v>1239</v>
      </c>
      <c r="D62" s="21" t="s">
        <v>12</v>
      </c>
      <c r="E62" s="24"/>
      <c r="F62" s="24"/>
      <c r="G62" s="24"/>
      <c r="H62" s="24"/>
      <c r="I62" s="24"/>
      <c r="J62" s="24"/>
      <c r="K62" s="24"/>
      <c r="L62" s="24"/>
      <c r="M62" s="24"/>
      <c r="N62" s="24"/>
      <c r="O62" s="24"/>
      <c r="P62" s="24"/>
      <c r="Q62" s="24"/>
      <c r="R62" s="43">
        <v>2356.6</v>
      </c>
      <c r="S62" s="24">
        <f t="shared" si="18"/>
        <v>2356.6</v>
      </c>
      <c r="T62" s="69"/>
      <c r="U62" s="24">
        <f t="shared" si="19"/>
        <v>2356.6</v>
      </c>
      <c r="V62" s="185">
        <v>171.5</v>
      </c>
      <c r="W62" s="24">
        <f t="shared" si="20"/>
        <v>2528.1</v>
      </c>
      <c r="X62" s="84"/>
      <c r="Y62" s="24">
        <f t="shared" si="21"/>
        <v>2528.1</v>
      </c>
      <c r="Z62" s="189"/>
      <c r="AA62" s="189">
        <f t="shared" ref="AA62:AA63" si="22">Y62+Z62</f>
        <v>2528.1</v>
      </c>
    </row>
    <row r="63" spans="1:27" s="6" customFormat="1" ht="36.75" x14ac:dyDescent="0.25">
      <c r="A63" s="17" t="s">
        <v>561</v>
      </c>
      <c r="B63" s="21" t="s">
        <v>19</v>
      </c>
      <c r="C63" s="21" t="s">
        <v>1239</v>
      </c>
      <c r="D63" s="21" t="s">
        <v>13</v>
      </c>
      <c r="E63" s="24"/>
      <c r="F63" s="24"/>
      <c r="G63" s="24"/>
      <c r="H63" s="24"/>
      <c r="I63" s="24"/>
      <c r="J63" s="24"/>
      <c r="K63" s="24"/>
      <c r="L63" s="24"/>
      <c r="M63" s="24"/>
      <c r="N63" s="24"/>
      <c r="O63" s="24"/>
      <c r="P63" s="24"/>
      <c r="Q63" s="24"/>
      <c r="R63" s="43">
        <f>989.5-29.4</f>
        <v>960.1</v>
      </c>
      <c r="S63" s="24">
        <f t="shared" si="18"/>
        <v>960.1</v>
      </c>
      <c r="T63" s="69"/>
      <c r="U63" s="24">
        <f t="shared" si="19"/>
        <v>960.1</v>
      </c>
      <c r="V63" s="185">
        <v>-175.8</v>
      </c>
      <c r="W63" s="24">
        <f t="shared" si="20"/>
        <v>784.3</v>
      </c>
      <c r="X63" s="84"/>
      <c r="Y63" s="24">
        <f t="shared" si="21"/>
        <v>784.3</v>
      </c>
      <c r="Z63" s="189"/>
      <c r="AA63" s="189">
        <f t="shared" si="22"/>
        <v>784.3</v>
      </c>
    </row>
    <row r="64" spans="1:27" s="6" customFormat="1" ht="24.75" x14ac:dyDescent="0.25">
      <c r="A64" s="16" t="s">
        <v>1234</v>
      </c>
      <c r="B64" s="20" t="s">
        <v>19</v>
      </c>
      <c r="C64" s="20" t="s">
        <v>1240</v>
      </c>
      <c r="D64" s="20"/>
      <c r="E64" s="24"/>
      <c r="F64" s="24"/>
      <c r="G64" s="24"/>
      <c r="H64" s="24"/>
      <c r="I64" s="24"/>
      <c r="J64" s="24"/>
      <c r="K64" s="24"/>
      <c r="L64" s="24"/>
      <c r="M64" s="24"/>
      <c r="N64" s="24"/>
      <c r="O64" s="24"/>
      <c r="P64" s="24"/>
      <c r="Q64" s="24"/>
      <c r="R64" s="18">
        <f>R65+R66</f>
        <v>1428.1</v>
      </c>
      <c r="S64" s="24">
        <f t="shared" si="18"/>
        <v>1428.1</v>
      </c>
      <c r="T64" s="18">
        <f>T65+T66</f>
        <v>0</v>
      </c>
      <c r="U64" s="24">
        <f t="shared" si="19"/>
        <v>1428.1</v>
      </c>
      <c r="V64" s="18">
        <f>V65+V66</f>
        <v>0</v>
      </c>
      <c r="W64" s="24">
        <f t="shared" si="20"/>
        <v>1428.1</v>
      </c>
      <c r="X64" s="18">
        <f>X65+X66</f>
        <v>0</v>
      </c>
      <c r="Y64" s="24">
        <f t="shared" si="21"/>
        <v>1428.1</v>
      </c>
      <c r="Z64" s="189"/>
    </row>
    <row r="65" spans="1:27" s="6" customFormat="1" x14ac:dyDescent="0.25">
      <c r="A65" s="17" t="s">
        <v>560</v>
      </c>
      <c r="B65" s="21" t="s">
        <v>19</v>
      </c>
      <c r="C65" s="21" t="s">
        <v>1240</v>
      </c>
      <c r="D65" s="21" t="s">
        <v>12</v>
      </c>
      <c r="E65" s="24"/>
      <c r="F65" s="24"/>
      <c r="G65" s="24"/>
      <c r="H65" s="24"/>
      <c r="I65" s="24"/>
      <c r="J65" s="24"/>
      <c r="K65" s="24"/>
      <c r="L65" s="24"/>
      <c r="M65" s="24"/>
      <c r="N65" s="24"/>
      <c r="O65" s="24"/>
      <c r="P65" s="24"/>
      <c r="Q65" s="24"/>
      <c r="R65" s="43">
        <v>1287.5999999999999</v>
      </c>
      <c r="S65" s="24">
        <f t="shared" si="18"/>
        <v>1287.5999999999999</v>
      </c>
      <c r="T65" s="69"/>
      <c r="U65" s="24">
        <f t="shared" si="19"/>
        <v>1287.5999999999999</v>
      </c>
      <c r="V65" s="69"/>
      <c r="W65" s="24">
        <f t="shared" si="20"/>
        <v>1287.5999999999999</v>
      </c>
      <c r="X65" s="69"/>
      <c r="Y65" s="24">
        <f t="shared" si="21"/>
        <v>1287.5999999999999</v>
      </c>
      <c r="Z65" s="189"/>
      <c r="AA65" s="189">
        <f t="shared" ref="AA65:AA66" si="23">Y65+Z65</f>
        <v>1287.5999999999999</v>
      </c>
    </row>
    <row r="66" spans="1:27" s="6" customFormat="1" ht="36.75" x14ac:dyDescent="0.25">
      <c r="A66" s="17" t="s">
        <v>561</v>
      </c>
      <c r="B66" s="21" t="s">
        <v>19</v>
      </c>
      <c r="C66" s="21" t="s">
        <v>1240</v>
      </c>
      <c r="D66" s="21" t="s">
        <v>13</v>
      </c>
      <c r="E66" s="24"/>
      <c r="F66" s="24"/>
      <c r="G66" s="24"/>
      <c r="H66" s="24"/>
      <c r="I66" s="24"/>
      <c r="J66" s="24"/>
      <c r="K66" s="24"/>
      <c r="L66" s="24"/>
      <c r="M66" s="24"/>
      <c r="N66" s="24"/>
      <c r="O66" s="24"/>
      <c r="P66" s="24"/>
      <c r="Q66" s="24"/>
      <c r="R66" s="43">
        <f>111.1+29.4</f>
        <v>140.5</v>
      </c>
      <c r="S66" s="24">
        <f t="shared" si="18"/>
        <v>140.5</v>
      </c>
      <c r="T66" s="69"/>
      <c r="U66" s="24">
        <f t="shared" si="19"/>
        <v>140.5</v>
      </c>
      <c r="V66" s="69"/>
      <c r="W66" s="24">
        <f t="shared" si="20"/>
        <v>140.5</v>
      </c>
      <c r="X66" s="69"/>
      <c r="Y66" s="24">
        <f t="shared" si="21"/>
        <v>140.5</v>
      </c>
      <c r="Z66" s="189"/>
      <c r="AA66" s="189">
        <f t="shared" si="23"/>
        <v>140.5</v>
      </c>
    </row>
    <row r="67" spans="1:27" s="6" customFormat="1" x14ac:dyDescent="0.25">
      <c r="A67" s="22" t="s">
        <v>52</v>
      </c>
      <c r="B67" s="23" t="s">
        <v>19</v>
      </c>
      <c r="C67" s="23" t="s">
        <v>53</v>
      </c>
      <c r="D67" s="23" t="s">
        <v>2</v>
      </c>
      <c r="E67" s="24">
        <f>E68+E69+E70+E71+E72+E73+E76</f>
        <v>59247.899999999994</v>
      </c>
      <c r="F67" s="24">
        <f>F68+F69+F70+F71+F72+F73+F76+F74</f>
        <v>395.6</v>
      </c>
      <c r="G67" s="24">
        <f t="shared" si="0"/>
        <v>59643.499999999993</v>
      </c>
      <c r="H67" s="24">
        <f>H68+H69+H70+H71+H72+H73+H76+H74</f>
        <v>-10000</v>
      </c>
      <c r="I67" s="24">
        <f t="shared" si="1"/>
        <v>49643.499999999993</v>
      </c>
      <c r="J67" s="24">
        <f>J68+J69+J70+J71+J72+J73+J76+J74+J77</f>
        <v>-505.20000000000005</v>
      </c>
      <c r="K67" s="24">
        <f t="shared" si="2"/>
        <v>49138.299999999996</v>
      </c>
      <c r="L67" s="24">
        <f>L68+L69+L70+L71+L72+L73+L76+L74+L77</f>
        <v>-30</v>
      </c>
      <c r="M67" s="24">
        <f t="shared" si="3"/>
        <v>49108.299999999996</v>
      </c>
      <c r="N67" s="24">
        <f>N68+N69+N70+N71+N72+N73+N76+N74+N77</f>
        <v>-100.8</v>
      </c>
      <c r="O67" s="24">
        <f t="shared" si="4"/>
        <v>49007.499999999993</v>
      </c>
      <c r="P67" s="24">
        <f>P68+P69+P70+P71+P72+P73+P76+P74+P77</f>
        <v>-4500</v>
      </c>
      <c r="Q67" s="24">
        <f t="shared" si="17"/>
        <v>44507.499999999993</v>
      </c>
      <c r="R67" s="24">
        <f>R68+R69+R70+R71+R72+R73+R76+R74+R77</f>
        <v>-1695</v>
      </c>
      <c r="S67" s="24">
        <f t="shared" si="18"/>
        <v>42812.499999999993</v>
      </c>
      <c r="T67" s="24">
        <f>T68+T69+T70+T71+T72+T73+T76+T74+T77</f>
        <v>-73.7</v>
      </c>
      <c r="U67" s="24">
        <f t="shared" si="19"/>
        <v>42738.799999999996</v>
      </c>
      <c r="V67" s="24">
        <f>V68+V69+V70+V71+V72+V73+V76+V74+V77+V75</f>
        <v>3229.6000000000004</v>
      </c>
      <c r="W67" s="24">
        <f t="shared" si="20"/>
        <v>45968.399999999994</v>
      </c>
      <c r="X67" s="24">
        <f>X68+X69+X70+X71+X72+X73+X76+X74+X77+X75</f>
        <v>-17.200000000000003</v>
      </c>
      <c r="Y67" s="24">
        <f t="shared" si="21"/>
        <v>45951.199999999997</v>
      </c>
      <c r="Z67" s="189"/>
    </row>
    <row r="68" spans="1:27" x14ac:dyDescent="0.25">
      <c r="A68" s="25" t="s">
        <v>560</v>
      </c>
      <c r="B68" s="26" t="s">
        <v>19</v>
      </c>
      <c r="C68" s="26" t="s">
        <v>53</v>
      </c>
      <c r="D68" s="26" t="s">
        <v>12</v>
      </c>
      <c r="E68" s="27">
        <f>200+27959.1</f>
        <v>28159.1</v>
      </c>
      <c r="F68" s="27"/>
      <c r="G68" s="24">
        <f t="shared" si="0"/>
        <v>28159.1</v>
      </c>
      <c r="H68" s="27"/>
      <c r="I68" s="24">
        <f t="shared" si="1"/>
        <v>28159.1</v>
      </c>
      <c r="J68" s="63">
        <v>-70</v>
      </c>
      <c r="K68" s="24">
        <f t="shared" si="2"/>
        <v>28089.1</v>
      </c>
      <c r="L68" s="107">
        <v>-400</v>
      </c>
      <c r="M68" s="24">
        <f t="shared" si="3"/>
        <v>27689.1</v>
      </c>
      <c r="N68" s="69"/>
      <c r="O68" s="24">
        <f t="shared" si="4"/>
        <v>27689.1</v>
      </c>
      <c r="P68" s="69"/>
      <c r="Q68" s="24">
        <f t="shared" si="17"/>
        <v>27689.1</v>
      </c>
      <c r="R68" s="69"/>
      <c r="S68" s="24">
        <f t="shared" si="18"/>
        <v>27689.1</v>
      </c>
      <c r="T68" s="69"/>
      <c r="U68" s="24">
        <f t="shared" si="19"/>
        <v>27689.1</v>
      </c>
      <c r="V68" s="94">
        <f>902.9+1172.4+831.6-738.3</f>
        <v>2168.6000000000004</v>
      </c>
      <c r="W68" s="24">
        <f t="shared" si="20"/>
        <v>29857.699999999997</v>
      </c>
      <c r="X68" s="39">
        <f>-0.8-105.6</f>
        <v>-106.39999999999999</v>
      </c>
      <c r="Y68" s="24">
        <f t="shared" si="21"/>
        <v>29751.299999999996</v>
      </c>
      <c r="Z68" s="61">
        <v>-105.6</v>
      </c>
      <c r="AA68" s="189">
        <f t="shared" ref="AA68:AA77" si="24">Y68+Z68</f>
        <v>29645.699999999997</v>
      </c>
    </row>
    <row r="69" spans="1:27" ht="24.75" x14ac:dyDescent="0.25">
      <c r="A69" s="25" t="s">
        <v>566</v>
      </c>
      <c r="B69" s="26" t="s">
        <v>19</v>
      </c>
      <c r="C69" s="26" t="s">
        <v>53</v>
      </c>
      <c r="D69" s="26" t="s">
        <v>39</v>
      </c>
      <c r="E69" s="27">
        <v>129.5</v>
      </c>
      <c r="F69" s="27"/>
      <c r="G69" s="24">
        <f t="shared" si="0"/>
        <v>129.5</v>
      </c>
      <c r="H69" s="27"/>
      <c r="I69" s="24">
        <f t="shared" si="1"/>
        <v>129.5</v>
      </c>
      <c r="J69" s="27"/>
      <c r="K69" s="24">
        <f t="shared" si="2"/>
        <v>129.5</v>
      </c>
      <c r="L69" s="69"/>
      <c r="M69" s="24">
        <f t="shared" si="3"/>
        <v>129.5</v>
      </c>
      <c r="N69" s="69"/>
      <c r="O69" s="24">
        <f t="shared" si="4"/>
        <v>129.5</v>
      </c>
      <c r="P69" s="69"/>
      <c r="Q69" s="24">
        <f t="shared" si="17"/>
        <v>129.5</v>
      </c>
      <c r="R69" s="39">
        <v>26</v>
      </c>
      <c r="S69" s="24">
        <f t="shared" si="18"/>
        <v>155.5</v>
      </c>
      <c r="T69" s="69"/>
      <c r="U69" s="24">
        <f t="shared" si="19"/>
        <v>155.5</v>
      </c>
      <c r="V69" s="69"/>
      <c r="W69" s="24">
        <f t="shared" si="20"/>
        <v>155.5</v>
      </c>
      <c r="X69" s="39">
        <v>-13.8</v>
      </c>
      <c r="Y69" s="24">
        <f t="shared" si="21"/>
        <v>141.69999999999999</v>
      </c>
      <c r="Z69" s="61">
        <v>-13.8</v>
      </c>
      <c r="AA69" s="189">
        <f t="shared" si="24"/>
        <v>127.89999999999999</v>
      </c>
    </row>
    <row r="70" spans="1:27" ht="27.75" customHeight="1" x14ac:dyDescent="0.25">
      <c r="A70" s="25" t="s">
        <v>561</v>
      </c>
      <c r="B70" s="26" t="s">
        <v>19</v>
      </c>
      <c r="C70" s="26" t="s">
        <v>53</v>
      </c>
      <c r="D70" s="26" t="s">
        <v>13</v>
      </c>
      <c r="E70" s="27">
        <v>8504</v>
      </c>
      <c r="F70" s="27"/>
      <c r="G70" s="24">
        <f t="shared" si="0"/>
        <v>8504</v>
      </c>
      <c r="H70" s="27"/>
      <c r="I70" s="24">
        <f t="shared" si="1"/>
        <v>8504</v>
      </c>
      <c r="J70" s="27"/>
      <c r="K70" s="24">
        <f t="shared" si="2"/>
        <v>8504</v>
      </c>
      <c r="L70" s="69"/>
      <c r="M70" s="24">
        <f t="shared" si="3"/>
        <v>8504</v>
      </c>
      <c r="N70" s="69"/>
      <c r="O70" s="24">
        <f t="shared" si="4"/>
        <v>8504</v>
      </c>
      <c r="P70" s="69"/>
      <c r="Q70" s="24">
        <f t="shared" si="17"/>
        <v>8504</v>
      </c>
      <c r="R70" s="39">
        <v>-1589.1</v>
      </c>
      <c r="S70" s="24">
        <f t="shared" si="18"/>
        <v>6914.9</v>
      </c>
      <c r="T70" s="69"/>
      <c r="U70" s="24">
        <f t="shared" si="19"/>
        <v>6914.9</v>
      </c>
      <c r="V70" s="39">
        <f>272.7+738.3</f>
        <v>1011</v>
      </c>
      <c r="W70" s="24">
        <f t="shared" si="20"/>
        <v>7925.9</v>
      </c>
      <c r="X70" s="39">
        <f>44.5+0.1</f>
        <v>44.6</v>
      </c>
      <c r="Y70" s="24">
        <f t="shared" si="21"/>
        <v>7970.5</v>
      </c>
      <c r="Z70" s="61">
        <v>0.1</v>
      </c>
      <c r="AA70" s="189">
        <f t="shared" si="24"/>
        <v>7970.6</v>
      </c>
    </row>
    <row r="71" spans="1:27" ht="24.75" x14ac:dyDescent="0.25">
      <c r="A71" s="25" t="s">
        <v>562</v>
      </c>
      <c r="B71" s="26" t="s">
        <v>19</v>
      </c>
      <c r="C71" s="26" t="s">
        <v>53</v>
      </c>
      <c r="D71" s="26" t="s">
        <v>40</v>
      </c>
      <c r="E71" s="27">
        <v>1717.2</v>
      </c>
      <c r="F71" s="27"/>
      <c r="G71" s="24">
        <f t="shared" si="0"/>
        <v>1717.2</v>
      </c>
      <c r="H71" s="27"/>
      <c r="I71" s="24">
        <f t="shared" si="1"/>
        <v>1717.2</v>
      </c>
      <c r="J71" s="27"/>
      <c r="K71" s="24">
        <f t="shared" si="2"/>
        <v>1717.2</v>
      </c>
      <c r="L71" s="69"/>
      <c r="M71" s="24">
        <f t="shared" si="3"/>
        <v>1717.2</v>
      </c>
      <c r="N71" s="69"/>
      <c r="O71" s="24">
        <f t="shared" si="4"/>
        <v>1717.2</v>
      </c>
      <c r="P71" s="69"/>
      <c r="Q71" s="24">
        <f t="shared" si="17"/>
        <v>1717.2</v>
      </c>
      <c r="R71" s="39">
        <v>-116.9</v>
      </c>
      <c r="S71" s="24">
        <f t="shared" si="18"/>
        <v>1600.3</v>
      </c>
      <c r="T71" s="69"/>
      <c r="U71" s="24">
        <f t="shared" si="19"/>
        <v>1600.3</v>
      </c>
      <c r="V71" s="94">
        <v>16.3</v>
      </c>
      <c r="W71" s="24">
        <f t="shared" si="20"/>
        <v>1616.6</v>
      </c>
      <c r="X71" s="39">
        <f>-1-135.4</f>
        <v>-136.4</v>
      </c>
      <c r="Y71" s="24">
        <f t="shared" si="21"/>
        <v>1480.1999999999998</v>
      </c>
      <c r="Z71" s="61">
        <v>-135.4</v>
      </c>
      <c r="AA71" s="189">
        <f t="shared" si="24"/>
        <v>1344.7999999999997</v>
      </c>
    </row>
    <row r="72" spans="1:27" x14ac:dyDescent="0.25">
      <c r="A72" s="25" t="s">
        <v>66</v>
      </c>
      <c r="B72" s="26" t="s">
        <v>19</v>
      </c>
      <c r="C72" s="26" t="s">
        <v>53</v>
      </c>
      <c r="D72" s="26" t="s">
        <v>42</v>
      </c>
      <c r="E72" s="27">
        <v>19035.099999999999</v>
      </c>
      <c r="F72" s="27"/>
      <c r="G72" s="24">
        <f t="shared" si="0"/>
        <v>19035.099999999999</v>
      </c>
      <c r="H72" s="39">
        <v>-10000</v>
      </c>
      <c r="I72" s="24">
        <f t="shared" si="1"/>
        <v>9035.0999999999985</v>
      </c>
      <c r="J72" s="63">
        <v>-505.2</v>
      </c>
      <c r="K72" s="24">
        <f t="shared" si="2"/>
        <v>8529.8999999999978</v>
      </c>
      <c r="L72" s="107">
        <v>-10</v>
      </c>
      <c r="M72" s="24">
        <f t="shared" si="3"/>
        <v>8519.8999999999978</v>
      </c>
      <c r="N72" s="39">
        <f>-100-0.8</f>
        <v>-100.8</v>
      </c>
      <c r="O72" s="24">
        <f t="shared" si="4"/>
        <v>8419.0999999999985</v>
      </c>
      <c r="P72" s="94">
        <v>-4500</v>
      </c>
      <c r="Q72" s="24">
        <f t="shared" si="17"/>
        <v>3919.0999999999985</v>
      </c>
      <c r="R72" s="39">
        <v>-15</v>
      </c>
      <c r="S72" s="24">
        <f t="shared" si="18"/>
        <v>3904.0999999999985</v>
      </c>
      <c r="T72" s="69"/>
      <c r="U72" s="24">
        <f t="shared" si="19"/>
        <v>3904.0999999999985</v>
      </c>
      <c r="V72" s="94">
        <v>-616.29999999999995</v>
      </c>
      <c r="W72" s="24">
        <f t="shared" si="20"/>
        <v>3287.7999999999984</v>
      </c>
      <c r="X72" s="39">
        <f>1+96.8</f>
        <v>97.8</v>
      </c>
      <c r="Y72" s="24">
        <f t="shared" si="21"/>
        <v>3385.5999999999985</v>
      </c>
      <c r="Z72" s="61">
        <v>96.8</v>
      </c>
      <c r="AA72" s="189">
        <f t="shared" si="24"/>
        <v>3482.3999999999987</v>
      </c>
    </row>
    <row r="73" spans="1:27" x14ac:dyDescent="0.25">
      <c r="A73" s="25" t="s">
        <v>567</v>
      </c>
      <c r="B73" s="26" t="s">
        <v>19</v>
      </c>
      <c r="C73" s="26" t="s">
        <v>53</v>
      </c>
      <c r="D73" s="26" t="s">
        <v>43</v>
      </c>
      <c r="E73" s="27">
        <v>1503</v>
      </c>
      <c r="F73" s="27"/>
      <c r="G73" s="24">
        <f t="shared" si="0"/>
        <v>1503</v>
      </c>
      <c r="H73" s="27"/>
      <c r="I73" s="24">
        <f t="shared" si="1"/>
        <v>1503</v>
      </c>
      <c r="J73" s="27"/>
      <c r="K73" s="24">
        <f t="shared" si="2"/>
        <v>1503</v>
      </c>
      <c r="L73" s="69"/>
      <c r="M73" s="24">
        <f t="shared" si="3"/>
        <v>1503</v>
      </c>
      <c r="N73" s="69"/>
      <c r="O73" s="24">
        <f t="shared" si="4"/>
        <v>1503</v>
      </c>
      <c r="P73" s="69"/>
      <c r="Q73" s="24">
        <f t="shared" si="17"/>
        <v>1503</v>
      </c>
      <c r="R73" s="69"/>
      <c r="S73" s="24">
        <f t="shared" si="18"/>
        <v>1503</v>
      </c>
      <c r="T73" s="69"/>
      <c r="U73" s="24">
        <f t="shared" si="19"/>
        <v>1503</v>
      </c>
      <c r="V73" s="69"/>
      <c r="W73" s="24">
        <f t="shared" si="20"/>
        <v>1503</v>
      </c>
      <c r="X73" s="39">
        <v>97</v>
      </c>
      <c r="Y73" s="24">
        <f t="shared" si="21"/>
        <v>1600</v>
      </c>
      <c r="Z73" s="61">
        <v>97</v>
      </c>
      <c r="AA73" s="189">
        <f t="shared" si="24"/>
        <v>1697</v>
      </c>
    </row>
    <row r="74" spans="1:27" ht="24.75" x14ac:dyDescent="0.25">
      <c r="A74" s="62" t="s">
        <v>563</v>
      </c>
      <c r="B74" s="21" t="s">
        <v>19</v>
      </c>
      <c r="C74" s="21" t="s">
        <v>53</v>
      </c>
      <c r="D74" s="21" t="s">
        <v>315</v>
      </c>
      <c r="E74" s="27"/>
      <c r="F74" s="63">
        <v>395.6</v>
      </c>
      <c r="G74" s="24">
        <f t="shared" si="0"/>
        <v>395.6</v>
      </c>
      <c r="H74" s="69"/>
      <c r="I74" s="24">
        <f t="shared" si="1"/>
        <v>395.6</v>
      </c>
      <c r="J74" s="63">
        <v>70</v>
      </c>
      <c r="K74" s="24">
        <f t="shared" si="2"/>
        <v>465.6</v>
      </c>
      <c r="L74" s="107">
        <v>400</v>
      </c>
      <c r="M74" s="24">
        <f t="shared" si="3"/>
        <v>865.6</v>
      </c>
      <c r="N74" s="69"/>
      <c r="O74" s="24">
        <f t="shared" si="4"/>
        <v>865.6</v>
      </c>
      <c r="P74" s="69"/>
      <c r="Q74" s="24">
        <f t="shared" si="17"/>
        <v>865.6</v>
      </c>
      <c r="R74" s="69"/>
      <c r="S74" s="24">
        <f t="shared" si="18"/>
        <v>865.6</v>
      </c>
      <c r="T74" s="39">
        <v>-73.7</v>
      </c>
      <c r="U74" s="24">
        <f t="shared" si="19"/>
        <v>791.9</v>
      </c>
      <c r="V74" s="69"/>
      <c r="W74" s="24">
        <f t="shared" si="20"/>
        <v>791.9</v>
      </c>
      <c r="X74" s="69"/>
      <c r="Y74" s="24">
        <f t="shared" si="21"/>
        <v>791.9</v>
      </c>
      <c r="AA74" s="189">
        <f t="shared" si="24"/>
        <v>791.9</v>
      </c>
    </row>
    <row r="75" spans="1:27" ht="36.75" x14ac:dyDescent="0.25">
      <c r="A75" s="30" t="s">
        <v>577</v>
      </c>
      <c r="B75" s="21" t="s">
        <v>19</v>
      </c>
      <c r="C75" s="21" t="s">
        <v>53</v>
      </c>
      <c r="D75" s="21" t="s">
        <v>217</v>
      </c>
      <c r="E75" s="27"/>
      <c r="F75" s="63"/>
      <c r="G75" s="24"/>
      <c r="H75" s="69"/>
      <c r="I75" s="24"/>
      <c r="J75" s="63"/>
      <c r="K75" s="24"/>
      <c r="L75" s="107"/>
      <c r="M75" s="24"/>
      <c r="N75" s="69"/>
      <c r="O75" s="24"/>
      <c r="P75" s="69"/>
      <c r="Q75" s="24"/>
      <c r="R75" s="69"/>
      <c r="S75" s="24"/>
      <c r="T75" s="39"/>
      <c r="U75" s="24"/>
      <c r="V75" s="94">
        <v>600</v>
      </c>
      <c r="W75" s="24">
        <f t="shared" si="20"/>
        <v>600</v>
      </c>
      <c r="X75" s="69"/>
      <c r="Y75" s="24">
        <f t="shared" si="21"/>
        <v>600</v>
      </c>
      <c r="AA75" s="189">
        <f t="shared" si="24"/>
        <v>600</v>
      </c>
    </row>
    <row r="76" spans="1:27" x14ac:dyDescent="0.25">
      <c r="A76" s="25" t="s">
        <v>45</v>
      </c>
      <c r="B76" s="26" t="s">
        <v>19</v>
      </c>
      <c r="C76" s="26" t="s">
        <v>53</v>
      </c>
      <c r="D76" s="26" t="s">
        <v>46</v>
      </c>
      <c r="E76" s="27">
        <v>200</v>
      </c>
      <c r="F76" s="27"/>
      <c r="G76" s="24">
        <f t="shared" si="0"/>
        <v>200</v>
      </c>
      <c r="H76" s="27"/>
      <c r="I76" s="24">
        <f t="shared" si="1"/>
        <v>200</v>
      </c>
      <c r="J76" s="63">
        <v>-1</v>
      </c>
      <c r="K76" s="24">
        <f t="shared" si="2"/>
        <v>199</v>
      </c>
      <c r="L76" s="107">
        <v>-31</v>
      </c>
      <c r="M76" s="24">
        <f t="shared" si="3"/>
        <v>168</v>
      </c>
      <c r="N76" s="69"/>
      <c r="O76" s="24">
        <f t="shared" si="4"/>
        <v>168</v>
      </c>
      <c r="P76" s="69"/>
      <c r="Q76" s="24">
        <f t="shared" si="17"/>
        <v>168</v>
      </c>
      <c r="R76" s="69"/>
      <c r="S76" s="24">
        <f t="shared" si="18"/>
        <v>168</v>
      </c>
      <c r="T76" s="69"/>
      <c r="U76" s="24">
        <f t="shared" si="19"/>
        <v>168</v>
      </c>
      <c r="V76" s="69"/>
      <c r="W76" s="24">
        <f t="shared" si="20"/>
        <v>168</v>
      </c>
      <c r="X76" s="69"/>
      <c r="Y76" s="24">
        <f t="shared" si="21"/>
        <v>168</v>
      </c>
      <c r="AA76" s="189">
        <f t="shared" si="24"/>
        <v>168</v>
      </c>
    </row>
    <row r="77" spans="1:27" x14ac:dyDescent="0.25">
      <c r="A77" s="29" t="s">
        <v>47</v>
      </c>
      <c r="B77" s="26" t="s">
        <v>19</v>
      </c>
      <c r="C77" s="26" t="s">
        <v>53</v>
      </c>
      <c r="D77" s="26" t="s">
        <v>48</v>
      </c>
      <c r="E77" s="27"/>
      <c r="F77" s="27"/>
      <c r="G77" s="24"/>
      <c r="H77" s="27"/>
      <c r="I77" s="24"/>
      <c r="J77" s="63">
        <v>1</v>
      </c>
      <c r="K77" s="24">
        <f t="shared" si="2"/>
        <v>1</v>
      </c>
      <c r="L77" s="107">
        <v>11</v>
      </c>
      <c r="M77" s="24">
        <f t="shared" si="3"/>
        <v>12</v>
      </c>
      <c r="N77" s="69"/>
      <c r="O77" s="24">
        <f t="shared" si="4"/>
        <v>12</v>
      </c>
      <c r="P77" s="69"/>
      <c r="Q77" s="24">
        <f t="shared" si="17"/>
        <v>12</v>
      </c>
      <c r="R77" s="69"/>
      <c r="S77" s="24">
        <f t="shared" si="18"/>
        <v>12</v>
      </c>
      <c r="T77" s="69"/>
      <c r="U77" s="24">
        <f t="shared" si="19"/>
        <v>12</v>
      </c>
      <c r="V77" s="39">
        <v>50</v>
      </c>
      <c r="W77" s="24">
        <f t="shared" si="20"/>
        <v>62</v>
      </c>
      <c r="X77" s="69"/>
      <c r="Y77" s="24">
        <f t="shared" si="21"/>
        <v>62</v>
      </c>
      <c r="AA77" s="189">
        <f t="shared" si="24"/>
        <v>62</v>
      </c>
    </row>
    <row r="78" spans="1:27" x14ac:dyDescent="0.25">
      <c r="A78" s="28" t="s">
        <v>608</v>
      </c>
      <c r="B78" s="20" t="s">
        <v>19</v>
      </c>
      <c r="C78" s="20" t="s">
        <v>606</v>
      </c>
      <c r="D78" s="20" t="s">
        <v>2</v>
      </c>
      <c r="E78" s="18">
        <f>E79+E80+E81+E82+E83+E84+E87+E88+E89</f>
        <v>69483.37000000001</v>
      </c>
      <c r="F78" s="18">
        <f>F79+F80+F81+F82+F83+F84+F87+F88+F89+F85</f>
        <v>3025.6</v>
      </c>
      <c r="G78" s="24">
        <f t="shared" si="0"/>
        <v>72508.970000000016</v>
      </c>
      <c r="H78" s="18">
        <f>H79+H80+H81+H82+H83+H84+H87+H88+H89+H85</f>
        <v>0</v>
      </c>
      <c r="I78" s="24">
        <f t="shared" si="1"/>
        <v>72508.970000000016</v>
      </c>
      <c r="J78" s="18">
        <f>J79+J80+J81+J82+J83+J84+J87+J88+J89+J85+J86</f>
        <v>-113.09999999999995</v>
      </c>
      <c r="K78" s="24">
        <f t="shared" si="2"/>
        <v>72395.87000000001</v>
      </c>
      <c r="L78" s="47">
        <f>L79+L80+L81+L82+L83+L84+L87+L88+L89+L85+L86</f>
        <v>44.10000000000008</v>
      </c>
      <c r="M78" s="24">
        <f t="shared" si="3"/>
        <v>72439.970000000016</v>
      </c>
      <c r="N78" s="47">
        <f>N79+N80+N81+N82+N83+N84+N87+N88+N89+N85+N86</f>
        <v>-415.70000000000005</v>
      </c>
      <c r="O78" s="24">
        <f t="shared" si="4"/>
        <v>72024.270000000019</v>
      </c>
      <c r="P78" s="47">
        <f>P79+P80+P81+P82+P83+P84+P87+P88+P89+P85+P86</f>
        <v>0</v>
      </c>
      <c r="Q78" s="24">
        <f t="shared" si="17"/>
        <v>72024.270000000019</v>
      </c>
      <c r="R78" s="47">
        <f>R79+R80+R81+R82+R83+R84+R87+R88+R89+R85+R86</f>
        <v>9550.6</v>
      </c>
      <c r="S78" s="24">
        <f t="shared" si="18"/>
        <v>81574.870000000024</v>
      </c>
      <c r="T78" s="47">
        <f>T79+T80+T81+T82+T83+T84+T87+T88+T89+T85+T86</f>
        <v>1227.6000000000001</v>
      </c>
      <c r="U78" s="24">
        <f t="shared" si="19"/>
        <v>82802.47000000003</v>
      </c>
      <c r="V78" s="47">
        <f>V79+V80+V81+V82+V83+V84+V87+V88+V89+V85+V86</f>
        <v>568.70000000000016</v>
      </c>
      <c r="W78" s="24">
        <f t="shared" si="20"/>
        <v>83371.170000000027</v>
      </c>
      <c r="X78" s="47">
        <f>X79+X80+X81+X82+X83+X84+X87+X88+X89+X85+X86</f>
        <v>599.0999999999998</v>
      </c>
      <c r="Y78" s="24">
        <f t="shared" si="21"/>
        <v>83970.270000000033</v>
      </c>
    </row>
    <row r="79" spans="1:27" x14ac:dyDescent="0.25">
      <c r="A79" s="29" t="s">
        <v>560</v>
      </c>
      <c r="B79" s="21" t="s">
        <v>19</v>
      </c>
      <c r="C79" s="21" t="s">
        <v>606</v>
      </c>
      <c r="D79" s="21" t="s">
        <v>12</v>
      </c>
      <c r="E79" s="19">
        <f>34858.9-1156.5</f>
        <v>33702.400000000001</v>
      </c>
      <c r="F79" s="19"/>
      <c r="G79" s="24">
        <f t="shared" si="0"/>
        <v>33702.400000000001</v>
      </c>
      <c r="H79" s="19"/>
      <c r="I79" s="24">
        <f t="shared" si="1"/>
        <v>33702.400000000001</v>
      </c>
      <c r="J79" s="63">
        <v>-1092.4000000000001</v>
      </c>
      <c r="K79" s="24">
        <f t="shared" si="2"/>
        <v>32610</v>
      </c>
      <c r="L79" s="107">
        <v>-509.3</v>
      </c>
      <c r="M79" s="24">
        <f t="shared" si="3"/>
        <v>32100.7</v>
      </c>
      <c r="N79" s="63">
        <v>78.599999999999994</v>
      </c>
      <c r="O79" s="24">
        <f t="shared" si="4"/>
        <v>32179.3</v>
      </c>
      <c r="P79" s="69"/>
      <c r="Q79" s="24">
        <f t="shared" si="17"/>
        <v>32179.3</v>
      </c>
      <c r="R79" s="39">
        <f>7332.5+1340.6</f>
        <v>8673.1</v>
      </c>
      <c r="S79" s="24">
        <f t="shared" si="18"/>
        <v>40852.400000000001</v>
      </c>
      <c r="T79" s="63">
        <v>1818</v>
      </c>
      <c r="U79" s="24">
        <f t="shared" si="19"/>
        <v>42670.400000000001</v>
      </c>
      <c r="V79" s="39">
        <f>422.4+575.4</f>
        <v>997.8</v>
      </c>
      <c r="W79" s="24">
        <f t="shared" si="20"/>
        <v>43668.200000000004</v>
      </c>
      <c r="X79" s="39">
        <f>162+24.2+2.3+769.3</f>
        <v>957.8</v>
      </c>
      <c r="Y79" s="24">
        <f t="shared" si="21"/>
        <v>44626.000000000007</v>
      </c>
      <c r="Z79" s="61">
        <v>769.3</v>
      </c>
      <c r="AA79" s="189">
        <f t="shared" ref="AA79:AA89" si="25">Y79+Z79</f>
        <v>45395.30000000001</v>
      </c>
    </row>
    <row r="80" spans="1:27" ht="24.75" hidden="1" x14ac:dyDescent="0.25">
      <c r="A80" s="29" t="s">
        <v>566</v>
      </c>
      <c r="B80" s="21" t="s">
        <v>19</v>
      </c>
      <c r="C80" s="21" t="s">
        <v>606</v>
      </c>
      <c r="D80" s="21" t="s">
        <v>39</v>
      </c>
      <c r="E80" s="19">
        <v>9.1</v>
      </c>
      <c r="F80" s="19"/>
      <c r="G80" s="24">
        <f t="shared" si="0"/>
        <v>9.1</v>
      </c>
      <c r="H80" s="19"/>
      <c r="I80" s="24">
        <f t="shared" si="1"/>
        <v>9.1</v>
      </c>
      <c r="J80" s="19"/>
      <c r="K80" s="24">
        <f t="shared" si="2"/>
        <v>9.1</v>
      </c>
      <c r="L80" s="69"/>
      <c r="M80" s="24">
        <f t="shared" si="3"/>
        <v>9.1</v>
      </c>
      <c r="N80" s="69"/>
      <c r="O80" s="24">
        <f t="shared" si="4"/>
        <v>9.1</v>
      </c>
      <c r="P80" s="69"/>
      <c r="Q80" s="24">
        <f t="shared" si="17"/>
        <v>9.1</v>
      </c>
      <c r="R80" s="69"/>
      <c r="S80" s="24">
        <f t="shared" si="18"/>
        <v>9.1</v>
      </c>
      <c r="T80" s="69"/>
      <c r="U80" s="24">
        <f t="shared" si="19"/>
        <v>9.1</v>
      </c>
      <c r="V80" s="69"/>
      <c r="W80" s="24">
        <f t="shared" si="20"/>
        <v>9.1</v>
      </c>
      <c r="X80" s="39">
        <v>-9.1</v>
      </c>
      <c r="Y80" s="24">
        <f t="shared" si="21"/>
        <v>0</v>
      </c>
      <c r="Z80" s="61">
        <v>-9.1</v>
      </c>
      <c r="AA80" s="189">
        <f t="shared" si="25"/>
        <v>-9.1</v>
      </c>
    </row>
    <row r="81" spans="1:27" ht="28.5" customHeight="1" x14ac:dyDescent="0.25">
      <c r="A81" s="29" t="s">
        <v>561</v>
      </c>
      <c r="B81" s="21" t="s">
        <v>19</v>
      </c>
      <c r="C81" s="21" t="s">
        <v>606</v>
      </c>
      <c r="D81" s="21" t="s">
        <v>13</v>
      </c>
      <c r="E81" s="19">
        <f>11035.5-348.5</f>
        <v>10687</v>
      </c>
      <c r="F81" s="19"/>
      <c r="G81" s="24">
        <f t="shared" si="0"/>
        <v>10687</v>
      </c>
      <c r="H81" s="19"/>
      <c r="I81" s="24">
        <f t="shared" si="1"/>
        <v>10687</v>
      </c>
      <c r="J81" s="19"/>
      <c r="K81" s="24">
        <f t="shared" si="2"/>
        <v>10687</v>
      </c>
      <c r="L81" s="69"/>
      <c r="M81" s="24">
        <f t="shared" si="3"/>
        <v>10687</v>
      </c>
      <c r="N81" s="69"/>
      <c r="O81" s="24">
        <f t="shared" si="4"/>
        <v>10687</v>
      </c>
      <c r="P81" s="69"/>
      <c r="Q81" s="24">
        <f t="shared" si="17"/>
        <v>10687</v>
      </c>
      <c r="R81" s="39">
        <f>947.4+807.8</f>
        <v>1755.1999999999998</v>
      </c>
      <c r="S81" s="24">
        <f t="shared" si="18"/>
        <v>12442.2</v>
      </c>
      <c r="T81" s="69"/>
      <c r="U81" s="24">
        <f t="shared" si="19"/>
        <v>12442.2</v>
      </c>
      <c r="V81" s="39">
        <f>295.2+425.8</f>
        <v>721</v>
      </c>
      <c r="W81" s="24">
        <f t="shared" si="20"/>
        <v>13163.2</v>
      </c>
      <c r="X81" s="39">
        <f>190.7+288.5</f>
        <v>479.2</v>
      </c>
      <c r="Y81" s="24">
        <f t="shared" si="21"/>
        <v>13642.400000000001</v>
      </c>
      <c r="Z81" s="61">
        <v>288.5</v>
      </c>
      <c r="AA81" s="189">
        <f t="shared" si="25"/>
        <v>13930.900000000001</v>
      </c>
    </row>
    <row r="82" spans="1:27" ht="24.75" x14ac:dyDescent="0.25">
      <c r="A82" s="29" t="s">
        <v>562</v>
      </c>
      <c r="B82" s="21" t="s">
        <v>19</v>
      </c>
      <c r="C82" s="21" t="s">
        <v>606</v>
      </c>
      <c r="D82" s="21" t="s">
        <v>40</v>
      </c>
      <c r="E82" s="19">
        <f>2310.2+0.2</f>
        <v>2310.3999999999996</v>
      </c>
      <c r="F82" s="19"/>
      <c r="G82" s="24">
        <f t="shared" si="0"/>
        <v>2310.3999999999996</v>
      </c>
      <c r="H82" s="19"/>
      <c r="I82" s="24">
        <f t="shared" si="1"/>
        <v>2310.3999999999996</v>
      </c>
      <c r="J82" s="63">
        <v>27.5</v>
      </c>
      <c r="K82" s="24">
        <f t="shared" si="2"/>
        <v>2337.8999999999996</v>
      </c>
      <c r="L82" s="107">
        <v>130.80000000000001</v>
      </c>
      <c r="M82" s="24">
        <f t="shared" si="3"/>
        <v>2468.6999999999998</v>
      </c>
      <c r="N82" s="63">
        <v>35.9</v>
      </c>
      <c r="O82" s="24">
        <f t="shared" si="4"/>
        <v>2504.6</v>
      </c>
      <c r="P82" s="69"/>
      <c r="Q82" s="24">
        <f t="shared" si="17"/>
        <v>2504.6</v>
      </c>
      <c r="R82" s="39">
        <v>-65.2</v>
      </c>
      <c r="S82" s="24">
        <f t="shared" si="18"/>
        <v>2439.4</v>
      </c>
      <c r="T82" s="39">
        <f>-90.7-144</f>
        <v>-234.7</v>
      </c>
      <c r="U82" s="24">
        <f t="shared" si="19"/>
        <v>2204.7000000000003</v>
      </c>
      <c r="V82" s="94">
        <v>141.9</v>
      </c>
      <c r="W82" s="24">
        <f t="shared" si="20"/>
        <v>2346.6000000000004</v>
      </c>
      <c r="X82" s="39">
        <v>-52.7</v>
      </c>
      <c r="Y82" s="24">
        <f t="shared" si="21"/>
        <v>2293.9000000000005</v>
      </c>
      <c r="Z82" s="61">
        <v>-52.7</v>
      </c>
      <c r="AA82" s="189">
        <f t="shared" si="25"/>
        <v>2241.2000000000007</v>
      </c>
    </row>
    <row r="83" spans="1:27" x14ac:dyDescent="0.25">
      <c r="A83" s="29" t="s">
        <v>66</v>
      </c>
      <c r="B83" s="21" t="s">
        <v>19</v>
      </c>
      <c r="C83" s="21" t="s">
        <v>606</v>
      </c>
      <c r="D83" s="21" t="s">
        <v>42</v>
      </c>
      <c r="E83" s="19">
        <f>(14060.77+4195.3)+50-0.2</f>
        <v>18305.87</v>
      </c>
      <c r="F83" s="63">
        <v>1903.9</v>
      </c>
      <c r="G83" s="24">
        <f t="shared" si="0"/>
        <v>20209.77</v>
      </c>
      <c r="H83" s="69"/>
      <c r="I83" s="24">
        <f t="shared" si="1"/>
        <v>20209.77</v>
      </c>
      <c r="J83" s="63">
        <v>-807.8</v>
      </c>
      <c r="K83" s="24">
        <f t="shared" si="2"/>
        <v>19401.97</v>
      </c>
      <c r="L83" s="39">
        <f>30-648.8+31.1</f>
        <v>-587.69999999999993</v>
      </c>
      <c r="M83" s="24">
        <f t="shared" si="3"/>
        <v>18814.27</v>
      </c>
      <c r="N83" s="39">
        <f>-258.5-193.6-9.3</f>
        <v>-461.40000000000003</v>
      </c>
      <c r="O83" s="24">
        <f t="shared" si="4"/>
        <v>18352.87</v>
      </c>
      <c r="P83" s="69"/>
      <c r="Q83" s="24">
        <f t="shared" si="17"/>
        <v>18352.87</v>
      </c>
      <c r="R83" s="39">
        <f>395.1-809.1</f>
        <v>-414</v>
      </c>
      <c r="S83" s="24">
        <f t="shared" si="18"/>
        <v>17938.87</v>
      </c>
      <c r="T83" s="39">
        <f>-177.7-119</f>
        <v>-296.7</v>
      </c>
      <c r="U83" s="24">
        <f t="shared" si="19"/>
        <v>17642.169999999998</v>
      </c>
      <c r="V83" s="39">
        <f>380+28.9+8.8-1546.6</f>
        <v>-1128.8999999999999</v>
      </c>
      <c r="W83" s="24">
        <f t="shared" si="20"/>
        <v>16513.269999999997</v>
      </c>
      <c r="X83" s="39">
        <f>2.4+10-633.3</f>
        <v>-620.9</v>
      </c>
      <c r="Y83" s="24">
        <f t="shared" si="21"/>
        <v>15892.369999999997</v>
      </c>
      <c r="Z83" s="61">
        <v>-633.29999999999995</v>
      </c>
      <c r="AA83" s="189">
        <f t="shared" si="25"/>
        <v>15259.069999999998</v>
      </c>
    </row>
    <row r="84" spans="1:27" x14ac:dyDescent="0.25">
      <c r="A84" s="29" t="s">
        <v>567</v>
      </c>
      <c r="B84" s="21" t="s">
        <v>19</v>
      </c>
      <c r="C84" s="21" t="s">
        <v>606</v>
      </c>
      <c r="D84" s="21" t="s">
        <v>43</v>
      </c>
      <c r="E84" s="19">
        <v>4154.5</v>
      </c>
      <c r="F84" s="63">
        <v>499.7</v>
      </c>
      <c r="G84" s="24">
        <f t="shared" si="0"/>
        <v>4654.2</v>
      </c>
      <c r="H84" s="69"/>
      <c r="I84" s="24">
        <f t="shared" si="1"/>
        <v>4654.2</v>
      </c>
      <c r="J84" s="63">
        <v>642.20000000000005</v>
      </c>
      <c r="K84" s="24">
        <f t="shared" si="2"/>
        <v>5296.4</v>
      </c>
      <c r="L84" s="107">
        <v>477.7</v>
      </c>
      <c r="M84" s="24">
        <f t="shared" si="3"/>
        <v>5774.0999999999995</v>
      </c>
      <c r="N84" s="69"/>
      <c r="O84" s="24">
        <f t="shared" si="4"/>
        <v>5774.0999999999995</v>
      </c>
      <c r="P84" s="69"/>
      <c r="Q84" s="24">
        <f t="shared" si="17"/>
        <v>5774.0999999999995</v>
      </c>
      <c r="R84" s="39">
        <v>-300</v>
      </c>
      <c r="S84" s="24">
        <f t="shared" si="18"/>
        <v>5474.0999999999995</v>
      </c>
      <c r="T84" s="39">
        <f>-60-65.1</f>
        <v>-125.1</v>
      </c>
      <c r="U84" s="24">
        <f t="shared" si="19"/>
        <v>5348.9999999999991</v>
      </c>
      <c r="V84" s="94">
        <v>-141.6</v>
      </c>
      <c r="W84" s="24">
        <f t="shared" si="20"/>
        <v>5207.3999999999987</v>
      </c>
      <c r="X84" s="39">
        <v>-91.6</v>
      </c>
      <c r="Y84" s="24">
        <f t="shared" si="21"/>
        <v>5115.7999999999984</v>
      </c>
      <c r="Z84" s="61">
        <v>-91.6</v>
      </c>
      <c r="AA84" s="189">
        <f t="shared" si="25"/>
        <v>5024.199999999998</v>
      </c>
    </row>
    <row r="85" spans="1:27" ht="24.75" x14ac:dyDescent="0.25">
      <c r="A85" s="62" t="s">
        <v>563</v>
      </c>
      <c r="B85" s="21" t="s">
        <v>19</v>
      </c>
      <c r="C85" s="21" t="s">
        <v>606</v>
      </c>
      <c r="D85" s="21" t="s">
        <v>315</v>
      </c>
      <c r="E85" s="19"/>
      <c r="F85" s="63">
        <v>372</v>
      </c>
      <c r="G85" s="24">
        <f t="shared" si="0"/>
        <v>372</v>
      </c>
      <c r="H85" s="69"/>
      <c r="I85" s="24">
        <f t="shared" si="1"/>
        <v>372</v>
      </c>
      <c r="J85" s="63">
        <v>1092.4000000000001</v>
      </c>
      <c r="K85" s="24">
        <f t="shared" si="2"/>
        <v>1464.4</v>
      </c>
      <c r="L85" s="107">
        <v>509.3</v>
      </c>
      <c r="M85" s="24">
        <f t="shared" si="3"/>
        <v>1973.7</v>
      </c>
      <c r="N85" s="63">
        <v>-78.599999999999994</v>
      </c>
      <c r="O85" s="24">
        <f t="shared" si="4"/>
        <v>1895.1000000000001</v>
      </c>
      <c r="P85" s="69"/>
      <c r="Q85" s="24">
        <f t="shared" si="17"/>
        <v>1895.1000000000001</v>
      </c>
      <c r="R85" s="39">
        <v>-161.80000000000001</v>
      </c>
      <c r="S85" s="24">
        <f t="shared" si="18"/>
        <v>1733.3000000000002</v>
      </c>
      <c r="T85" s="69"/>
      <c r="U85" s="24">
        <f t="shared" si="19"/>
        <v>1733.3000000000002</v>
      </c>
      <c r="V85" s="69"/>
      <c r="W85" s="24">
        <f t="shared" si="20"/>
        <v>1733.3000000000002</v>
      </c>
      <c r="X85" s="69"/>
      <c r="Y85" s="24">
        <f t="shared" si="21"/>
        <v>1733.3000000000002</v>
      </c>
      <c r="AA85" s="189">
        <f t="shared" si="25"/>
        <v>1733.3000000000002</v>
      </c>
    </row>
    <row r="86" spans="1:27" ht="24.75" x14ac:dyDescent="0.25">
      <c r="A86" s="64" t="s">
        <v>678</v>
      </c>
      <c r="B86" s="21" t="s">
        <v>19</v>
      </c>
      <c r="C86" s="21" t="s">
        <v>606</v>
      </c>
      <c r="D86" s="21" t="s">
        <v>680</v>
      </c>
      <c r="E86" s="19"/>
      <c r="F86" s="63"/>
      <c r="G86" s="24"/>
      <c r="H86" s="69"/>
      <c r="I86" s="24"/>
      <c r="J86" s="63">
        <v>43.2</v>
      </c>
      <c r="K86" s="24">
        <f t="shared" si="2"/>
        <v>43.2</v>
      </c>
      <c r="L86" s="107">
        <v>10</v>
      </c>
      <c r="M86" s="24">
        <f t="shared" si="3"/>
        <v>53.2</v>
      </c>
      <c r="N86" s="69"/>
      <c r="O86" s="24">
        <f t="shared" si="4"/>
        <v>53.2</v>
      </c>
      <c r="P86" s="69"/>
      <c r="Q86" s="24">
        <f t="shared" si="17"/>
        <v>53.2</v>
      </c>
      <c r="R86" s="69"/>
      <c r="S86" s="24">
        <f t="shared" si="18"/>
        <v>53.2</v>
      </c>
      <c r="T86" s="69"/>
      <c r="U86" s="24">
        <f t="shared" si="19"/>
        <v>53.2</v>
      </c>
      <c r="V86" s="94">
        <v>1.2</v>
      </c>
      <c r="W86" s="24">
        <f t="shared" si="20"/>
        <v>54.400000000000006</v>
      </c>
      <c r="X86" s="69"/>
      <c r="Y86" s="24">
        <f t="shared" si="21"/>
        <v>54.400000000000006</v>
      </c>
      <c r="AA86" s="189">
        <f t="shared" si="25"/>
        <v>54.400000000000006</v>
      </c>
    </row>
    <row r="87" spans="1:27" x14ac:dyDescent="0.25">
      <c r="A87" s="29" t="s">
        <v>578</v>
      </c>
      <c r="B87" s="21" t="s">
        <v>19</v>
      </c>
      <c r="C87" s="21" t="s">
        <v>606</v>
      </c>
      <c r="D87" s="21" t="s">
        <v>44</v>
      </c>
      <c r="E87" s="19">
        <v>190.5</v>
      </c>
      <c r="F87" s="19"/>
      <c r="G87" s="24">
        <f t="shared" si="0"/>
        <v>190.5</v>
      </c>
      <c r="H87" s="19"/>
      <c r="I87" s="24">
        <f t="shared" si="1"/>
        <v>190.5</v>
      </c>
      <c r="J87" s="63">
        <v>-103.7</v>
      </c>
      <c r="K87" s="24">
        <f t="shared" si="2"/>
        <v>86.8</v>
      </c>
      <c r="L87" s="107">
        <v>-32.299999999999997</v>
      </c>
      <c r="M87" s="24">
        <f t="shared" si="3"/>
        <v>54.5</v>
      </c>
      <c r="N87" s="63">
        <v>-1.4</v>
      </c>
      <c r="O87" s="24">
        <f t="shared" si="4"/>
        <v>53.1</v>
      </c>
      <c r="P87" s="69"/>
      <c r="Q87" s="24">
        <f t="shared" si="17"/>
        <v>53.1</v>
      </c>
      <c r="R87" s="39">
        <v>-3.4</v>
      </c>
      <c r="S87" s="24">
        <f t="shared" si="18"/>
        <v>49.7</v>
      </c>
      <c r="T87" s="69"/>
      <c r="U87" s="24">
        <f t="shared" si="19"/>
        <v>49.7</v>
      </c>
      <c r="V87" s="69"/>
      <c r="W87" s="24">
        <f t="shared" si="20"/>
        <v>49.7</v>
      </c>
      <c r="X87" s="39">
        <v>-40</v>
      </c>
      <c r="Y87" s="24">
        <f t="shared" si="21"/>
        <v>9.7000000000000028</v>
      </c>
      <c r="Z87" s="61">
        <v>-40</v>
      </c>
      <c r="AA87" s="189">
        <f t="shared" si="25"/>
        <v>-30.299999999999997</v>
      </c>
    </row>
    <row r="88" spans="1:27" x14ac:dyDescent="0.25">
      <c r="A88" s="29" t="s">
        <v>45</v>
      </c>
      <c r="B88" s="21" t="s">
        <v>19</v>
      </c>
      <c r="C88" s="21" t="s">
        <v>606</v>
      </c>
      <c r="D88" s="21" t="s">
        <v>46</v>
      </c>
      <c r="E88" s="19">
        <v>121.6</v>
      </c>
      <c r="F88" s="19"/>
      <c r="G88" s="24">
        <f t="shared" si="0"/>
        <v>121.6</v>
      </c>
      <c r="H88" s="19"/>
      <c r="I88" s="24">
        <f t="shared" si="1"/>
        <v>121.6</v>
      </c>
      <c r="J88" s="63">
        <v>8.5</v>
      </c>
      <c r="K88" s="24">
        <f t="shared" si="2"/>
        <v>130.1</v>
      </c>
      <c r="L88" s="107">
        <v>-17.399999999999999</v>
      </c>
      <c r="M88" s="24">
        <f t="shared" si="3"/>
        <v>112.69999999999999</v>
      </c>
      <c r="N88" s="63">
        <v>1.9</v>
      </c>
      <c r="O88" s="24">
        <f t="shared" si="4"/>
        <v>114.6</v>
      </c>
      <c r="P88" s="69"/>
      <c r="Q88" s="24">
        <f t="shared" si="17"/>
        <v>114.6</v>
      </c>
      <c r="R88" s="39">
        <v>9.1</v>
      </c>
      <c r="S88" s="24">
        <f t="shared" si="18"/>
        <v>123.69999999999999</v>
      </c>
      <c r="T88" s="63">
        <v>5.4</v>
      </c>
      <c r="U88" s="24">
        <f t="shared" si="19"/>
        <v>129.1</v>
      </c>
      <c r="V88" s="39">
        <f>0.8-21.4</f>
        <v>-20.599999999999998</v>
      </c>
      <c r="W88" s="24">
        <f t="shared" si="20"/>
        <v>108.5</v>
      </c>
      <c r="X88" s="39">
        <v>-7.4</v>
      </c>
      <c r="Y88" s="24">
        <f t="shared" si="21"/>
        <v>101.1</v>
      </c>
      <c r="Z88" s="61">
        <v>-7.4</v>
      </c>
      <c r="AA88" s="189">
        <f t="shared" si="25"/>
        <v>93.699999999999989</v>
      </c>
    </row>
    <row r="89" spans="1:27" x14ac:dyDescent="0.25">
      <c r="A89" s="29" t="s">
        <v>47</v>
      </c>
      <c r="B89" s="21" t="s">
        <v>19</v>
      </c>
      <c r="C89" s="21" t="s">
        <v>606</v>
      </c>
      <c r="D89" s="21" t="s">
        <v>48</v>
      </c>
      <c r="E89" s="19">
        <v>2</v>
      </c>
      <c r="F89" s="63">
        <v>250</v>
      </c>
      <c r="G89" s="24">
        <f t="shared" si="0"/>
        <v>252</v>
      </c>
      <c r="H89" s="69"/>
      <c r="I89" s="24">
        <f t="shared" si="1"/>
        <v>252</v>
      </c>
      <c r="J89" s="63">
        <v>77</v>
      </c>
      <c r="K89" s="24">
        <f t="shared" si="2"/>
        <v>329</v>
      </c>
      <c r="L89" s="107">
        <v>63</v>
      </c>
      <c r="M89" s="24">
        <f t="shared" si="3"/>
        <v>392</v>
      </c>
      <c r="N89" s="63">
        <v>9.3000000000000007</v>
      </c>
      <c r="O89" s="24">
        <f t="shared" si="4"/>
        <v>401.3</v>
      </c>
      <c r="P89" s="69"/>
      <c r="Q89" s="24">
        <f t="shared" si="17"/>
        <v>401.3</v>
      </c>
      <c r="R89" s="39">
        <v>57.6</v>
      </c>
      <c r="S89" s="24">
        <f t="shared" si="18"/>
        <v>458.90000000000003</v>
      </c>
      <c r="T89" s="63">
        <v>60.7</v>
      </c>
      <c r="U89" s="24">
        <f t="shared" si="19"/>
        <v>519.6</v>
      </c>
      <c r="V89" s="39">
        <f>6+0.5-8.6</f>
        <v>-2.0999999999999996</v>
      </c>
      <c r="W89" s="24">
        <f t="shared" si="20"/>
        <v>517.5</v>
      </c>
      <c r="X89" s="39">
        <v>-16.2</v>
      </c>
      <c r="Y89" s="24">
        <f t="shared" si="21"/>
        <v>501.3</v>
      </c>
      <c r="Z89" s="61">
        <v>-16.2</v>
      </c>
      <c r="AA89" s="189">
        <f t="shared" si="25"/>
        <v>485.1</v>
      </c>
    </row>
    <row r="90" spans="1:27" x14ac:dyDescent="0.25">
      <c r="A90" s="100" t="s">
        <v>841</v>
      </c>
      <c r="B90" s="20" t="s">
        <v>19</v>
      </c>
      <c r="C90" s="20" t="s">
        <v>840</v>
      </c>
      <c r="D90" s="21"/>
      <c r="E90" s="19"/>
      <c r="F90" s="63"/>
      <c r="G90" s="24"/>
      <c r="H90" s="69"/>
      <c r="I90" s="24"/>
      <c r="J90" s="63"/>
      <c r="K90" s="24"/>
      <c r="L90" s="47">
        <f>L91</f>
        <v>2500</v>
      </c>
      <c r="M90" s="24">
        <f t="shared" si="3"/>
        <v>2500</v>
      </c>
      <c r="N90" s="47">
        <f>N91</f>
        <v>0</v>
      </c>
      <c r="O90" s="24">
        <f t="shared" si="4"/>
        <v>2500</v>
      </c>
      <c r="P90" s="47">
        <f>P91</f>
        <v>-2500</v>
      </c>
      <c r="Q90" s="24">
        <f t="shared" si="17"/>
        <v>0</v>
      </c>
      <c r="R90" s="47">
        <f>R91</f>
        <v>2500</v>
      </c>
      <c r="S90" s="24">
        <f t="shared" si="18"/>
        <v>2500</v>
      </c>
      <c r="T90" s="47">
        <f>T91</f>
        <v>0</v>
      </c>
      <c r="U90" s="24">
        <f t="shared" si="19"/>
        <v>2500</v>
      </c>
      <c r="V90" s="47">
        <f>V91+V92</f>
        <v>-1287.4000000000001</v>
      </c>
      <c r="W90" s="24">
        <f t="shared" si="20"/>
        <v>1212.5999999999999</v>
      </c>
      <c r="X90" s="47">
        <f>X91+X92</f>
        <v>-19.2</v>
      </c>
      <c r="Y90" s="24">
        <f t="shared" si="21"/>
        <v>1193.3999999999999</v>
      </c>
    </row>
    <row r="91" spans="1:27" x14ac:dyDescent="0.25">
      <c r="A91" s="29" t="s">
        <v>560</v>
      </c>
      <c r="B91" s="21" t="s">
        <v>19</v>
      </c>
      <c r="C91" s="21" t="s">
        <v>840</v>
      </c>
      <c r="D91" s="21" t="s">
        <v>12</v>
      </c>
      <c r="E91" s="19"/>
      <c r="F91" s="63"/>
      <c r="G91" s="24"/>
      <c r="H91" s="69"/>
      <c r="I91" s="24"/>
      <c r="J91" s="63"/>
      <c r="K91" s="24"/>
      <c r="L91" s="86">
        <v>2500</v>
      </c>
      <c r="M91" s="24">
        <f t="shared" si="3"/>
        <v>2500</v>
      </c>
      <c r="N91" s="69"/>
      <c r="O91" s="24">
        <f t="shared" si="4"/>
        <v>2500</v>
      </c>
      <c r="P91" s="94">
        <v>-2500</v>
      </c>
      <c r="Q91" s="24">
        <f t="shared" si="17"/>
        <v>0</v>
      </c>
      <c r="R91" s="39">
        <v>2500</v>
      </c>
      <c r="S91" s="24">
        <f t="shared" si="18"/>
        <v>2500</v>
      </c>
      <c r="T91" s="69"/>
      <c r="U91" s="24">
        <f t="shared" si="19"/>
        <v>2500</v>
      </c>
      <c r="V91" s="180">
        <f>-1557.2-11.5</f>
        <v>-1568.7</v>
      </c>
      <c r="W91" s="24">
        <f t="shared" si="20"/>
        <v>931.3</v>
      </c>
      <c r="X91" s="91">
        <f>-11.7-3</f>
        <v>-14.7</v>
      </c>
      <c r="Y91" s="24">
        <f t="shared" si="21"/>
        <v>916.59999999999991</v>
      </c>
      <c r="Z91" s="61">
        <v>-3</v>
      </c>
      <c r="AA91" s="189">
        <f t="shared" ref="AA91:AA92" si="26">Y91+Z91</f>
        <v>913.59999999999991</v>
      </c>
    </row>
    <row r="92" spans="1:27" ht="36.75" x14ac:dyDescent="0.25">
      <c r="A92" s="17" t="s">
        <v>561</v>
      </c>
      <c r="B92" s="21" t="s">
        <v>19</v>
      </c>
      <c r="C92" s="21" t="s">
        <v>840</v>
      </c>
      <c r="D92" s="21" t="s">
        <v>13</v>
      </c>
      <c r="E92" s="19"/>
      <c r="F92" s="63"/>
      <c r="G92" s="24"/>
      <c r="H92" s="69"/>
      <c r="I92" s="24"/>
      <c r="J92" s="63"/>
      <c r="K92" s="24"/>
      <c r="L92" s="86"/>
      <c r="M92" s="24"/>
      <c r="N92" s="69"/>
      <c r="O92" s="24"/>
      <c r="P92" s="94"/>
      <c r="Q92" s="24"/>
      <c r="R92" s="39"/>
      <c r="S92" s="24"/>
      <c r="T92" s="69"/>
      <c r="U92" s="24"/>
      <c r="V92" s="180">
        <f>284.7-3.4</f>
        <v>281.3</v>
      </c>
      <c r="W92" s="24">
        <f t="shared" si="20"/>
        <v>281.3</v>
      </c>
      <c r="X92" s="91">
        <f>-3.5-1</f>
        <v>-4.5</v>
      </c>
      <c r="Y92" s="24">
        <f t="shared" si="21"/>
        <v>276.8</v>
      </c>
      <c r="Z92" s="61">
        <v>-1</v>
      </c>
      <c r="AA92" s="189">
        <f t="shared" si="26"/>
        <v>275.8</v>
      </c>
    </row>
    <row r="93" spans="1:27" x14ac:dyDescent="0.25">
      <c r="A93" s="40" t="s">
        <v>658</v>
      </c>
      <c r="B93" s="20" t="s">
        <v>19</v>
      </c>
      <c r="C93" s="20" t="s">
        <v>1237</v>
      </c>
      <c r="D93" s="21"/>
      <c r="E93" s="19"/>
      <c r="F93" s="63"/>
      <c r="G93" s="24"/>
      <c r="H93" s="69"/>
      <c r="I93" s="24"/>
      <c r="J93" s="63"/>
      <c r="K93" s="24"/>
      <c r="L93" s="86"/>
      <c r="M93" s="24"/>
      <c r="N93" s="69"/>
      <c r="O93" s="24"/>
      <c r="P93" s="94"/>
      <c r="Q93" s="24"/>
      <c r="R93" s="85">
        <f>R94</f>
        <v>332.9</v>
      </c>
      <c r="S93" s="24">
        <f t="shared" si="18"/>
        <v>332.9</v>
      </c>
      <c r="T93" s="85">
        <f>T94</f>
        <v>0</v>
      </c>
      <c r="U93" s="24">
        <f t="shared" si="19"/>
        <v>332.9</v>
      </c>
      <c r="V93" s="85">
        <f>V94</f>
        <v>0</v>
      </c>
      <c r="W93" s="24">
        <f t="shared" si="20"/>
        <v>332.9</v>
      </c>
      <c r="X93" s="85">
        <f>X94</f>
        <v>-282.90000000000003</v>
      </c>
      <c r="Y93" s="24">
        <f t="shared" si="21"/>
        <v>49.999999999999943</v>
      </c>
    </row>
    <row r="94" spans="1:27" x14ac:dyDescent="0.25">
      <c r="A94" s="30" t="s">
        <v>66</v>
      </c>
      <c r="B94" s="21" t="s">
        <v>19</v>
      </c>
      <c r="C94" s="21" t="s">
        <v>1237</v>
      </c>
      <c r="D94" s="21" t="s">
        <v>42</v>
      </c>
      <c r="E94" s="19"/>
      <c r="F94" s="63"/>
      <c r="G94" s="24"/>
      <c r="H94" s="69"/>
      <c r="I94" s="24"/>
      <c r="J94" s="63"/>
      <c r="K94" s="24"/>
      <c r="L94" s="86"/>
      <c r="M94" s="24"/>
      <c r="N94" s="69"/>
      <c r="O94" s="24"/>
      <c r="P94" s="94"/>
      <c r="Q94" s="24"/>
      <c r="R94" s="91">
        <f>164.4+168.5</f>
        <v>332.9</v>
      </c>
      <c r="S94" s="24">
        <f t="shared" si="18"/>
        <v>332.9</v>
      </c>
      <c r="T94" s="84"/>
      <c r="U94" s="24">
        <f t="shared" si="19"/>
        <v>332.9</v>
      </c>
      <c r="V94" s="84"/>
      <c r="W94" s="24">
        <f t="shared" si="20"/>
        <v>332.9</v>
      </c>
      <c r="X94" s="91">
        <f>-18.8-5-259.1</f>
        <v>-282.90000000000003</v>
      </c>
      <c r="Y94" s="24">
        <f t="shared" si="21"/>
        <v>49.999999999999943</v>
      </c>
      <c r="Z94" s="61">
        <v>-259.10000000000002</v>
      </c>
      <c r="AA94" s="189">
        <f>Y94+Z94</f>
        <v>-209.10000000000008</v>
      </c>
    </row>
    <row r="95" spans="1:27" x14ac:dyDescent="0.25">
      <c r="A95" s="16" t="s">
        <v>318</v>
      </c>
      <c r="B95" s="20" t="s">
        <v>19</v>
      </c>
      <c r="C95" s="20" t="s">
        <v>788</v>
      </c>
      <c r="D95" s="20" t="s">
        <v>2</v>
      </c>
      <c r="E95" s="19"/>
      <c r="F95" s="63"/>
      <c r="G95" s="24"/>
      <c r="H95" s="69"/>
      <c r="I95" s="24"/>
      <c r="J95" s="47">
        <f>J96</f>
        <v>21.1</v>
      </c>
      <c r="K95" s="24">
        <f t="shared" si="2"/>
        <v>21.1</v>
      </c>
      <c r="L95" s="47">
        <f>L96</f>
        <v>30.5</v>
      </c>
      <c r="M95" s="24">
        <f t="shared" si="3"/>
        <v>51.6</v>
      </c>
      <c r="N95" s="47">
        <f>N96</f>
        <v>0</v>
      </c>
      <c r="O95" s="24">
        <f t="shared" si="4"/>
        <v>51.6</v>
      </c>
      <c r="P95" s="47">
        <f>P96</f>
        <v>0</v>
      </c>
      <c r="Q95" s="24">
        <f t="shared" si="17"/>
        <v>51.6</v>
      </c>
      <c r="R95" s="47">
        <f>R96</f>
        <v>12.5</v>
      </c>
      <c r="S95" s="24">
        <f t="shared" si="18"/>
        <v>64.099999999999994</v>
      </c>
      <c r="T95" s="47">
        <f>T96</f>
        <v>0</v>
      </c>
      <c r="U95" s="24">
        <f t="shared" si="19"/>
        <v>64.099999999999994</v>
      </c>
      <c r="V95" s="47">
        <f>V96</f>
        <v>-1.5</v>
      </c>
      <c r="W95" s="24">
        <f t="shared" si="20"/>
        <v>62.599999999999994</v>
      </c>
      <c r="X95" s="47">
        <f>X96</f>
        <v>-10.1</v>
      </c>
      <c r="Y95" s="24">
        <f t="shared" si="21"/>
        <v>52.499999999999993</v>
      </c>
    </row>
    <row r="96" spans="1:27" x14ac:dyDescent="0.25">
      <c r="A96" s="62" t="s">
        <v>578</v>
      </c>
      <c r="B96" s="21" t="s">
        <v>19</v>
      </c>
      <c r="C96" s="21" t="s">
        <v>788</v>
      </c>
      <c r="D96" s="21" t="s">
        <v>44</v>
      </c>
      <c r="E96" s="19"/>
      <c r="F96" s="63"/>
      <c r="G96" s="24"/>
      <c r="H96" s="69"/>
      <c r="I96" s="24"/>
      <c r="J96" s="63">
        <v>21.1</v>
      </c>
      <c r="K96" s="24">
        <f t="shared" si="2"/>
        <v>21.1</v>
      </c>
      <c r="L96" s="107">
        <v>30.5</v>
      </c>
      <c r="M96" s="24">
        <f t="shared" si="3"/>
        <v>51.6</v>
      </c>
      <c r="N96" s="69"/>
      <c r="O96" s="24">
        <f t="shared" si="4"/>
        <v>51.6</v>
      </c>
      <c r="P96" s="69"/>
      <c r="Q96" s="24">
        <f t="shared" si="17"/>
        <v>51.6</v>
      </c>
      <c r="R96" s="39">
        <v>12.5</v>
      </c>
      <c r="S96" s="24">
        <f t="shared" si="18"/>
        <v>64.099999999999994</v>
      </c>
      <c r="T96" s="69"/>
      <c r="U96" s="24">
        <f t="shared" si="19"/>
        <v>64.099999999999994</v>
      </c>
      <c r="V96" s="94">
        <v>-1.5</v>
      </c>
      <c r="W96" s="24">
        <f t="shared" si="20"/>
        <v>62.599999999999994</v>
      </c>
      <c r="X96" s="39">
        <f>-11.5+1.4</f>
        <v>-10.1</v>
      </c>
      <c r="Y96" s="24">
        <f t="shared" si="21"/>
        <v>52.499999999999993</v>
      </c>
      <c r="Z96" s="61">
        <v>1.4</v>
      </c>
      <c r="AA96" s="189">
        <f>Y96+Z96</f>
        <v>53.899999999999991</v>
      </c>
    </row>
    <row r="97" spans="1:27" ht="36.75" x14ac:dyDescent="0.25">
      <c r="A97" s="117" t="s">
        <v>1413</v>
      </c>
      <c r="B97" s="20" t="s">
        <v>19</v>
      </c>
      <c r="C97" s="20" t="s">
        <v>1414</v>
      </c>
      <c r="D97" s="21"/>
      <c r="E97" s="19"/>
      <c r="F97" s="63"/>
      <c r="G97" s="24"/>
      <c r="H97" s="69"/>
      <c r="I97" s="24"/>
      <c r="J97" s="63"/>
      <c r="K97" s="24"/>
      <c r="L97" s="107"/>
      <c r="M97" s="24"/>
      <c r="N97" s="69"/>
      <c r="O97" s="24"/>
      <c r="P97" s="69"/>
      <c r="Q97" s="24"/>
      <c r="R97" s="39"/>
      <c r="S97" s="24"/>
      <c r="T97" s="69"/>
      <c r="U97" s="24"/>
      <c r="V97" s="47">
        <f>V98</f>
        <v>56</v>
      </c>
      <c r="W97" s="24">
        <f t="shared" si="20"/>
        <v>56</v>
      </c>
      <c r="X97" s="47">
        <f>X98</f>
        <v>0</v>
      </c>
      <c r="Y97" s="24">
        <f t="shared" si="21"/>
        <v>56</v>
      </c>
    </row>
    <row r="98" spans="1:27" x14ac:dyDescent="0.25">
      <c r="A98" s="30" t="s">
        <v>66</v>
      </c>
      <c r="B98" s="21" t="s">
        <v>19</v>
      </c>
      <c r="C98" s="21" t="s">
        <v>1414</v>
      </c>
      <c r="D98" s="21" t="s">
        <v>42</v>
      </c>
      <c r="E98" s="19"/>
      <c r="F98" s="63"/>
      <c r="G98" s="24"/>
      <c r="H98" s="69"/>
      <c r="I98" s="24"/>
      <c r="J98" s="63"/>
      <c r="K98" s="24"/>
      <c r="L98" s="107"/>
      <c r="M98" s="24"/>
      <c r="N98" s="69"/>
      <c r="O98" s="24"/>
      <c r="P98" s="69"/>
      <c r="Q98" s="24"/>
      <c r="R98" s="39"/>
      <c r="S98" s="24"/>
      <c r="T98" s="69"/>
      <c r="U98" s="24"/>
      <c r="V98" s="39">
        <v>56</v>
      </c>
      <c r="W98" s="24">
        <f t="shared" si="20"/>
        <v>56</v>
      </c>
      <c r="X98" s="69"/>
      <c r="Y98" s="24">
        <f t="shared" si="21"/>
        <v>56</v>
      </c>
      <c r="AA98" s="189">
        <f>Y98+Z98</f>
        <v>56</v>
      </c>
    </row>
    <row r="99" spans="1:27" ht="36.75" x14ac:dyDescent="0.25">
      <c r="A99" s="16" t="s">
        <v>860</v>
      </c>
      <c r="B99" s="20" t="s">
        <v>19</v>
      </c>
      <c r="C99" s="20" t="s">
        <v>862</v>
      </c>
      <c r="D99" s="21"/>
      <c r="E99" s="19"/>
      <c r="F99" s="63"/>
      <c r="G99" s="24"/>
      <c r="H99" s="69"/>
      <c r="I99" s="24"/>
      <c r="J99" s="63"/>
      <c r="K99" s="24"/>
      <c r="L99" s="107"/>
      <c r="M99" s="24"/>
      <c r="N99" s="69"/>
      <c r="O99" s="24"/>
      <c r="P99" s="69"/>
      <c r="Q99" s="24"/>
      <c r="R99" s="39"/>
      <c r="S99" s="24"/>
      <c r="T99" s="47">
        <f>T100</f>
        <v>25.2</v>
      </c>
      <c r="U99" s="24">
        <f t="shared" si="19"/>
        <v>25.2</v>
      </c>
      <c r="V99" s="47">
        <f>V100</f>
        <v>0</v>
      </c>
      <c r="W99" s="24">
        <f t="shared" si="20"/>
        <v>25.2</v>
      </c>
      <c r="X99" s="47">
        <f>X100</f>
        <v>0</v>
      </c>
      <c r="Y99" s="24">
        <f t="shared" si="21"/>
        <v>25.2</v>
      </c>
    </row>
    <row r="100" spans="1:27" x14ac:dyDescent="0.25">
      <c r="A100" s="30" t="s">
        <v>567</v>
      </c>
      <c r="B100" s="21" t="s">
        <v>19</v>
      </c>
      <c r="C100" s="21" t="s">
        <v>862</v>
      </c>
      <c r="D100" s="21" t="s">
        <v>43</v>
      </c>
      <c r="E100" s="19"/>
      <c r="F100" s="63"/>
      <c r="G100" s="24"/>
      <c r="H100" s="69"/>
      <c r="I100" s="24"/>
      <c r="J100" s="63"/>
      <c r="K100" s="24"/>
      <c r="L100" s="107"/>
      <c r="M100" s="24"/>
      <c r="N100" s="69"/>
      <c r="O100" s="24"/>
      <c r="P100" s="69"/>
      <c r="Q100" s="24"/>
      <c r="R100" s="39"/>
      <c r="S100" s="24"/>
      <c r="T100" s="63">
        <v>25.2</v>
      </c>
      <c r="U100" s="24">
        <f t="shared" si="19"/>
        <v>25.2</v>
      </c>
      <c r="V100" s="69"/>
      <c r="W100" s="24">
        <f t="shared" si="20"/>
        <v>25.2</v>
      </c>
      <c r="X100" s="69"/>
      <c r="Y100" s="24">
        <f t="shared" si="21"/>
        <v>25.2</v>
      </c>
      <c r="AA100" s="189">
        <f>Y100+Z100</f>
        <v>25.2</v>
      </c>
    </row>
    <row r="101" spans="1:27" x14ac:dyDescent="0.25">
      <c r="A101" s="28" t="s">
        <v>49</v>
      </c>
      <c r="B101" s="20" t="s">
        <v>19</v>
      </c>
      <c r="C101" s="20" t="s">
        <v>607</v>
      </c>
      <c r="D101" s="20" t="s">
        <v>2</v>
      </c>
      <c r="E101" s="18">
        <f>E102</f>
        <v>51.9</v>
      </c>
      <c r="F101" s="18">
        <f>F102</f>
        <v>0</v>
      </c>
      <c r="G101" s="24">
        <f t="shared" si="0"/>
        <v>51.9</v>
      </c>
      <c r="H101" s="18">
        <f>H102</f>
        <v>0</v>
      </c>
      <c r="I101" s="24">
        <f t="shared" si="1"/>
        <v>51.9</v>
      </c>
      <c r="J101" s="18">
        <f>J102</f>
        <v>546</v>
      </c>
      <c r="K101" s="24">
        <f t="shared" si="2"/>
        <v>597.9</v>
      </c>
      <c r="L101" s="47">
        <f>L102</f>
        <v>230.3</v>
      </c>
      <c r="M101" s="24">
        <f t="shared" si="3"/>
        <v>828.2</v>
      </c>
      <c r="N101" s="47">
        <f>N102</f>
        <v>25</v>
      </c>
      <c r="O101" s="24">
        <f t="shared" si="4"/>
        <v>853.2</v>
      </c>
      <c r="P101" s="47">
        <f>P102</f>
        <v>0</v>
      </c>
      <c r="Q101" s="24">
        <f t="shared" si="17"/>
        <v>853.2</v>
      </c>
      <c r="R101" s="47">
        <f>R102</f>
        <v>1250</v>
      </c>
      <c r="S101" s="24">
        <f t="shared" si="18"/>
        <v>2103.1999999999998</v>
      </c>
      <c r="T101" s="47">
        <f>T102</f>
        <v>338.3</v>
      </c>
      <c r="U101" s="24">
        <f t="shared" si="19"/>
        <v>2441.5</v>
      </c>
      <c r="V101" s="47">
        <f>V102</f>
        <v>12.5</v>
      </c>
      <c r="W101" s="24">
        <f t="shared" si="20"/>
        <v>2454</v>
      </c>
      <c r="X101" s="47">
        <f>X102</f>
        <v>-67.099999999999994</v>
      </c>
      <c r="Y101" s="24">
        <f t="shared" si="21"/>
        <v>2386.9</v>
      </c>
    </row>
    <row r="102" spans="1:27" x14ac:dyDescent="0.25">
      <c r="A102" s="29" t="s">
        <v>578</v>
      </c>
      <c r="B102" s="21" t="s">
        <v>19</v>
      </c>
      <c r="C102" s="21" t="s">
        <v>607</v>
      </c>
      <c r="D102" s="21" t="s">
        <v>44</v>
      </c>
      <c r="E102" s="19">
        <v>51.9</v>
      </c>
      <c r="F102" s="19"/>
      <c r="G102" s="24">
        <f t="shared" si="0"/>
        <v>51.9</v>
      </c>
      <c r="H102" s="19"/>
      <c r="I102" s="24">
        <f t="shared" si="1"/>
        <v>51.9</v>
      </c>
      <c r="J102" s="63">
        <v>546</v>
      </c>
      <c r="K102" s="24">
        <f t="shared" si="2"/>
        <v>597.9</v>
      </c>
      <c r="L102" s="107">
        <v>230.3</v>
      </c>
      <c r="M102" s="24">
        <f t="shared" si="3"/>
        <v>828.2</v>
      </c>
      <c r="N102" s="63">
        <v>25</v>
      </c>
      <c r="O102" s="24">
        <f t="shared" si="4"/>
        <v>853.2</v>
      </c>
      <c r="P102" s="69"/>
      <c r="Q102" s="24">
        <f t="shared" si="17"/>
        <v>853.2</v>
      </c>
      <c r="R102" s="39">
        <f>508.2+741.8</f>
        <v>1250</v>
      </c>
      <c r="S102" s="24">
        <f t="shared" si="18"/>
        <v>2103.1999999999998</v>
      </c>
      <c r="T102" s="63">
        <v>338.3</v>
      </c>
      <c r="U102" s="24">
        <f t="shared" si="19"/>
        <v>2441.5</v>
      </c>
      <c r="V102" s="39">
        <f>40.6-0.5-11.6-16</f>
        <v>12.5</v>
      </c>
      <c r="W102" s="24">
        <f t="shared" si="20"/>
        <v>2454</v>
      </c>
      <c r="X102" s="39">
        <f>-46.8-34.2+13.9</f>
        <v>-67.099999999999994</v>
      </c>
      <c r="Y102" s="24">
        <f t="shared" si="21"/>
        <v>2386.9</v>
      </c>
      <c r="Z102" s="61">
        <v>13.9</v>
      </c>
      <c r="AA102" s="189">
        <f>Y102+Z102</f>
        <v>2400.8000000000002</v>
      </c>
    </row>
    <row r="103" spans="1:27" ht="24.75" x14ac:dyDescent="0.25">
      <c r="A103" s="28" t="s">
        <v>629</v>
      </c>
      <c r="B103" s="20" t="s">
        <v>19</v>
      </c>
      <c r="C103" s="20" t="s">
        <v>632</v>
      </c>
      <c r="D103" s="21"/>
      <c r="E103" s="18">
        <f>E104</f>
        <v>2504.1</v>
      </c>
      <c r="F103" s="18">
        <f>F104</f>
        <v>0</v>
      </c>
      <c r="G103" s="24">
        <f t="shared" si="0"/>
        <v>2504.1</v>
      </c>
      <c r="H103" s="18">
        <f>H104</f>
        <v>0</v>
      </c>
      <c r="I103" s="24">
        <f t="shared" si="1"/>
        <v>2504.1</v>
      </c>
      <c r="J103" s="18">
        <f>J104</f>
        <v>0</v>
      </c>
      <c r="K103" s="24">
        <f t="shared" si="2"/>
        <v>2504.1</v>
      </c>
      <c r="L103" s="18">
        <f>L104</f>
        <v>0</v>
      </c>
      <c r="M103" s="24">
        <f t="shared" si="3"/>
        <v>2504.1</v>
      </c>
      <c r="N103" s="18">
        <f>N104</f>
        <v>0</v>
      </c>
      <c r="O103" s="24">
        <f t="shared" si="4"/>
        <v>2504.1</v>
      </c>
      <c r="P103" s="18">
        <f>P104</f>
        <v>0</v>
      </c>
      <c r="Q103" s="24">
        <f t="shared" si="17"/>
        <v>2504.1</v>
      </c>
      <c r="R103" s="18">
        <f>R104</f>
        <v>0</v>
      </c>
      <c r="S103" s="24">
        <f t="shared" si="18"/>
        <v>2504.1</v>
      </c>
      <c r="T103" s="18">
        <f>T104</f>
        <v>0</v>
      </c>
      <c r="U103" s="24">
        <f t="shared" si="19"/>
        <v>2504.1</v>
      </c>
      <c r="V103" s="18">
        <f>V104</f>
        <v>3.5527136788005009E-15</v>
      </c>
      <c r="W103" s="24">
        <f t="shared" si="20"/>
        <v>2504.1</v>
      </c>
      <c r="X103" s="18">
        <f>X104</f>
        <v>49</v>
      </c>
      <c r="Y103" s="24">
        <f t="shared" si="21"/>
        <v>2553.1</v>
      </c>
    </row>
    <row r="104" spans="1:27" x14ac:dyDescent="0.25">
      <c r="A104" s="28" t="s">
        <v>630</v>
      </c>
      <c r="B104" s="20" t="s">
        <v>19</v>
      </c>
      <c r="C104" s="20" t="s">
        <v>631</v>
      </c>
      <c r="D104" s="21"/>
      <c r="E104" s="18">
        <f>E105+E106+E107+E108</f>
        <v>2504.1</v>
      </c>
      <c r="F104" s="18">
        <f>F105+F106+F107+F108</f>
        <v>0</v>
      </c>
      <c r="G104" s="24">
        <f t="shared" si="0"/>
        <v>2504.1</v>
      </c>
      <c r="H104" s="18">
        <f>H105+H106+H107+H108+H109</f>
        <v>0</v>
      </c>
      <c r="I104" s="24">
        <f t="shared" si="1"/>
        <v>2504.1</v>
      </c>
      <c r="J104" s="47">
        <f>J105+J106+J107+J108+J109</f>
        <v>0</v>
      </c>
      <c r="K104" s="24">
        <f t="shared" si="2"/>
        <v>2504.1</v>
      </c>
      <c r="L104" s="47">
        <f>L105+L106+L107+L108+L109</f>
        <v>0</v>
      </c>
      <c r="M104" s="24">
        <f t="shared" si="3"/>
        <v>2504.1</v>
      </c>
      <c r="N104" s="47">
        <f>N105+N106+N107+N108+N109</f>
        <v>0</v>
      </c>
      <c r="O104" s="24">
        <f t="shared" si="4"/>
        <v>2504.1</v>
      </c>
      <c r="P104" s="47">
        <f>P105+P106+P107+P108+P109</f>
        <v>0</v>
      </c>
      <c r="Q104" s="24">
        <f t="shared" si="17"/>
        <v>2504.1</v>
      </c>
      <c r="R104" s="47">
        <f>R105+R106+R107+R108+R109</f>
        <v>0</v>
      </c>
      <c r="S104" s="24">
        <f t="shared" si="18"/>
        <v>2504.1</v>
      </c>
      <c r="T104" s="47">
        <f>T105+T106+T107+T108+T109</f>
        <v>0</v>
      </c>
      <c r="U104" s="24">
        <f t="shared" si="19"/>
        <v>2504.1</v>
      </c>
      <c r="V104" s="47">
        <f>V105+V106+V107+V108+V109</f>
        <v>3.5527136788005009E-15</v>
      </c>
      <c r="W104" s="24">
        <f t="shared" si="20"/>
        <v>2504.1</v>
      </c>
      <c r="X104" s="47">
        <f>X105+X106+X107+X108+X109</f>
        <v>49</v>
      </c>
      <c r="Y104" s="24">
        <f t="shared" si="21"/>
        <v>2553.1</v>
      </c>
    </row>
    <row r="105" spans="1:27" x14ac:dyDescent="0.25">
      <c r="A105" s="29" t="s">
        <v>560</v>
      </c>
      <c r="B105" s="21" t="s">
        <v>19</v>
      </c>
      <c r="C105" s="21" t="s">
        <v>631</v>
      </c>
      <c r="D105" s="21" t="s">
        <v>12</v>
      </c>
      <c r="E105" s="19">
        <v>1839.6</v>
      </c>
      <c r="F105" s="19"/>
      <c r="G105" s="24">
        <f t="shared" si="0"/>
        <v>1839.6</v>
      </c>
      <c r="H105" s="43">
        <v>-20</v>
      </c>
      <c r="I105" s="24">
        <f t="shared" si="1"/>
        <v>1819.6</v>
      </c>
      <c r="J105" s="69"/>
      <c r="K105" s="24">
        <f t="shared" si="2"/>
        <v>1819.6</v>
      </c>
      <c r="L105" s="69"/>
      <c r="M105" s="24">
        <f t="shared" si="3"/>
        <v>1819.6</v>
      </c>
      <c r="N105" s="69"/>
      <c r="O105" s="24">
        <f t="shared" si="4"/>
        <v>1819.6</v>
      </c>
      <c r="P105" s="69"/>
      <c r="Q105" s="24">
        <f t="shared" si="17"/>
        <v>1819.6</v>
      </c>
      <c r="R105" s="69"/>
      <c r="S105" s="24">
        <f t="shared" si="18"/>
        <v>1819.6</v>
      </c>
      <c r="T105" s="69"/>
      <c r="U105" s="24">
        <f t="shared" si="19"/>
        <v>1819.6</v>
      </c>
      <c r="V105" s="125">
        <v>41.2</v>
      </c>
      <c r="W105" s="24">
        <f t="shared" si="20"/>
        <v>1860.8</v>
      </c>
      <c r="X105" s="43">
        <f>49+19.4</f>
        <v>68.400000000000006</v>
      </c>
      <c r="Y105" s="24">
        <f t="shared" si="21"/>
        <v>1929.2</v>
      </c>
      <c r="AA105" s="189">
        <f t="shared" ref="AA105:AA109" si="27">Y105+Z105</f>
        <v>1929.2</v>
      </c>
    </row>
    <row r="106" spans="1:27" ht="27.75" customHeight="1" x14ac:dyDescent="0.25">
      <c r="A106" s="29" t="s">
        <v>561</v>
      </c>
      <c r="B106" s="21" t="s">
        <v>19</v>
      </c>
      <c r="C106" s="21" t="s">
        <v>631</v>
      </c>
      <c r="D106" s="21" t="s">
        <v>13</v>
      </c>
      <c r="E106" s="19">
        <v>555.5</v>
      </c>
      <c r="F106" s="19"/>
      <c r="G106" s="24">
        <f t="shared" si="0"/>
        <v>555.5</v>
      </c>
      <c r="H106" s="19"/>
      <c r="I106" s="24">
        <f t="shared" si="1"/>
        <v>555.5</v>
      </c>
      <c r="J106" s="69"/>
      <c r="K106" s="24">
        <f t="shared" si="2"/>
        <v>555.5</v>
      </c>
      <c r="L106" s="69"/>
      <c r="M106" s="24">
        <f t="shared" si="3"/>
        <v>555.5</v>
      </c>
      <c r="N106" s="69"/>
      <c r="O106" s="24">
        <f t="shared" si="4"/>
        <v>555.5</v>
      </c>
      <c r="P106" s="69"/>
      <c r="Q106" s="24">
        <f t="shared" si="17"/>
        <v>555.5</v>
      </c>
      <c r="R106" s="69"/>
      <c r="S106" s="24">
        <f t="shared" si="18"/>
        <v>555.5</v>
      </c>
      <c r="T106" s="69"/>
      <c r="U106" s="24">
        <f t="shared" si="19"/>
        <v>555.5</v>
      </c>
      <c r="V106" s="125">
        <v>17.899999999999999</v>
      </c>
      <c r="W106" s="24">
        <f t="shared" si="20"/>
        <v>573.4</v>
      </c>
      <c r="X106" s="43">
        <v>-12.7</v>
      </c>
      <c r="Y106" s="24">
        <f t="shared" si="21"/>
        <v>560.69999999999993</v>
      </c>
      <c r="AA106" s="189">
        <f t="shared" si="27"/>
        <v>560.69999999999993</v>
      </c>
    </row>
    <row r="107" spans="1:27" ht="24.75" hidden="1" x14ac:dyDescent="0.25">
      <c r="A107" s="29" t="s">
        <v>562</v>
      </c>
      <c r="B107" s="21" t="s">
        <v>19</v>
      </c>
      <c r="C107" s="21" t="s">
        <v>631</v>
      </c>
      <c r="D107" s="21" t="s">
        <v>40</v>
      </c>
      <c r="E107" s="19">
        <v>29.4</v>
      </c>
      <c r="F107" s="19"/>
      <c r="G107" s="24">
        <f t="shared" si="0"/>
        <v>29.4</v>
      </c>
      <c r="H107" s="19"/>
      <c r="I107" s="24">
        <f t="shared" si="1"/>
        <v>29.4</v>
      </c>
      <c r="J107" s="69"/>
      <c r="K107" s="24">
        <f t="shared" si="2"/>
        <v>29.4</v>
      </c>
      <c r="L107" s="69"/>
      <c r="M107" s="24">
        <f t="shared" si="3"/>
        <v>29.4</v>
      </c>
      <c r="N107" s="69"/>
      <c r="O107" s="24">
        <f t="shared" si="4"/>
        <v>29.4</v>
      </c>
      <c r="P107" s="69"/>
      <c r="Q107" s="24">
        <f t="shared" si="17"/>
        <v>29.4</v>
      </c>
      <c r="R107" s="69"/>
      <c r="S107" s="24">
        <f t="shared" si="18"/>
        <v>29.4</v>
      </c>
      <c r="T107" s="69"/>
      <c r="U107" s="24">
        <f t="shared" si="19"/>
        <v>29.4</v>
      </c>
      <c r="V107" s="125">
        <v>-29.4</v>
      </c>
      <c r="W107" s="24">
        <f t="shared" si="20"/>
        <v>0</v>
      </c>
      <c r="X107" s="69"/>
      <c r="Y107" s="24">
        <f t="shared" si="21"/>
        <v>0</v>
      </c>
      <c r="AA107" s="189">
        <f t="shared" si="27"/>
        <v>0</v>
      </c>
    </row>
    <row r="108" spans="1:27" hidden="1" x14ac:dyDescent="0.25">
      <c r="A108" s="29" t="s">
        <v>66</v>
      </c>
      <c r="B108" s="21" t="s">
        <v>19</v>
      </c>
      <c r="C108" s="21" t="s">
        <v>631</v>
      </c>
      <c r="D108" s="21" t="s">
        <v>42</v>
      </c>
      <c r="E108" s="19">
        <v>79.599999999999994</v>
      </c>
      <c r="F108" s="19"/>
      <c r="G108" s="24">
        <f t="shared" si="0"/>
        <v>79.599999999999994</v>
      </c>
      <c r="H108" s="19"/>
      <c r="I108" s="24">
        <f t="shared" si="1"/>
        <v>79.599999999999994</v>
      </c>
      <c r="J108" s="69"/>
      <c r="K108" s="24">
        <f t="shared" si="2"/>
        <v>79.599999999999994</v>
      </c>
      <c r="L108" s="69"/>
      <c r="M108" s="24">
        <f t="shared" si="3"/>
        <v>79.599999999999994</v>
      </c>
      <c r="N108" s="69"/>
      <c r="O108" s="24">
        <f t="shared" si="4"/>
        <v>79.599999999999994</v>
      </c>
      <c r="P108" s="69"/>
      <c r="Q108" s="24">
        <f t="shared" si="17"/>
        <v>79.599999999999994</v>
      </c>
      <c r="R108" s="69"/>
      <c r="S108" s="24">
        <f t="shared" si="18"/>
        <v>79.599999999999994</v>
      </c>
      <c r="T108" s="69"/>
      <c r="U108" s="24">
        <f t="shared" si="19"/>
        <v>79.599999999999994</v>
      </c>
      <c r="V108" s="125">
        <v>-29.7</v>
      </c>
      <c r="W108" s="24">
        <f t="shared" si="20"/>
        <v>49.899999999999991</v>
      </c>
      <c r="X108" s="43">
        <v>-49.9</v>
      </c>
      <c r="Y108" s="24">
        <f t="shared" si="21"/>
        <v>0</v>
      </c>
      <c r="AA108" s="189">
        <f t="shared" si="27"/>
        <v>0</v>
      </c>
    </row>
    <row r="109" spans="1:27" x14ac:dyDescent="0.25">
      <c r="A109" s="29" t="s">
        <v>567</v>
      </c>
      <c r="B109" s="21" t="s">
        <v>19</v>
      </c>
      <c r="C109" s="21" t="s">
        <v>631</v>
      </c>
      <c r="D109" s="21" t="s">
        <v>43</v>
      </c>
      <c r="E109" s="19"/>
      <c r="F109" s="19"/>
      <c r="G109" s="24"/>
      <c r="H109" s="43">
        <v>20</v>
      </c>
      <c r="I109" s="24">
        <f t="shared" si="1"/>
        <v>20</v>
      </c>
      <c r="J109" s="69"/>
      <c r="K109" s="24">
        <f t="shared" si="2"/>
        <v>20</v>
      </c>
      <c r="L109" s="69"/>
      <c r="M109" s="24">
        <f t="shared" si="3"/>
        <v>20</v>
      </c>
      <c r="N109" s="69"/>
      <c r="O109" s="24">
        <f t="shared" si="4"/>
        <v>20</v>
      </c>
      <c r="P109" s="69"/>
      <c r="Q109" s="24">
        <f t="shared" si="17"/>
        <v>20</v>
      </c>
      <c r="R109" s="69"/>
      <c r="S109" s="24">
        <f t="shared" si="18"/>
        <v>20</v>
      </c>
      <c r="T109" s="69"/>
      <c r="U109" s="24">
        <f t="shared" si="19"/>
        <v>20</v>
      </c>
      <c r="V109" s="69"/>
      <c r="W109" s="24">
        <f t="shared" si="20"/>
        <v>20</v>
      </c>
      <c r="X109" s="43">
        <f>49.9-6.7</f>
        <v>43.199999999999996</v>
      </c>
      <c r="Y109" s="24">
        <f t="shared" si="21"/>
        <v>63.199999999999996</v>
      </c>
      <c r="AA109" s="189">
        <f t="shared" si="27"/>
        <v>63.199999999999996</v>
      </c>
    </row>
    <row r="110" spans="1:27" s="6" customFormat="1" x14ac:dyDescent="0.25">
      <c r="A110" s="22" t="s">
        <v>54</v>
      </c>
      <c r="B110" s="23" t="s">
        <v>55</v>
      </c>
      <c r="C110" s="23" t="s">
        <v>2</v>
      </c>
      <c r="D110" s="23" t="s">
        <v>2</v>
      </c>
      <c r="E110" s="24">
        <f t="shared" ref="E110:X112" si="28">E111</f>
        <v>240</v>
      </c>
      <c r="F110" s="24">
        <f t="shared" si="28"/>
        <v>0</v>
      </c>
      <c r="G110" s="24">
        <f t="shared" si="0"/>
        <v>240</v>
      </c>
      <c r="H110" s="24">
        <f t="shared" si="28"/>
        <v>0</v>
      </c>
      <c r="I110" s="24">
        <f t="shared" si="1"/>
        <v>240</v>
      </c>
      <c r="J110" s="47">
        <f t="shared" si="28"/>
        <v>0</v>
      </c>
      <c r="K110" s="24">
        <f t="shared" si="2"/>
        <v>240</v>
      </c>
      <c r="L110" s="47">
        <f t="shared" si="28"/>
        <v>0</v>
      </c>
      <c r="M110" s="24">
        <f t="shared" si="3"/>
        <v>240</v>
      </c>
      <c r="N110" s="47">
        <f t="shared" si="28"/>
        <v>0</v>
      </c>
      <c r="O110" s="24">
        <f t="shared" si="4"/>
        <v>240</v>
      </c>
      <c r="P110" s="47">
        <f t="shared" si="28"/>
        <v>0</v>
      </c>
      <c r="Q110" s="24">
        <f t="shared" si="17"/>
        <v>240</v>
      </c>
      <c r="R110" s="47">
        <f t="shared" si="28"/>
        <v>0</v>
      </c>
      <c r="S110" s="24">
        <f t="shared" si="18"/>
        <v>240</v>
      </c>
      <c r="T110" s="47">
        <f t="shared" si="28"/>
        <v>0</v>
      </c>
      <c r="U110" s="24">
        <f t="shared" si="19"/>
        <v>240</v>
      </c>
      <c r="V110" s="47">
        <f t="shared" si="28"/>
        <v>0</v>
      </c>
      <c r="W110" s="24">
        <f t="shared" si="20"/>
        <v>240</v>
      </c>
      <c r="X110" s="47">
        <f t="shared" si="28"/>
        <v>0</v>
      </c>
      <c r="Y110" s="24">
        <f t="shared" si="21"/>
        <v>240</v>
      </c>
      <c r="Z110" s="189"/>
    </row>
    <row r="111" spans="1:27" s="6" customFormat="1" x14ac:dyDescent="0.25">
      <c r="A111" s="22" t="s">
        <v>8</v>
      </c>
      <c r="B111" s="23" t="s">
        <v>55</v>
      </c>
      <c r="C111" s="23" t="s">
        <v>9</v>
      </c>
      <c r="D111" s="23" t="s">
        <v>2</v>
      </c>
      <c r="E111" s="24">
        <f t="shared" si="28"/>
        <v>240</v>
      </c>
      <c r="F111" s="24">
        <f t="shared" si="28"/>
        <v>0</v>
      </c>
      <c r="G111" s="24">
        <f t="shared" si="0"/>
        <v>240</v>
      </c>
      <c r="H111" s="24">
        <f t="shared" si="28"/>
        <v>0</v>
      </c>
      <c r="I111" s="24">
        <f t="shared" si="1"/>
        <v>240</v>
      </c>
      <c r="J111" s="24">
        <f t="shared" si="28"/>
        <v>0</v>
      </c>
      <c r="K111" s="24">
        <f t="shared" si="2"/>
        <v>240</v>
      </c>
      <c r="L111" s="24">
        <f t="shared" si="28"/>
        <v>0</v>
      </c>
      <c r="M111" s="24">
        <f t="shared" si="3"/>
        <v>240</v>
      </c>
      <c r="N111" s="24">
        <f t="shared" si="28"/>
        <v>0</v>
      </c>
      <c r="O111" s="24">
        <f t="shared" si="4"/>
        <v>240</v>
      </c>
      <c r="P111" s="24">
        <f t="shared" si="28"/>
        <v>0</v>
      </c>
      <c r="Q111" s="24">
        <f t="shared" si="17"/>
        <v>240</v>
      </c>
      <c r="R111" s="24">
        <f t="shared" si="28"/>
        <v>0</v>
      </c>
      <c r="S111" s="24">
        <f t="shared" si="18"/>
        <v>240</v>
      </c>
      <c r="T111" s="24">
        <f t="shared" si="28"/>
        <v>0</v>
      </c>
      <c r="U111" s="24">
        <f t="shared" si="19"/>
        <v>240</v>
      </c>
      <c r="V111" s="24">
        <f t="shared" si="28"/>
        <v>0</v>
      </c>
      <c r="W111" s="24">
        <f t="shared" si="20"/>
        <v>240</v>
      </c>
      <c r="X111" s="24">
        <f t="shared" si="28"/>
        <v>0</v>
      </c>
      <c r="Y111" s="24">
        <f t="shared" si="21"/>
        <v>240</v>
      </c>
      <c r="Z111" s="189"/>
    </row>
    <row r="112" spans="1:27" s="6" customFormat="1" ht="36.75" x14ac:dyDescent="0.25">
      <c r="A112" s="22" t="s">
        <v>56</v>
      </c>
      <c r="B112" s="23" t="s">
        <v>55</v>
      </c>
      <c r="C112" s="23" t="s">
        <v>57</v>
      </c>
      <c r="D112" s="23" t="s">
        <v>2</v>
      </c>
      <c r="E112" s="24">
        <f t="shared" si="28"/>
        <v>240</v>
      </c>
      <c r="F112" s="24">
        <f t="shared" si="28"/>
        <v>0</v>
      </c>
      <c r="G112" s="24">
        <f t="shared" si="0"/>
        <v>240</v>
      </c>
      <c r="H112" s="24">
        <f t="shared" si="28"/>
        <v>0</v>
      </c>
      <c r="I112" s="24">
        <f t="shared" si="1"/>
        <v>240</v>
      </c>
      <c r="J112" s="24">
        <f t="shared" si="28"/>
        <v>0</v>
      </c>
      <c r="K112" s="24">
        <f t="shared" si="2"/>
        <v>240</v>
      </c>
      <c r="L112" s="24">
        <f t="shared" si="28"/>
        <v>0</v>
      </c>
      <c r="M112" s="24">
        <f t="shared" si="3"/>
        <v>240</v>
      </c>
      <c r="N112" s="24">
        <f t="shared" si="28"/>
        <v>0</v>
      </c>
      <c r="O112" s="24">
        <f t="shared" si="4"/>
        <v>240</v>
      </c>
      <c r="P112" s="24">
        <f t="shared" si="28"/>
        <v>0</v>
      </c>
      <c r="Q112" s="24">
        <f t="shared" si="17"/>
        <v>240</v>
      </c>
      <c r="R112" s="24">
        <f t="shared" si="28"/>
        <v>0</v>
      </c>
      <c r="S112" s="24">
        <f t="shared" si="18"/>
        <v>240</v>
      </c>
      <c r="T112" s="24">
        <f t="shared" si="28"/>
        <v>0</v>
      </c>
      <c r="U112" s="24">
        <f t="shared" si="19"/>
        <v>240</v>
      </c>
      <c r="V112" s="24">
        <f t="shared" si="28"/>
        <v>0</v>
      </c>
      <c r="W112" s="24">
        <f t="shared" si="20"/>
        <v>240</v>
      </c>
      <c r="X112" s="24">
        <f t="shared" si="28"/>
        <v>0</v>
      </c>
      <c r="Y112" s="24">
        <f t="shared" si="21"/>
        <v>240</v>
      </c>
      <c r="Z112" s="189"/>
    </row>
    <row r="113" spans="1:27" x14ac:dyDescent="0.25">
      <c r="A113" s="25" t="s">
        <v>66</v>
      </c>
      <c r="B113" s="26" t="s">
        <v>55</v>
      </c>
      <c r="C113" s="26" t="s">
        <v>57</v>
      </c>
      <c r="D113" s="26" t="s">
        <v>42</v>
      </c>
      <c r="E113" s="27">
        <v>240</v>
      </c>
      <c r="F113" s="27"/>
      <c r="G113" s="24">
        <f t="shared" si="0"/>
        <v>240</v>
      </c>
      <c r="H113" s="27"/>
      <c r="I113" s="24">
        <f t="shared" si="1"/>
        <v>240</v>
      </c>
      <c r="J113" s="27"/>
      <c r="K113" s="24">
        <f t="shared" si="2"/>
        <v>240</v>
      </c>
      <c r="L113" s="27"/>
      <c r="M113" s="24">
        <f t="shared" si="3"/>
        <v>240</v>
      </c>
      <c r="N113" s="27"/>
      <c r="O113" s="24">
        <f t="shared" si="4"/>
        <v>240</v>
      </c>
      <c r="P113" s="27"/>
      <c r="Q113" s="24">
        <f t="shared" si="17"/>
        <v>240</v>
      </c>
      <c r="R113" s="27"/>
      <c r="S113" s="24">
        <f t="shared" si="18"/>
        <v>240</v>
      </c>
      <c r="T113" s="69"/>
      <c r="U113" s="24">
        <f t="shared" si="19"/>
        <v>240</v>
      </c>
      <c r="V113" s="69"/>
      <c r="W113" s="24">
        <f t="shared" si="20"/>
        <v>240</v>
      </c>
      <c r="X113" s="69"/>
      <c r="Y113" s="24">
        <f t="shared" si="21"/>
        <v>240</v>
      </c>
      <c r="AA113" s="189">
        <f>Y113+Z113</f>
        <v>240</v>
      </c>
    </row>
    <row r="114" spans="1:27" s="6" customFormat="1" ht="24.75" x14ac:dyDescent="0.25">
      <c r="A114" s="22" t="s">
        <v>58</v>
      </c>
      <c r="B114" s="23" t="s">
        <v>59</v>
      </c>
      <c r="C114" s="23" t="s">
        <v>2</v>
      </c>
      <c r="D114" s="23" t="s">
        <v>2</v>
      </c>
      <c r="E114" s="24">
        <f>E115+E130</f>
        <v>13107.4</v>
      </c>
      <c r="F114" s="24">
        <f>F115+F130</f>
        <v>52.4</v>
      </c>
      <c r="G114" s="24">
        <f t="shared" si="0"/>
        <v>13159.8</v>
      </c>
      <c r="H114" s="24">
        <f>H115+H130</f>
        <v>0</v>
      </c>
      <c r="I114" s="24">
        <f t="shared" si="1"/>
        <v>13159.8</v>
      </c>
      <c r="J114" s="24">
        <f>J115+J130</f>
        <v>0</v>
      </c>
      <c r="K114" s="24">
        <f t="shared" si="2"/>
        <v>13159.8</v>
      </c>
      <c r="L114" s="24">
        <f>L115+L130</f>
        <v>1063.5999999999999</v>
      </c>
      <c r="M114" s="24">
        <f t="shared" si="3"/>
        <v>14223.4</v>
      </c>
      <c r="N114" s="24">
        <f>N115+N130</f>
        <v>0</v>
      </c>
      <c r="O114" s="24">
        <f t="shared" si="4"/>
        <v>14223.4</v>
      </c>
      <c r="P114" s="24">
        <f>P115+P130</f>
        <v>-1000</v>
      </c>
      <c r="Q114" s="24">
        <f t="shared" si="17"/>
        <v>13223.4</v>
      </c>
      <c r="R114" s="24">
        <f>R115+R130</f>
        <v>1107.8999999999999</v>
      </c>
      <c r="S114" s="24">
        <f t="shared" si="18"/>
        <v>14331.3</v>
      </c>
      <c r="T114" s="24">
        <f>T115+T130</f>
        <v>-934</v>
      </c>
      <c r="U114" s="24">
        <f t="shared" si="19"/>
        <v>13397.3</v>
      </c>
      <c r="V114" s="24">
        <f>V115+V130</f>
        <v>-776.19999999999993</v>
      </c>
      <c r="W114" s="24">
        <f t="shared" si="20"/>
        <v>12621.099999999999</v>
      </c>
      <c r="X114" s="24">
        <f>X115+X130</f>
        <v>342.1</v>
      </c>
      <c r="Y114" s="24">
        <f t="shared" si="21"/>
        <v>12963.199999999999</v>
      </c>
      <c r="Z114" s="189"/>
    </row>
    <row r="115" spans="1:27" s="6" customFormat="1" ht="24.75" x14ac:dyDescent="0.25">
      <c r="A115" s="22" t="s">
        <v>621</v>
      </c>
      <c r="B115" s="23" t="s">
        <v>59</v>
      </c>
      <c r="C115" s="23" t="s">
        <v>60</v>
      </c>
      <c r="D115" s="23" t="s">
        <v>2</v>
      </c>
      <c r="E115" s="24">
        <f>E116</f>
        <v>10116</v>
      </c>
      <c r="F115" s="24">
        <f>F116</f>
        <v>52.4</v>
      </c>
      <c r="G115" s="24">
        <f t="shared" si="0"/>
        <v>10168.4</v>
      </c>
      <c r="H115" s="24">
        <f>H116</f>
        <v>0</v>
      </c>
      <c r="I115" s="24">
        <f t="shared" si="1"/>
        <v>10168.4</v>
      </c>
      <c r="J115" s="24">
        <f>J116</f>
        <v>0</v>
      </c>
      <c r="K115" s="24">
        <f t="shared" si="2"/>
        <v>10168.4</v>
      </c>
      <c r="L115" s="24">
        <f>L116</f>
        <v>1063.5999999999999</v>
      </c>
      <c r="M115" s="24">
        <f t="shared" si="3"/>
        <v>11232</v>
      </c>
      <c r="N115" s="24">
        <f>N116</f>
        <v>0</v>
      </c>
      <c r="O115" s="24">
        <f t="shared" si="4"/>
        <v>11232</v>
      </c>
      <c r="P115" s="24">
        <f>P116</f>
        <v>-1000</v>
      </c>
      <c r="Q115" s="24">
        <f t="shared" si="17"/>
        <v>10232</v>
      </c>
      <c r="R115" s="24">
        <f>R116</f>
        <v>1107.8999999999999</v>
      </c>
      <c r="S115" s="24">
        <f t="shared" si="18"/>
        <v>11339.9</v>
      </c>
      <c r="T115" s="24">
        <f>T116</f>
        <v>-1000</v>
      </c>
      <c r="U115" s="24">
        <f t="shared" si="19"/>
        <v>10339.9</v>
      </c>
      <c r="V115" s="24">
        <f>V116</f>
        <v>-924.8</v>
      </c>
      <c r="W115" s="24">
        <f t="shared" si="20"/>
        <v>9415.1</v>
      </c>
      <c r="X115" s="24">
        <f>X116</f>
        <v>300</v>
      </c>
      <c r="Y115" s="24">
        <f t="shared" si="21"/>
        <v>9715.1</v>
      </c>
      <c r="Z115" s="189"/>
    </row>
    <row r="116" spans="1:27" s="6" customFormat="1" ht="18.75" customHeight="1" x14ac:dyDescent="0.25">
      <c r="A116" s="22" t="s">
        <v>61</v>
      </c>
      <c r="B116" s="23" t="s">
        <v>59</v>
      </c>
      <c r="C116" s="23" t="s">
        <v>62</v>
      </c>
      <c r="D116" s="23" t="s">
        <v>2</v>
      </c>
      <c r="E116" s="24">
        <f>E120</f>
        <v>10116</v>
      </c>
      <c r="F116" s="24">
        <f>F120</f>
        <v>52.4</v>
      </c>
      <c r="G116" s="24">
        <f t="shared" si="0"/>
        <v>10168.4</v>
      </c>
      <c r="H116" s="24">
        <f>H120</f>
        <v>0</v>
      </c>
      <c r="I116" s="24">
        <f t="shared" si="1"/>
        <v>10168.4</v>
      </c>
      <c r="J116" s="24">
        <f>J120</f>
        <v>0</v>
      </c>
      <c r="K116" s="24">
        <f t="shared" si="2"/>
        <v>10168.4</v>
      </c>
      <c r="L116" s="24">
        <f>L120</f>
        <v>1063.5999999999999</v>
      </c>
      <c r="M116" s="24">
        <f t="shared" si="3"/>
        <v>11232</v>
      </c>
      <c r="N116" s="24">
        <f>N120</f>
        <v>0</v>
      </c>
      <c r="O116" s="24">
        <f t="shared" si="4"/>
        <v>11232</v>
      </c>
      <c r="P116" s="24">
        <f>P120</f>
        <v>-1000</v>
      </c>
      <c r="Q116" s="24">
        <f t="shared" si="17"/>
        <v>10232</v>
      </c>
      <c r="R116" s="24">
        <f>R120+R117</f>
        <v>1107.8999999999999</v>
      </c>
      <c r="S116" s="24">
        <f t="shared" si="18"/>
        <v>11339.9</v>
      </c>
      <c r="T116" s="24">
        <f>T120+T117</f>
        <v>-1000</v>
      </c>
      <c r="U116" s="24">
        <f t="shared" si="19"/>
        <v>10339.9</v>
      </c>
      <c r="V116" s="24">
        <f>V120+V117+V127</f>
        <v>-924.8</v>
      </c>
      <c r="W116" s="24">
        <f t="shared" si="20"/>
        <v>9415.1</v>
      </c>
      <c r="X116" s="24">
        <f>X120+X117+X127</f>
        <v>300</v>
      </c>
      <c r="Y116" s="24">
        <f t="shared" si="21"/>
        <v>9715.1</v>
      </c>
      <c r="Z116" s="189"/>
    </row>
    <row r="117" spans="1:27" s="6" customFormat="1" ht="18.75" customHeight="1" x14ac:dyDescent="0.25">
      <c r="A117" s="16" t="s">
        <v>769</v>
      </c>
      <c r="B117" s="20" t="s">
        <v>59</v>
      </c>
      <c r="C117" s="20" t="s">
        <v>1249</v>
      </c>
      <c r="D117" s="20"/>
      <c r="E117" s="24"/>
      <c r="F117" s="24"/>
      <c r="G117" s="24"/>
      <c r="H117" s="24"/>
      <c r="I117" s="24"/>
      <c r="J117" s="24"/>
      <c r="K117" s="24"/>
      <c r="L117" s="24"/>
      <c r="M117" s="24"/>
      <c r="N117" s="24"/>
      <c r="O117" s="24"/>
      <c r="P117" s="24"/>
      <c r="Q117" s="24"/>
      <c r="R117" s="18">
        <f>R118+R119</f>
        <v>155.6</v>
      </c>
      <c r="S117" s="24">
        <f>Q117+R117</f>
        <v>155.6</v>
      </c>
      <c r="T117" s="18">
        <f>T118+T119</f>
        <v>0</v>
      </c>
      <c r="U117" s="24">
        <f>S117+T117</f>
        <v>155.6</v>
      </c>
      <c r="V117" s="18">
        <f>V118+V119</f>
        <v>0</v>
      </c>
      <c r="W117" s="24">
        <f>U117+V117</f>
        <v>155.6</v>
      </c>
      <c r="X117" s="18">
        <f>X118+X119</f>
        <v>0</v>
      </c>
      <c r="Y117" s="24">
        <f>W117+X117</f>
        <v>155.6</v>
      </c>
      <c r="Z117" s="189"/>
    </row>
    <row r="118" spans="1:27" s="6" customFormat="1" ht="18.75" customHeight="1" x14ac:dyDescent="0.25">
      <c r="A118" s="17" t="s">
        <v>560</v>
      </c>
      <c r="B118" s="21" t="s">
        <v>59</v>
      </c>
      <c r="C118" s="21" t="s">
        <v>1249</v>
      </c>
      <c r="D118" s="21" t="s">
        <v>12</v>
      </c>
      <c r="E118" s="24"/>
      <c r="F118" s="24"/>
      <c r="G118" s="24"/>
      <c r="H118" s="24"/>
      <c r="I118" s="24"/>
      <c r="J118" s="24"/>
      <c r="K118" s="24"/>
      <c r="L118" s="24"/>
      <c r="M118" s="24"/>
      <c r="N118" s="24"/>
      <c r="O118" s="24"/>
      <c r="P118" s="24"/>
      <c r="Q118" s="24"/>
      <c r="R118" s="43">
        <v>119.5</v>
      </c>
      <c r="S118" s="24">
        <f>Q118+R118</f>
        <v>119.5</v>
      </c>
      <c r="T118" s="69"/>
      <c r="U118" s="24">
        <f>S118+T118</f>
        <v>119.5</v>
      </c>
      <c r="V118" s="69"/>
      <c r="W118" s="24">
        <f>U118+V118</f>
        <v>119.5</v>
      </c>
      <c r="X118" s="69"/>
      <c r="Y118" s="24">
        <f>W118+X118</f>
        <v>119.5</v>
      </c>
      <c r="Z118" s="189"/>
      <c r="AA118" s="189">
        <f t="shared" ref="AA118:AA119" si="29">Y118+Z118</f>
        <v>119.5</v>
      </c>
    </row>
    <row r="119" spans="1:27" s="6" customFormat="1" ht="18.75" customHeight="1" x14ac:dyDescent="0.25">
      <c r="A119" s="17" t="s">
        <v>561</v>
      </c>
      <c r="B119" s="21" t="s">
        <v>59</v>
      </c>
      <c r="C119" s="21" t="s">
        <v>1249</v>
      </c>
      <c r="D119" s="21" t="s">
        <v>13</v>
      </c>
      <c r="E119" s="24"/>
      <c r="F119" s="24"/>
      <c r="G119" s="24"/>
      <c r="H119" s="24"/>
      <c r="I119" s="24"/>
      <c r="J119" s="24"/>
      <c r="K119" s="24"/>
      <c r="L119" s="24"/>
      <c r="M119" s="24"/>
      <c r="N119" s="24"/>
      <c r="O119" s="24"/>
      <c r="P119" s="24"/>
      <c r="Q119" s="24"/>
      <c r="R119" s="43">
        <v>36.1</v>
      </c>
      <c r="S119" s="24">
        <f>Q119+R119</f>
        <v>36.1</v>
      </c>
      <c r="T119" s="69"/>
      <c r="U119" s="24">
        <f>S119+T119</f>
        <v>36.1</v>
      </c>
      <c r="V119" s="69"/>
      <c r="W119" s="24">
        <f>U119+V119</f>
        <v>36.1</v>
      </c>
      <c r="X119" s="69"/>
      <c r="Y119" s="24">
        <f>W119+X119</f>
        <v>36.1</v>
      </c>
      <c r="Z119" s="189"/>
      <c r="AA119" s="189">
        <f t="shared" si="29"/>
        <v>36.1</v>
      </c>
    </row>
    <row r="120" spans="1:27" s="6" customFormat="1" x14ac:dyDescent="0.25">
      <c r="A120" s="22" t="s">
        <v>52</v>
      </c>
      <c r="B120" s="23" t="s">
        <v>59</v>
      </c>
      <c r="C120" s="23" t="s">
        <v>63</v>
      </c>
      <c r="D120" s="23" t="s">
        <v>2</v>
      </c>
      <c r="E120" s="24">
        <f>E121+E122+E123+E124</f>
        <v>10116</v>
      </c>
      <c r="F120" s="24">
        <f>F121+F122+F123+F124+F125</f>
        <v>52.4</v>
      </c>
      <c r="G120" s="24">
        <f t="shared" si="0"/>
        <v>10168.4</v>
      </c>
      <c r="H120" s="24">
        <f>H121+H122+H123+H124+H125</f>
        <v>0</v>
      </c>
      <c r="I120" s="24">
        <f t="shared" si="1"/>
        <v>10168.4</v>
      </c>
      <c r="J120" s="24">
        <f>J121+J122+J123+J124+J125</f>
        <v>0</v>
      </c>
      <c r="K120" s="24">
        <f t="shared" si="2"/>
        <v>10168.4</v>
      </c>
      <c r="L120" s="24">
        <f>L121+L122+L123+L124+L125+L126</f>
        <v>1063.5999999999999</v>
      </c>
      <c r="M120" s="24">
        <f t="shared" si="3"/>
        <v>11232</v>
      </c>
      <c r="N120" s="24">
        <f>N121+N122+N123+N124+N125+N126</f>
        <v>0</v>
      </c>
      <c r="O120" s="24">
        <f t="shared" si="4"/>
        <v>11232</v>
      </c>
      <c r="P120" s="24">
        <f>P121+P122+P123+P124+P125+P126</f>
        <v>-1000</v>
      </c>
      <c r="Q120" s="24">
        <f t="shared" si="17"/>
        <v>10232</v>
      </c>
      <c r="R120" s="24">
        <f>R121+R122+R123+R124+R125+R126</f>
        <v>952.3</v>
      </c>
      <c r="S120" s="24">
        <f t="shared" si="18"/>
        <v>11184.3</v>
      </c>
      <c r="T120" s="24">
        <f>T121+T122+T123+T124+T125+T126</f>
        <v>-1000</v>
      </c>
      <c r="U120" s="24">
        <f t="shared" ref="U120:U236" si="30">S120+T120</f>
        <v>10184.299999999999</v>
      </c>
      <c r="V120" s="24">
        <f>V121+V122+V123+V124+V125+V126</f>
        <v>-1017</v>
      </c>
      <c r="W120" s="24">
        <f t="shared" ref="W120:W236" si="31">U120+V120</f>
        <v>9167.2999999999993</v>
      </c>
      <c r="X120" s="24">
        <f>X121+X122+X123+X124+X125+X126</f>
        <v>300</v>
      </c>
      <c r="Y120" s="24">
        <f t="shared" ref="Y120:Y236" si="32">W120+X120</f>
        <v>9467.2999999999993</v>
      </c>
      <c r="Z120" s="189"/>
    </row>
    <row r="121" spans="1:27" x14ac:dyDescent="0.25">
      <c r="A121" s="25" t="s">
        <v>560</v>
      </c>
      <c r="B121" s="26" t="s">
        <v>59</v>
      </c>
      <c r="C121" s="26" t="s">
        <v>63</v>
      </c>
      <c r="D121" s="26" t="s">
        <v>12</v>
      </c>
      <c r="E121" s="27">
        <f>50+6940.2</f>
        <v>6990.2</v>
      </c>
      <c r="F121" s="27"/>
      <c r="G121" s="24">
        <f t="shared" si="0"/>
        <v>6990.2</v>
      </c>
      <c r="H121" s="27"/>
      <c r="I121" s="24">
        <f t="shared" si="1"/>
        <v>6990.2</v>
      </c>
      <c r="J121" s="27"/>
      <c r="K121" s="24">
        <f t="shared" si="2"/>
        <v>6990.2</v>
      </c>
      <c r="L121" s="27"/>
      <c r="M121" s="24">
        <f t="shared" si="3"/>
        <v>6990.2</v>
      </c>
      <c r="N121" s="27"/>
      <c r="O121" s="24">
        <f t="shared" si="4"/>
        <v>6990.2</v>
      </c>
      <c r="P121" s="27"/>
      <c r="Q121" s="24">
        <f t="shared" si="17"/>
        <v>6990.2</v>
      </c>
      <c r="R121" s="27"/>
      <c r="S121" s="24">
        <f t="shared" si="18"/>
        <v>6990.2</v>
      </c>
      <c r="T121" s="69"/>
      <c r="U121" s="24">
        <f t="shared" si="30"/>
        <v>6990.2</v>
      </c>
      <c r="V121" s="94">
        <v>-492</v>
      </c>
      <c r="W121" s="24">
        <f t="shared" si="31"/>
        <v>6498.2</v>
      </c>
      <c r="X121" s="69"/>
      <c r="Y121" s="24">
        <f t="shared" si="32"/>
        <v>6498.2</v>
      </c>
      <c r="AA121" s="189">
        <f t="shared" ref="AA121:AA126" si="33">Y121+Z121</f>
        <v>6498.2</v>
      </c>
    </row>
    <row r="122" spans="1:27" ht="27.75" customHeight="1" x14ac:dyDescent="0.25">
      <c r="A122" s="25" t="s">
        <v>561</v>
      </c>
      <c r="B122" s="26" t="s">
        <v>59</v>
      </c>
      <c r="C122" s="26" t="s">
        <v>63</v>
      </c>
      <c r="D122" s="26" t="s">
        <v>13</v>
      </c>
      <c r="E122" s="27">
        <v>2095</v>
      </c>
      <c r="F122" s="27"/>
      <c r="G122" s="24">
        <f t="shared" si="0"/>
        <v>2095</v>
      </c>
      <c r="H122" s="27"/>
      <c r="I122" s="24">
        <f t="shared" si="1"/>
        <v>2095</v>
      </c>
      <c r="J122" s="27"/>
      <c r="K122" s="24">
        <f t="shared" si="2"/>
        <v>2095</v>
      </c>
      <c r="L122" s="27"/>
      <c r="M122" s="24">
        <f t="shared" si="3"/>
        <v>2095</v>
      </c>
      <c r="N122" s="27"/>
      <c r="O122" s="24">
        <f t="shared" si="4"/>
        <v>2095</v>
      </c>
      <c r="P122" s="27"/>
      <c r="Q122" s="24">
        <f t="shared" si="17"/>
        <v>2095</v>
      </c>
      <c r="R122" s="27"/>
      <c r="S122" s="24">
        <f t="shared" si="18"/>
        <v>2095</v>
      </c>
      <c r="T122" s="69"/>
      <c r="U122" s="24">
        <f t="shared" si="30"/>
        <v>2095</v>
      </c>
      <c r="V122" s="94">
        <v>-148</v>
      </c>
      <c r="W122" s="24">
        <f t="shared" si="31"/>
        <v>1947</v>
      </c>
      <c r="X122" s="69"/>
      <c r="Y122" s="24">
        <f t="shared" si="32"/>
        <v>1947</v>
      </c>
      <c r="AA122" s="189">
        <f t="shared" si="33"/>
        <v>1947</v>
      </c>
    </row>
    <row r="123" spans="1:27" ht="24.75" x14ac:dyDescent="0.25">
      <c r="A123" s="25" t="s">
        <v>562</v>
      </c>
      <c r="B123" s="26" t="s">
        <v>59</v>
      </c>
      <c r="C123" s="26" t="s">
        <v>63</v>
      </c>
      <c r="D123" s="26" t="s">
        <v>40</v>
      </c>
      <c r="E123" s="27">
        <v>281</v>
      </c>
      <c r="F123" s="27"/>
      <c r="G123" s="24">
        <f t="shared" si="0"/>
        <v>281</v>
      </c>
      <c r="H123" s="27"/>
      <c r="I123" s="24">
        <f t="shared" si="1"/>
        <v>281</v>
      </c>
      <c r="J123" s="27"/>
      <c r="K123" s="24">
        <f t="shared" si="2"/>
        <v>281</v>
      </c>
      <c r="L123" s="27"/>
      <c r="M123" s="24">
        <f t="shared" si="3"/>
        <v>281</v>
      </c>
      <c r="N123" s="27"/>
      <c r="O123" s="24">
        <f t="shared" si="4"/>
        <v>281</v>
      </c>
      <c r="P123" s="27"/>
      <c r="Q123" s="24">
        <f t="shared" si="17"/>
        <v>281</v>
      </c>
      <c r="R123" s="27"/>
      <c r="S123" s="24">
        <f t="shared" si="18"/>
        <v>281</v>
      </c>
      <c r="T123" s="69"/>
      <c r="U123" s="24">
        <f t="shared" si="30"/>
        <v>281</v>
      </c>
      <c r="V123" s="83"/>
      <c r="W123" s="24">
        <f t="shared" si="31"/>
        <v>281</v>
      </c>
      <c r="X123" s="83"/>
      <c r="Y123" s="24">
        <f t="shared" si="32"/>
        <v>281</v>
      </c>
      <c r="AA123" s="189">
        <f t="shared" si="33"/>
        <v>281</v>
      </c>
    </row>
    <row r="124" spans="1:27" x14ac:dyDescent="0.25">
      <c r="A124" s="25" t="s">
        <v>66</v>
      </c>
      <c r="B124" s="26" t="s">
        <v>59</v>
      </c>
      <c r="C124" s="26" t="s">
        <v>63</v>
      </c>
      <c r="D124" s="26" t="s">
        <v>42</v>
      </c>
      <c r="E124" s="27">
        <v>749.8</v>
      </c>
      <c r="F124" s="27"/>
      <c r="G124" s="24">
        <f t="shared" si="0"/>
        <v>749.8</v>
      </c>
      <c r="H124" s="27"/>
      <c r="I124" s="24">
        <f t="shared" si="1"/>
        <v>749.8</v>
      </c>
      <c r="J124" s="27"/>
      <c r="K124" s="24">
        <f t="shared" si="2"/>
        <v>749.8</v>
      </c>
      <c r="L124" s="96">
        <f>363.5+700</f>
        <v>1063.5</v>
      </c>
      <c r="M124" s="24">
        <f t="shared" si="3"/>
        <v>1813.3</v>
      </c>
      <c r="N124" s="69"/>
      <c r="O124" s="24">
        <f t="shared" si="4"/>
        <v>1813.3</v>
      </c>
      <c r="P124" s="94">
        <v>-1000</v>
      </c>
      <c r="Q124" s="24">
        <f t="shared" si="17"/>
        <v>813.3</v>
      </c>
      <c r="R124" s="39">
        <f>1000-47.7</f>
        <v>952.3</v>
      </c>
      <c r="S124" s="24">
        <f t="shared" si="18"/>
        <v>1765.6</v>
      </c>
      <c r="T124" s="39">
        <v>-1000</v>
      </c>
      <c r="U124" s="24">
        <f t="shared" si="30"/>
        <v>765.59999999999991</v>
      </c>
      <c r="V124" s="39">
        <f>-77-300</f>
        <v>-377</v>
      </c>
      <c r="W124" s="24">
        <f t="shared" si="31"/>
        <v>388.59999999999991</v>
      </c>
      <c r="X124" s="109">
        <v>300</v>
      </c>
      <c r="Y124" s="24">
        <f t="shared" si="32"/>
        <v>688.59999999999991</v>
      </c>
      <c r="AA124" s="189">
        <f t="shared" si="33"/>
        <v>688.59999999999991</v>
      </c>
    </row>
    <row r="125" spans="1:27" ht="24.75" x14ac:dyDescent="0.25">
      <c r="A125" s="30" t="s">
        <v>563</v>
      </c>
      <c r="B125" s="21" t="s">
        <v>59</v>
      </c>
      <c r="C125" s="21" t="s">
        <v>63</v>
      </c>
      <c r="D125" s="21" t="s">
        <v>315</v>
      </c>
      <c r="E125" s="27"/>
      <c r="F125" s="63">
        <v>52.4</v>
      </c>
      <c r="G125" s="24">
        <f t="shared" si="0"/>
        <v>52.4</v>
      </c>
      <c r="H125" s="69"/>
      <c r="I125" s="24">
        <f t="shared" si="1"/>
        <v>52.4</v>
      </c>
      <c r="J125" s="69"/>
      <c r="K125" s="24">
        <f t="shared" si="2"/>
        <v>52.4</v>
      </c>
      <c r="L125" s="69"/>
      <c r="M125" s="24">
        <f t="shared" si="3"/>
        <v>52.4</v>
      </c>
      <c r="N125" s="69"/>
      <c r="O125" s="24">
        <f t="shared" si="4"/>
        <v>52.4</v>
      </c>
      <c r="P125" s="69"/>
      <c r="Q125" s="24">
        <f t="shared" si="17"/>
        <v>52.4</v>
      </c>
      <c r="R125" s="69"/>
      <c r="S125" s="24">
        <f t="shared" si="18"/>
        <v>52.4</v>
      </c>
      <c r="T125" s="69"/>
      <c r="U125" s="24">
        <f t="shared" si="30"/>
        <v>52.4</v>
      </c>
      <c r="V125" s="69"/>
      <c r="W125" s="24">
        <f t="shared" si="31"/>
        <v>52.4</v>
      </c>
      <c r="X125" s="69"/>
      <c r="Y125" s="24">
        <f t="shared" si="32"/>
        <v>52.4</v>
      </c>
      <c r="AA125" s="189">
        <f t="shared" si="33"/>
        <v>52.4</v>
      </c>
    </row>
    <row r="126" spans="1:27" x14ac:dyDescent="0.25">
      <c r="A126" s="30" t="s">
        <v>47</v>
      </c>
      <c r="B126" s="21" t="s">
        <v>59</v>
      </c>
      <c r="C126" s="21" t="s">
        <v>63</v>
      </c>
      <c r="D126" s="21" t="s">
        <v>48</v>
      </c>
      <c r="E126" s="27"/>
      <c r="F126" s="63"/>
      <c r="G126" s="24"/>
      <c r="H126" s="69"/>
      <c r="I126" s="24"/>
      <c r="J126" s="69"/>
      <c r="K126" s="24"/>
      <c r="L126" s="39">
        <v>0.1</v>
      </c>
      <c r="M126" s="24">
        <f t="shared" si="3"/>
        <v>0.1</v>
      </c>
      <c r="N126" s="69"/>
      <c r="O126" s="24">
        <f t="shared" si="4"/>
        <v>0.1</v>
      </c>
      <c r="P126" s="69"/>
      <c r="Q126" s="24">
        <f t="shared" si="17"/>
        <v>0.1</v>
      </c>
      <c r="R126" s="69"/>
      <c r="S126" s="24">
        <f t="shared" si="18"/>
        <v>0.1</v>
      </c>
      <c r="T126" s="69"/>
      <c r="U126" s="24">
        <f t="shared" si="30"/>
        <v>0.1</v>
      </c>
      <c r="V126" s="69"/>
      <c r="W126" s="24">
        <f t="shared" si="31"/>
        <v>0.1</v>
      </c>
      <c r="X126" s="69"/>
      <c r="Y126" s="24">
        <f t="shared" si="32"/>
        <v>0.1</v>
      </c>
      <c r="AA126" s="189">
        <f t="shared" si="33"/>
        <v>0.1</v>
      </c>
    </row>
    <row r="127" spans="1:27" x14ac:dyDescent="0.25">
      <c r="A127" s="100" t="s">
        <v>841</v>
      </c>
      <c r="B127" s="20" t="s">
        <v>59</v>
      </c>
      <c r="C127" s="20" t="s">
        <v>1403</v>
      </c>
      <c r="D127" s="20" t="s">
        <v>2</v>
      </c>
      <c r="E127" s="27"/>
      <c r="F127" s="63"/>
      <c r="G127" s="24"/>
      <c r="H127" s="69"/>
      <c r="I127" s="24"/>
      <c r="J127" s="69"/>
      <c r="K127" s="24"/>
      <c r="L127" s="39"/>
      <c r="M127" s="24"/>
      <c r="N127" s="69"/>
      <c r="O127" s="24"/>
      <c r="P127" s="69"/>
      <c r="Q127" s="24"/>
      <c r="R127" s="69"/>
      <c r="S127" s="24"/>
      <c r="T127" s="69"/>
      <c r="U127" s="24"/>
      <c r="V127" s="85">
        <f>V128+V129</f>
        <v>92.199999999999989</v>
      </c>
      <c r="W127" s="24">
        <f t="shared" si="31"/>
        <v>92.199999999999989</v>
      </c>
      <c r="X127" s="85">
        <f>X128+X129</f>
        <v>0</v>
      </c>
      <c r="Y127" s="24">
        <f t="shared" si="32"/>
        <v>92.199999999999989</v>
      </c>
    </row>
    <row r="128" spans="1:27" x14ac:dyDescent="0.25">
      <c r="A128" s="17" t="s">
        <v>560</v>
      </c>
      <c r="B128" s="21" t="s">
        <v>59</v>
      </c>
      <c r="C128" s="21" t="s">
        <v>1403</v>
      </c>
      <c r="D128" s="21" t="s">
        <v>12</v>
      </c>
      <c r="E128" s="27"/>
      <c r="F128" s="63"/>
      <c r="G128" s="24"/>
      <c r="H128" s="69"/>
      <c r="I128" s="24"/>
      <c r="J128" s="69"/>
      <c r="K128" s="24"/>
      <c r="L128" s="39"/>
      <c r="M128" s="24"/>
      <c r="N128" s="69"/>
      <c r="O128" s="24"/>
      <c r="P128" s="69"/>
      <c r="Q128" s="24"/>
      <c r="R128" s="69"/>
      <c r="S128" s="24"/>
      <c r="T128" s="69"/>
      <c r="U128" s="24"/>
      <c r="V128" s="180">
        <v>70.8</v>
      </c>
      <c r="W128" s="24">
        <f t="shared" si="31"/>
        <v>70.8</v>
      </c>
      <c r="X128" s="84"/>
      <c r="Y128" s="24">
        <f t="shared" si="32"/>
        <v>70.8</v>
      </c>
      <c r="AA128" s="189">
        <f t="shared" ref="AA128:AA129" si="34">Y128+Z128</f>
        <v>70.8</v>
      </c>
    </row>
    <row r="129" spans="1:27" ht="36.75" x14ac:dyDescent="0.25">
      <c r="A129" s="17" t="s">
        <v>561</v>
      </c>
      <c r="B129" s="21" t="s">
        <v>59</v>
      </c>
      <c r="C129" s="21" t="s">
        <v>1403</v>
      </c>
      <c r="D129" s="21" t="s">
        <v>13</v>
      </c>
      <c r="E129" s="27"/>
      <c r="F129" s="63"/>
      <c r="G129" s="24"/>
      <c r="H129" s="69"/>
      <c r="I129" s="24"/>
      <c r="J129" s="69"/>
      <c r="K129" s="24"/>
      <c r="L129" s="39"/>
      <c r="M129" s="24"/>
      <c r="N129" s="69"/>
      <c r="O129" s="24"/>
      <c r="P129" s="69"/>
      <c r="Q129" s="24"/>
      <c r="R129" s="69"/>
      <c r="S129" s="24"/>
      <c r="T129" s="69"/>
      <c r="U129" s="24"/>
      <c r="V129" s="180">
        <v>21.4</v>
      </c>
      <c r="W129" s="24">
        <f t="shared" si="31"/>
        <v>21.4</v>
      </c>
      <c r="X129" s="84"/>
      <c r="Y129" s="24">
        <f t="shared" si="32"/>
        <v>21.4</v>
      </c>
      <c r="AA129" s="189">
        <f t="shared" si="34"/>
        <v>21.4</v>
      </c>
    </row>
    <row r="130" spans="1:27" s="6" customFormat="1" x14ac:dyDescent="0.25">
      <c r="A130" s="22" t="s">
        <v>8</v>
      </c>
      <c r="B130" s="23" t="s">
        <v>59</v>
      </c>
      <c r="C130" s="23" t="s">
        <v>9</v>
      </c>
      <c r="D130" s="23" t="s">
        <v>2</v>
      </c>
      <c r="E130" s="24">
        <f>E137</f>
        <v>2991.4</v>
      </c>
      <c r="F130" s="24">
        <f>F137</f>
        <v>0</v>
      </c>
      <c r="G130" s="24">
        <f t="shared" si="0"/>
        <v>2991.4</v>
      </c>
      <c r="H130" s="24">
        <f>H137</f>
        <v>0</v>
      </c>
      <c r="I130" s="24">
        <f t="shared" si="1"/>
        <v>2991.4</v>
      </c>
      <c r="J130" s="24">
        <f>J137</f>
        <v>0</v>
      </c>
      <c r="K130" s="24">
        <f t="shared" si="2"/>
        <v>2991.4</v>
      </c>
      <c r="L130" s="24">
        <f>L137</f>
        <v>0</v>
      </c>
      <c r="M130" s="24">
        <f t="shared" si="3"/>
        <v>2991.4</v>
      </c>
      <c r="N130" s="24">
        <f>N137</f>
        <v>0</v>
      </c>
      <c r="O130" s="24">
        <f t="shared" si="4"/>
        <v>2991.4</v>
      </c>
      <c r="P130" s="24">
        <f>P137</f>
        <v>0</v>
      </c>
      <c r="Q130" s="24">
        <f t="shared" si="17"/>
        <v>2991.4</v>
      </c>
      <c r="R130" s="24">
        <f>R137</f>
        <v>0</v>
      </c>
      <c r="S130" s="24">
        <f t="shared" si="18"/>
        <v>2991.4</v>
      </c>
      <c r="T130" s="24">
        <f>T137</f>
        <v>66</v>
      </c>
      <c r="U130" s="24">
        <f t="shared" si="30"/>
        <v>3057.4</v>
      </c>
      <c r="V130" s="24">
        <f>V137+V134+V131</f>
        <v>148.6</v>
      </c>
      <c r="W130" s="24">
        <f t="shared" si="31"/>
        <v>3206</v>
      </c>
      <c r="X130" s="24">
        <f>X137+X134+X131</f>
        <v>42.1</v>
      </c>
      <c r="Y130" s="24">
        <f t="shared" si="32"/>
        <v>3248.1</v>
      </c>
      <c r="Z130" s="189"/>
    </row>
    <row r="131" spans="1:27" s="6" customFormat="1" x14ac:dyDescent="0.25">
      <c r="A131" s="16" t="s">
        <v>769</v>
      </c>
      <c r="B131" s="20" t="s">
        <v>59</v>
      </c>
      <c r="C131" s="20" t="s">
        <v>1238</v>
      </c>
      <c r="D131" s="20"/>
      <c r="E131" s="24"/>
      <c r="F131" s="24"/>
      <c r="G131" s="24"/>
      <c r="H131" s="24"/>
      <c r="I131" s="24"/>
      <c r="J131" s="24"/>
      <c r="K131" s="24"/>
      <c r="L131" s="24"/>
      <c r="M131" s="24"/>
      <c r="N131" s="24"/>
      <c r="O131" s="24"/>
      <c r="P131" s="24"/>
      <c r="Q131" s="24"/>
      <c r="R131" s="24"/>
      <c r="S131" s="24"/>
      <c r="T131" s="24"/>
      <c r="U131" s="24"/>
      <c r="V131" s="24">
        <f>V132+V133</f>
        <v>33.699999999999996</v>
      </c>
      <c r="W131" s="24">
        <f t="shared" si="31"/>
        <v>33.699999999999996</v>
      </c>
      <c r="X131" s="24">
        <f>X132+X133</f>
        <v>0</v>
      </c>
      <c r="Y131" s="24">
        <f t="shared" si="32"/>
        <v>33.699999999999996</v>
      </c>
      <c r="Z131" s="189"/>
    </row>
    <row r="132" spans="1:27" s="6" customFormat="1" x14ac:dyDescent="0.25">
      <c r="A132" s="17" t="s">
        <v>560</v>
      </c>
      <c r="B132" s="21" t="s">
        <v>59</v>
      </c>
      <c r="C132" s="21" t="s">
        <v>1238</v>
      </c>
      <c r="D132" s="21" t="s">
        <v>12</v>
      </c>
      <c r="E132" s="24"/>
      <c r="F132" s="24"/>
      <c r="G132" s="24"/>
      <c r="H132" s="24"/>
      <c r="I132" s="24"/>
      <c r="J132" s="24"/>
      <c r="K132" s="24"/>
      <c r="L132" s="24"/>
      <c r="M132" s="24"/>
      <c r="N132" s="24"/>
      <c r="O132" s="24"/>
      <c r="P132" s="24"/>
      <c r="Q132" s="24"/>
      <c r="R132" s="24"/>
      <c r="S132" s="24"/>
      <c r="T132" s="24"/>
      <c r="U132" s="24"/>
      <c r="V132" s="185">
        <v>25.9</v>
      </c>
      <c r="W132" s="24">
        <f t="shared" si="31"/>
        <v>25.9</v>
      </c>
      <c r="X132" s="84"/>
      <c r="Y132" s="24">
        <f t="shared" si="32"/>
        <v>25.9</v>
      </c>
      <c r="Z132" s="189"/>
      <c r="AA132" s="189">
        <f t="shared" ref="AA132:AA133" si="35">Y132+Z132</f>
        <v>25.9</v>
      </c>
    </row>
    <row r="133" spans="1:27" s="6" customFormat="1" ht="36.75" x14ac:dyDescent="0.25">
      <c r="A133" s="17" t="s">
        <v>561</v>
      </c>
      <c r="B133" s="21" t="s">
        <v>59</v>
      </c>
      <c r="C133" s="21" t="s">
        <v>1238</v>
      </c>
      <c r="D133" s="21" t="s">
        <v>13</v>
      </c>
      <c r="E133" s="24"/>
      <c r="F133" s="24"/>
      <c r="G133" s="24"/>
      <c r="H133" s="24"/>
      <c r="I133" s="24"/>
      <c r="J133" s="24"/>
      <c r="K133" s="24"/>
      <c r="L133" s="24"/>
      <c r="M133" s="24"/>
      <c r="N133" s="24"/>
      <c r="O133" s="24"/>
      <c r="P133" s="24"/>
      <c r="Q133" s="24"/>
      <c r="R133" s="24"/>
      <c r="S133" s="24"/>
      <c r="T133" s="24"/>
      <c r="U133" s="24"/>
      <c r="V133" s="185">
        <v>7.8</v>
      </c>
      <c r="W133" s="24">
        <f t="shared" si="31"/>
        <v>7.8</v>
      </c>
      <c r="X133" s="84"/>
      <c r="Y133" s="24">
        <f t="shared" si="32"/>
        <v>7.8</v>
      </c>
      <c r="Z133" s="189"/>
      <c r="AA133" s="189">
        <f t="shared" si="35"/>
        <v>7.8</v>
      </c>
    </row>
    <row r="134" spans="1:27" s="6" customFormat="1" x14ac:dyDescent="0.25">
      <c r="A134" s="100" t="s">
        <v>841</v>
      </c>
      <c r="B134" s="20" t="s">
        <v>59</v>
      </c>
      <c r="C134" s="20" t="s">
        <v>1399</v>
      </c>
      <c r="D134" s="20"/>
      <c r="E134" s="24"/>
      <c r="F134" s="24"/>
      <c r="G134" s="24"/>
      <c r="H134" s="24"/>
      <c r="I134" s="24"/>
      <c r="J134" s="24"/>
      <c r="K134" s="24"/>
      <c r="L134" s="24"/>
      <c r="M134" s="24"/>
      <c r="N134" s="24"/>
      <c r="O134" s="24"/>
      <c r="P134" s="24"/>
      <c r="Q134" s="24"/>
      <c r="R134" s="24"/>
      <c r="S134" s="24"/>
      <c r="T134" s="24"/>
      <c r="U134" s="24"/>
      <c r="V134" s="18">
        <f>V135+V136</f>
        <v>33.9</v>
      </c>
      <c r="W134" s="24">
        <f t="shared" si="31"/>
        <v>33.9</v>
      </c>
      <c r="X134" s="18">
        <f>X135+X136</f>
        <v>0.1</v>
      </c>
      <c r="Y134" s="24">
        <f t="shared" si="32"/>
        <v>34</v>
      </c>
      <c r="Z134" s="189"/>
    </row>
    <row r="135" spans="1:27" s="6" customFormat="1" x14ac:dyDescent="0.25">
      <c r="A135" s="17" t="s">
        <v>560</v>
      </c>
      <c r="B135" s="21" t="s">
        <v>59</v>
      </c>
      <c r="C135" s="21" t="s">
        <v>1399</v>
      </c>
      <c r="D135" s="21" t="s">
        <v>12</v>
      </c>
      <c r="E135" s="24"/>
      <c r="F135" s="24"/>
      <c r="G135" s="24"/>
      <c r="H135" s="24"/>
      <c r="I135" s="24"/>
      <c r="J135" s="24"/>
      <c r="K135" s="24"/>
      <c r="L135" s="24"/>
      <c r="M135" s="24"/>
      <c r="N135" s="24"/>
      <c r="O135" s="24"/>
      <c r="P135" s="24"/>
      <c r="Q135" s="24"/>
      <c r="R135" s="24"/>
      <c r="S135" s="24"/>
      <c r="T135" s="24"/>
      <c r="U135" s="24"/>
      <c r="V135" s="181">
        <f>18.2+7.8</f>
        <v>26</v>
      </c>
      <c r="W135" s="24">
        <f t="shared" si="31"/>
        <v>26</v>
      </c>
      <c r="X135" s="39">
        <v>0.1</v>
      </c>
      <c r="Y135" s="24">
        <f t="shared" si="32"/>
        <v>26.1</v>
      </c>
      <c r="Z135" s="189">
        <v>0.1</v>
      </c>
      <c r="AA135" s="189">
        <f t="shared" ref="AA135:AA136" si="36">Y135+Z135</f>
        <v>26.200000000000003</v>
      </c>
    </row>
    <row r="136" spans="1:27" s="6" customFormat="1" ht="36.75" x14ac:dyDescent="0.25">
      <c r="A136" s="17" t="s">
        <v>561</v>
      </c>
      <c r="B136" s="21" t="s">
        <v>59</v>
      </c>
      <c r="C136" s="21" t="s">
        <v>1399</v>
      </c>
      <c r="D136" s="21" t="s">
        <v>13</v>
      </c>
      <c r="E136" s="24"/>
      <c r="F136" s="24"/>
      <c r="G136" s="24"/>
      <c r="H136" s="24"/>
      <c r="I136" s="24"/>
      <c r="J136" s="24"/>
      <c r="K136" s="24"/>
      <c r="L136" s="24"/>
      <c r="M136" s="24"/>
      <c r="N136" s="24"/>
      <c r="O136" s="24"/>
      <c r="P136" s="24"/>
      <c r="Q136" s="24"/>
      <c r="R136" s="24"/>
      <c r="S136" s="24"/>
      <c r="T136" s="24"/>
      <c r="U136" s="24"/>
      <c r="V136" s="181">
        <f>5.5+2.4</f>
        <v>7.9</v>
      </c>
      <c r="W136" s="24">
        <f t="shared" si="31"/>
        <v>7.9</v>
      </c>
      <c r="X136" s="69"/>
      <c r="Y136" s="24">
        <f t="shared" si="32"/>
        <v>7.9</v>
      </c>
      <c r="Z136" s="189"/>
      <c r="AA136" s="189">
        <f t="shared" si="36"/>
        <v>7.9</v>
      </c>
    </row>
    <row r="137" spans="1:27" s="6" customFormat="1" x14ac:dyDescent="0.25">
      <c r="A137" s="22" t="s">
        <v>64</v>
      </c>
      <c r="B137" s="23" t="s">
        <v>59</v>
      </c>
      <c r="C137" s="23" t="s">
        <v>65</v>
      </c>
      <c r="D137" s="23" t="s">
        <v>2</v>
      </c>
      <c r="E137" s="24">
        <f>E138+E139+E140+E141</f>
        <v>2991.4</v>
      </c>
      <c r="F137" s="24">
        <f>F138+F139+F140+F141</f>
        <v>0</v>
      </c>
      <c r="G137" s="24">
        <f t="shared" si="0"/>
        <v>2991.4</v>
      </c>
      <c r="H137" s="24">
        <f>H138+H139+H140+H141</f>
        <v>0</v>
      </c>
      <c r="I137" s="24">
        <f t="shared" si="1"/>
        <v>2991.4</v>
      </c>
      <c r="J137" s="24">
        <f>J138+J139+J140+J141</f>
        <v>0</v>
      </c>
      <c r="K137" s="24">
        <f t="shared" si="2"/>
        <v>2991.4</v>
      </c>
      <c r="L137" s="24">
        <f>L138+L139+L140+L141</f>
        <v>0</v>
      </c>
      <c r="M137" s="24">
        <f t="shared" si="3"/>
        <v>2991.4</v>
      </c>
      <c r="N137" s="24">
        <f>N138+N139+N140+N141</f>
        <v>0</v>
      </c>
      <c r="O137" s="24">
        <f t="shared" si="4"/>
        <v>2991.4</v>
      </c>
      <c r="P137" s="24">
        <f>P138+P139+P140+P141</f>
        <v>0</v>
      </c>
      <c r="Q137" s="24">
        <f t="shared" si="17"/>
        <v>2991.4</v>
      </c>
      <c r="R137" s="24">
        <f>R138+R139+R140+R141</f>
        <v>0</v>
      </c>
      <c r="S137" s="24">
        <f t="shared" si="18"/>
        <v>2991.4</v>
      </c>
      <c r="T137" s="24">
        <f>T138+T139+T140+T141</f>
        <v>66</v>
      </c>
      <c r="U137" s="24">
        <f t="shared" si="30"/>
        <v>3057.4</v>
      </c>
      <c r="V137" s="24">
        <f>V138+V139+V140+V141</f>
        <v>81</v>
      </c>
      <c r="W137" s="24">
        <f t="shared" si="31"/>
        <v>3138.4</v>
      </c>
      <c r="X137" s="24">
        <f>X138+X139+X140+X141</f>
        <v>42</v>
      </c>
      <c r="Y137" s="24">
        <f t="shared" si="32"/>
        <v>3180.4</v>
      </c>
      <c r="Z137" s="189"/>
    </row>
    <row r="138" spans="1:27" x14ac:dyDescent="0.25">
      <c r="A138" s="25" t="s">
        <v>560</v>
      </c>
      <c r="B138" s="26" t="s">
        <v>59</v>
      </c>
      <c r="C138" s="26" t="s">
        <v>65</v>
      </c>
      <c r="D138" s="26" t="s">
        <v>12</v>
      </c>
      <c r="E138" s="27">
        <f>30+2245.4</f>
        <v>2275.4</v>
      </c>
      <c r="F138" s="27"/>
      <c r="G138" s="24">
        <f t="shared" ref="G138:G253" si="37">E138+F138</f>
        <v>2275.4</v>
      </c>
      <c r="H138" s="27"/>
      <c r="I138" s="24">
        <f t="shared" ref="I138:I253" si="38">G138+H138</f>
        <v>2275.4</v>
      </c>
      <c r="J138" s="27"/>
      <c r="K138" s="24">
        <f t="shared" ref="K138:K253" si="39">I138+J138</f>
        <v>2275.4</v>
      </c>
      <c r="L138" s="27"/>
      <c r="M138" s="24">
        <f t="shared" ref="M138:M253" si="40">K138+L138</f>
        <v>2275.4</v>
      </c>
      <c r="N138" s="27"/>
      <c r="O138" s="24">
        <f t="shared" ref="O138:O256" si="41">M138+N138</f>
        <v>2275.4</v>
      </c>
      <c r="P138" s="27"/>
      <c r="Q138" s="24">
        <f t="shared" si="17"/>
        <v>2275.4</v>
      </c>
      <c r="R138" s="27"/>
      <c r="S138" s="24">
        <f t="shared" si="18"/>
        <v>2275.4</v>
      </c>
      <c r="T138" s="69"/>
      <c r="U138" s="24">
        <f t="shared" si="30"/>
        <v>2275.4</v>
      </c>
      <c r="V138" s="94">
        <v>78.599999999999994</v>
      </c>
      <c r="W138" s="24">
        <f t="shared" si="31"/>
        <v>2354</v>
      </c>
      <c r="X138" s="39">
        <f>9.8+0.8</f>
        <v>10.600000000000001</v>
      </c>
      <c r="Y138" s="24">
        <f t="shared" si="32"/>
        <v>2364.6</v>
      </c>
      <c r="AA138" s="189">
        <f t="shared" ref="AA138:AA141" si="42">Y138+Z138</f>
        <v>2364.6</v>
      </c>
    </row>
    <row r="139" spans="1:27" ht="27" customHeight="1" x14ac:dyDescent="0.25">
      <c r="A139" s="25" t="s">
        <v>561</v>
      </c>
      <c r="B139" s="26" t="s">
        <v>59</v>
      </c>
      <c r="C139" s="26" t="s">
        <v>65</v>
      </c>
      <c r="D139" s="26" t="s">
        <v>13</v>
      </c>
      <c r="E139" s="27">
        <v>677</v>
      </c>
      <c r="F139" s="27"/>
      <c r="G139" s="24">
        <f t="shared" si="37"/>
        <v>677</v>
      </c>
      <c r="H139" s="27"/>
      <c r="I139" s="24">
        <f t="shared" si="38"/>
        <v>677</v>
      </c>
      <c r="J139" s="27"/>
      <c r="K139" s="24">
        <f t="shared" si="39"/>
        <v>677</v>
      </c>
      <c r="L139" s="27"/>
      <c r="M139" s="24">
        <f t="shared" si="40"/>
        <v>677</v>
      </c>
      <c r="N139" s="27"/>
      <c r="O139" s="24">
        <f t="shared" si="41"/>
        <v>677</v>
      </c>
      <c r="P139" s="27"/>
      <c r="Q139" s="24">
        <f t="shared" si="17"/>
        <v>677</v>
      </c>
      <c r="R139" s="27"/>
      <c r="S139" s="24">
        <f t="shared" si="18"/>
        <v>677</v>
      </c>
      <c r="T139" s="69"/>
      <c r="U139" s="24">
        <f t="shared" si="30"/>
        <v>677</v>
      </c>
      <c r="V139" s="69"/>
      <c r="W139" s="24">
        <f t="shared" si="31"/>
        <v>677</v>
      </c>
      <c r="X139" s="39">
        <v>31.4</v>
      </c>
      <c r="Y139" s="24">
        <f t="shared" si="32"/>
        <v>708.4</v>
      </c>
      <c r="AA139" s="189">
        <f t="shared" si="42"/>
        <v>708.4</v>
      </c>
    </row>
    <row r="140" spans="1:27" ht="24.75" x14ac:dyDescent="0.25">
      <c r="A140" s="25" t="s">
        <v>562</v>
      </c>
      <c r="B140" s="26" t="s">
        <v>59</v>
      </c>
      <c r="C140" s="26" t="s">
        <v>65</v>
      </c>
      <c r="D140" s="26" t="s">
        <v>40</v>
      </c>
      <c r="E140" s="27">
        <v>4</v>
      </c>
      <c r="F140" s="27"/>
      <c r="G140" s="24">
        <f t="shared" si="37"/>
        <v>4</v>
      </c>
      <c r="H140" s="27"/>
      <c r="I140" s="24">
        <f t="shared" si="38"/>
        <v>4</v>
      </c>
      <c r="J140" s="27"/>
      <c r="K140" s="24">
        <f t="shared" si="39"/>
        <v>4</v>
      </c>
      <c r="L140" s="27"/>
      <c r="M140" s="24">
        <f t="shared" si="40"/>
        <v>4</v>
      </c>
      <c r="N140" s="63">
        <v>-4</v>
      </c>
      <c r="O140" s="24">
        <f t="shared" si="41"/>
        <v>0</v>
      </c>
      <c r="P140" s="69"/>
      <c r="Q140" s="24">
        <f t="shared" si="17"/>
        <v>0</v>
      </c>
      <c r="R140" s="69"/>
      <c r="S140" s="24">
        <f t="shared" si="18"/>
        <v>0</v>
      </c>
      <c r="T140" s="39">
        <v>66</v>
      </c>
      <c r="U140" s="24">
        <f t="shared" si="30"/>
        <v>66</v>
      </c>
      <c r="V140" s="94">
        <v>2.4</v>
      </c>
      <c r="W140" s="24">
        <f t="shared" si="31"/>
        <v>68.400000000000006</v>
      </c>
      <c r="X140" s="69"/>
      <c r="Y140" s="24">
        <f t="shared" si="32"/>
        <v>68.400000000000006</v>
      </c>
      <c r="AA140" s="189">
        <f t="shared" si="42"/>
        <v>68.400000000000006</v>
      </c>
    </row>
    <row r="141" spans="1:27" x14ac:dyDescent="0.25">
      <c r="A141" s="25" t="s">
        <v>66</v>
      </c>
      <c r="B141" s="26" t="s">
        <v>59</v>
      </c>
      <c r="C141" s="26" t="s">
        <v>65</v>
      </c>
      <c r="D141" s="26" t="s">
        <v>42</v>
      </c>
      <c r="E141" s="27">
        <v>35</v>
      </c>
      <c r="F141" s="27"/>
      <c r="G141" s="24">
        <f t="shared" si="37"/>
        <v>35</v>
      </c>
      <c r="H141" s="27"/>
      <c r="I141" s="24">
        <f t="shared" si="38"/>
        <v>35</v>
      </c>
      <c r="J141" s="27"/>
      <c r="K141" s="24">
        <f t="shared" si="39"/>
        <v>35</v>
      </c>
      <c r="L141" s="27"/>
      <c r="M141" s="24">
        <f t="shared" si="40"/>
        <v>35</v>
      </c>
      <c r="N141" s="63">
        <v>4</v>
      </c>
      <c r="O141" s="24">
        <f t="shared" si="41"/>
        <v>39</v>
      </c>
      <c r="P141" s="69"/>
      <c r="Q141" s="24">
        <f t="shared" si="17"/>
        <v>39</v>
      </c>
      <c r="R141" s="69"/>
      <c r="S141" s="24">
        <f t="shared" si="18"/>
        <v>39</v>
      </c>
      <c r="T141" s="69"/>
      <c r="U141" s="24">
        <f t="shared" si="30"/>
        <v>39</v>
      </c>
      <c r="V141" s="94"/>
      <c r="W141" s="24">
        <f t="shared" si="31"/>
        <v>39</v>
      </c>
      <c r="X141" s="69"/>
      <c r="Y141" s="24">
        <f t="shared" si="32"/>
        <v>39</v>
      </c>
      <c r="AA141" s="189">
        <f t="shared" si="42"/>
        <v>39</v>
      </c>
    </row>
    <row r="142" spans="1:27" s="6" customFormat="1" x14ac:dyDescent="0.25">
      <c r="A142" s="22" t="s">
        <v>67</v>
      </c>
      <c r="B142" s="23" t="s">
        <v>68</v>
      </c>
      <c r="C142" s="23" t="s">
        <v>2</v>
      </c>
      <c r="D142" s="23" t="s">
        <v>2</v>
      </c>
      <c r="E142" s="24">
        <f t="shared" ref="E142:X145" si="43">E143</f>
        <v>1500</v>
      </c>
      <c r="F142" s="24">
        <f t="shared" si="43"/>
        <v>0</v>
      </c>
      <c r="G142" s="24">
        <f t="shared" si="37"/>
        <v>1500</v>
      </c>
      <c r="H142" s="24">
        <f t="shared" si="43"/>
        <v>0</v>
      </c>
      <c r="I142" s="24">
        <f t="shared" si="38"/>
        <v>1500</v>
      </c>
      <c r="J142" s="24">
        <f t="shared" si="43"/>
        <v>-44.5</v>
      </c>
      <c r="K142" s="24">
        <f t="shared" si="39"/>
        <v>1455.5</v>
      </c>
      <c r="L142" s="24">
        <f t="shared" si="43"/>
        <v>-101</v>
      </c>
      <c r="M142" s="24">
        <f t="shared" si="40"/>
        <v>1354.5</v>
      </c>
      <c r="N142" s="24">
        <f t="shared" si="43"/>
        <v>-644.4</v>
      </c>
      <c r="O142" s="24">
        <f t="shared" si="41"/>
        <v>710.1</v>
      </c>
      <c r="P142" s="24">
        <f t="shared" si="43"/>
        <v>0</v>
      </c>
      <c r="Q142" s="24">
        <f t="shared" si="17"/>
        <v>710.1</v>
      </c>
      <c r="R142" s="24">
        <f t="shared" si="43"/>
        <v>-64</v>
      </c>
      <c r="S142" s="24">
        <f t="shared" si="18"/>
        <v>646.1</v>
      </c>
      <c r="T142" s="24">
        <f t="shared" si="43"/>
        <v>-302.89999999999998</v>
      </c>
      <c r="U142" s="24">
        <f t="shared" si="30"/>
        <v>343.20000000000005</v>
      </c>
      <c r="V142" s="24">
        <f t="shared" si="43"/>
        <v>-34.5</v>
      </c>
      <c r="W142" s="24">
        <f t="shared" si="31"/>
        <v>308.70000000000005</v>
      </c>
      <c r="X142" s="24">
        <f t="shared" si="43"/>
        <v>0</v>
      </c>
      <c r="Y142" s="24">
        <f t="shared" si="32"/>
        <v>308.70000000000005</v>
      </c>
      <c r="Z142" s="189"/>
    </row>
    <row r="143" spans="1:27" s="6" customFormat="1" ht="24.75" x14ac:dyDescent="0.25">
      <c r="A143" s="22" t="s">
        <v>621</v>
      </c>
      <c r="B143" s="23" t="s">
        <v>68</v>
      </c>
      <c r="C143" s="23" t="s">
        <v>60</v>
      </c>
      <c r="D143" s="23" t="s">
        <v>2</v>
      </c>
      <c r="E143" s="24">
        <f t="shared" si="43"/>
        <v>1500</v>
      </c>
      <c r="F143" s="24">
        <f t="shared" si="43"/>
        <v>0</v>
      </c>
      <c r="G143" s="24">
        <f t="shared" si="37"/>
        <v>1500</v>
      </c>
      <c r="H143" s="24">
        <f t="shared" si="43"/>
        <v>0</v>
      </c>
      <c r="I143" s="24">
        <f t="shared" si="38"/>
        <v>1500</v>
      </c>
      <c r="J143" s="24">
        <f t="shared" si="43"/>
        <v>-44.5</v>
      </c>
      <c r="K143" s="24">
        <f t="shared" si="39"/>
        <v>1455.5</v>
      </c>
      <c r="L143" s="24">
        <f t="shared" si="43"/>
        <v>-101</v>
      </c>
      <c r="M143" s="24">
        <f t="shared" si="40"/>
        <v>1354.5</v>
      </c>
      <c r="N143" s="24">
        <f t="shared" si="43"/>
        <v>-644.4</v>
      </c>
      <c r="O143" s="24">
        <f t="shared" si="41"/>
        <v>710.1</v>
      </c>
      <c r="P143" s="24">
        <f t="shared" si="43"/>
        <v>0</v>
      </c>
      <c r="Q143" s="24">
        <f t="shared" si="17"/>
        <v>710.1</v>
      </c>
      <c r="R143" s="24">
        <f t="shared" si="43"/>
        <v>-64</v>
      </c>
      <c r="S143" s="24">
        <f t="shared" si="18"/>
        <v>646.1</v>
      </c>
      <c r="T143" s="24">
        <f t="shared" si="43"/>
        <v>-302.89999999999998</v>
      </c>
      <c r="U143" s="24">
        <f t="shared" si="30"/>
        <v>343.20000000000005</v>
      </c>
      <c r="V143" s="24">
        <f t="shared" si="43"/>
        <v>-34.5</v>
      </c>
      <c r="W143" s="24">
        <f t="shared" si="31"/>
        <v>308.70000000000005</v>
      </c>
      <c r="X143" s="24">
        <f t="shared" si="43"/>
        <v>0</v>
      </c>
      <c r="Y143" s="24">
        <f t="shared" si="32"/>
        <v>308.70000000000005</v>
      </c>
      <c r="Z143" s="189"/>
    </row>
    <row r="144" spans="1:27" s="6" customFormat="1" x14ac:dyDescent="0.25">
      <c r="A144" s="22" t="s">
        <v>69</v>
      </c>
      <c r="B144" s="23" t="s">
        <v>68</v>
      </c>
      <c r="C144" s="23" t="s">
        <v>70</v>
      </c>
      <c r="D144" s="23" t="s">
        <v>2</v>
      </c>
      <c r="E144" s="24">
        <f t="shared" si="43"/>
        <v>1500</v>
      </c>
      <c r="F144" s="24">
        <f t="shared" si="43"/>
        <v>0</v>
      </c>
      <c r="G144" s="24">
        <f t="shared" si="37"/>
        <v>1500</v>
      </c>
      <c r="H144" s="24">
        <f t="shared" si="43"/>
        <v>0</v>
      </c>
      <c r="I144" s="24">
        <f t="shared" si="38"/>
        <v>1500</v>
      </c>
      <c r="J144" s="24">
        <f t="shared" si="43"/>
        <v>-44.5</v>
      </c>
      <c r="K144" s="24">
        <f t="shared" si="39"/>
        <v>1455.5</v>
      </c>
      <c r="L144" s="24">
        <f t="shared" si="43"/>
        <v>-101</v>
      </c>
      <c r="M144" s="24">
        <f t="shared" si="40"/>
        <v>1354.5</v>
      </c>
      <c r="N144" s="24">
        <f t="shared" si="43"/>
        <v>-644.4</v>
      </c>
      <c r="O144" s="24">
        <f t="shared" si="41"/>
        <v>710.1</v>
      </c>
      <c r="P144" s="24">
        <f t="shared" si="43"/>
        <v>0</v>
      </c>
      <c r="Q144" s="24">
        <f t="shared" si="17"/>
        <v>710.1</v>
      </c>
      <c r="R144" s="24">
        <f t="shared" si="43"/>
        <v>-64</v>
      </c>
      <c r="S144" s="24">
        <f t="shared" si="18"/>
        <v>646.1</v>
      </c>
      <c r="T144" s="24">
        <f t="shared" si="43"/>
        <v>-302.89999999999998</v>
      </c>
      <c r="U144" s="24">
        <f t="shared" si="30"/>
        <v>343.20000000000005</v>
      </c>
      <c r="V144" s="24">
        <f t="shared" si="43"/>
        <v>-34.5</v>
      </c>
      <c r="W144" s="24">
        <f t="shared" si="31"/>
        <v>308.70000000000005</v>
      </c>
      <c r="X144" s="24">
        <f t="shared" si="43"/>
        <v>0</v>
      </c>
      <c r="Y144" s="24">
        <f t="shared" si="32"/>
        <v>308.70000000000005</v>
      </c>
      <c r="Z144" s="189"/>
    </row>
    <row r="145" spans="1:27" s="6" customFormat="1" x14ac:dyDescent="0.25">
      <c r="A145" s="22" t="s">
        <v>67</v>
      </c>
      <c r="B145" s="23" t="s">
        <v>68</v>
      </c>
      <c r="C145" s="23" t="s">
        <v>71</v>
      </c>
      <c r="D145" s="23" t="s">
        <v>2</v>
      </c>
      <c r="E145" s="24">
        <f t="shared" si="43"/>
        <v>1500</v>
      </c>
      <c r="F145" s="24">
        <f t="shared" si="43"/>
        <v>0</v>
      </c>
      <c r="G145" s="24">
        <f t="shared" si="37"/>
        <v>1500</v>
      </c>
      <c r="H145" s="24">
        <f t="shared" si="43"/>
        <v>0</v>
      </c>
      <c r="I145" s="24">
        <f t="shared" si="38"/>
        <v>1500</v>
      </c>
      <c r="J145" s="24">
        <f t="shared" si="43"/>
        <v>-44.5</v>
      </c>
      <c r="K145" s="24">
        <f t="shared" si="39"/>
        <v>1455.5</v>
      </c>
      <c r="L145" s="24">
        <f t="shared" si="43"/>
        <v>-101</v>
      </c>
      <c r="M145" s="24">
        <f t="shared" si="40"/>
        <v>1354.5</v>
      </c>
      <c r="N145" s="24">
        <f t="shared" si="43"/>
        <v>-644.4</v>
      </c>
      <c r="O145" s="24">
        <f t="shared" si="41"/>
        <v>710.1</v>
      </c>
      <c r="P145" s="24">
        <f t="shared" si="43"/>
        <v>0</v>
      </c>
      <c r="Q145" s="24">
        <f t="shared" si="17"/>
        <v>710.1</v>
      </c>
      <c r="R145" s="24">
        <f t="shared" si="43"/>
        <v>-64</v>
      </c>
      <c r="S145" s="24">
        <f t="shared" si="18"/>
        <v>646.1</v>
      </c>
      <c r="T145" s="24">
        <f t="shared" si="43"/>
        <v>-302.89999999999998</v>
      </c>
      <c r="U145" s="24">
        <f t="shared" si="30"/>
        <v>343.20000000000005</v>
      </c>
      <c r="V145" s="24">
        <f t="shared" si="43"/>
        <v>-34.5</v>
      </c>
      <c r="W145" s="24">
        <f t="shared" si="31"/>
        <v>308.70000000000005</v>
      </c>
      <c r="X145" s="24">
        <f t="shared" si="43"/>
        <v>0</v>
      </c>
      <c r="Y145" s="24">
        <f t="shared" si="32"/>
        <v>308.70000000000005</v>
      </c>
      <c r="Z145" s="189"/>
    </row>
    <row r="146" spans="1:27" x14ac:dyDescent="0.25">
      <c r="A146" s="25" t="s">
        <v>579</v>
      </c>
      <c r="B146" s="26" t="s">
        <v>68</v>
      </c>
      <c r="C146" s="26" t="s">
        <v>71</v>
      </c>
      <c r="D146" s="26" t="s">
        <v>72</v>
      </c>
      <c r="E146" s="27">
        <v>1500</v>
      </c>
      <c r="F146" s="27"/>
      <c r="G146" s="24">
        <f t="shared" si="37"/>
        <v>1500</v>
      </c>
      <c r="H146" s="27"/>
      <c r="I146" s="24">
        <f t="shared" si="38"/>
        <v>1500</v>
      </c>
      <c r="J146" s="63">
        <v>-44.5</v>
      </c>
      <c r="K146" s="24">
        <f t="shared" si="39"/>
        <v>1455.5</v>
      </c>
      <c r="L146" s="107">
        <v>-101</v>
      </c>
      <c r="M146" s="24">
        <f t="shared" si="40"/>
        <v>1354.5</v>
      </c>
      <c r="N146" s="63">
        <v>-644.4</v>
      </c>
      <c r="O146" s="24">
        <f t="shared" si="41"/>
        <v>710.1</v>
      </c>
      <c r="P146" s="69"/>
      <c r="Q146" s="24">
        <f t="shared" si="17"/>
        <v>710.1</v>
      </c>
      <c r="R146" s="39">
        <v>-64</v>
      </c>
      <c r="S146" s="24">
        <f t="shared" si="18"/>
        <v>646.1</v>
      </c>
      <c r="T146" s="63">
        <v>-302.89999999999998</v>
      </c>
      <c r="U146" s="24">
        <f t="shared" si="30"/>
        <v>343.20000000000005</v>
      </c>
      <c r="V146" s="94">
        <v>-34.5</v>
      </c>
      <c r="W146" s="24">
        <f t="shared" si="31"/>
        <v>308.70000000000005</v>
      </c>
      <c r="X146" s="69"/>
      <c r="Y146" s="24">
        <f t="shared" si="32"/>
        <v>308.70000000000005</v>
      </c>
      <c r="AA146" s="189">
        <f>Y146+Z146</f>
        <v>308.70000000000005</v>
      </c>
    </row>
    <row r="147" spans="1:27" s="6" customFormat="1" x14ac:dyDescent="0.25">
      <c r="A147" s="22" t="s">
        <v>73</v>
      </c>
      <c r="B147" s="23" t="s">
        <v>74</v>
      </c>
      <c r="C147" s="23" t="s">
        <v>2</v>
      </c>
      <c r="D147" s="23" t="s">
        <v>2</v>
      </c>
      <c r="E147" s="24">
        <f>E148+E155+E178+E212+E253</f>
        <v>105383.79999999999</v>
      </c>
      <c r="F147" s="24">
        <f>F148+F155+F178+F212+F253</f>
        <v>-624.99999999999977</v>
      </c>
      <c r="G147" s="24">
        <f t="shared" si="37"/>
        <v>104758.79999999999</v>
      </c>
      <c r="H147" s="24">
        <f>H148+H155+H178+H212+H253</f>
        <v>-6191.4</v>
      </c>
      <c r="I147" s="24">
        <f t="shared" si="38"/>
        <v>98567.4</v>
      </c>
      <c r="J147" s="24">
        <f>J148+J155+J178+J212+J253</f>
        <v>-513.69999999999993</v>
      </c>
      <c r="K147" s="24">
        <f t="shared" si="39"/>
        <v>98053.7</v>
      </c>
      <c r="L147" s="24">
        <f>L148+L155+L178+L212+L253</f>
        <v>66212.800000000003</v>
      </c>
      <c r="M147" s="24">
        <f t="shared" si="40"/>
        <v>164266.5</v>
      </c>
      <c r="N147" s="24">
        <f>N148+N155+N178+N212+N253</f>
        <v>64982.7</v>
      </c>
      <c r="O147" s="24">
        <f t="shared" si="41"/>
        <v>229249.2</v>
      </c>
      <c r="P147" s="24">
        <f>P148+P155+P178+P212+P253</f>
        <v>-111460.9</v>
      </c>
      <c r="Q147" s="24">
        <f t="shared" si="17"/>
        <v>117788.30000000002</v>
      </c>
      <c r="R147" s="24">
        <f>R148+R155+R178+R212+R253</f>
        <v>13378.400000000003</v>
      </c>
      <c r="S147" s="24">
        <f t="shared" si="18"/>
        <v>131166.70000000001</v>
      </c>
      <c r="T147" s="24">
        <f>T148+T155+T178+T212+T253</f>
        <v>708.60000000000014</v>
      </c>
      <c r="U147" s="24">
        <f t="shared" si="30"/>
        <v>131875.30000000002</v>
      </c>
      <c r="V147" s="24">
        <f>V148+V155+V178+V212+V253</f>
        <v>-24049.399999999994</v>
      </c>
      <c r="W147" s="24">
        <f t="shared" si="31"/>
        <v>107825.90000000002</v>
      </c>
      <c r="X147" s="24">
        <f>X148+X155+X178+X212+X253</f>
        <v>4641.3999999999996</v>
      </c>
      <c r="Y147" s="24">
        <f t="shared" si="32"/>
        <v>112467.30000000002</v>
      </c>
      <c r="Z147" s="189"/>
    </row>
    <row r="148" spans="1:27" s="6" customFormat="1" x14ac:dyDescent="0.25">
      <c r="A148" s="22" t="s">
        <v>75</v>
      </c>
      <c r="B148" s="23" t="s">
        <v>74</v>
      </c>
      <c r="C148" s="23" t="s">
        <v>76</v>
      </c>
      <c r="D148" s="23" t="s">
        <v>2</v>
      </c>
      <c r="E148" s="24">
        <f t="shared" ref="E148:X153" si="44">E149</f>
        <v>24106.5</v>
      </c>
      <c r="F148" s="24">
        <f t="shared" si="44"/>
        <v>0</v>
      </c>
      <c r="G148" s="24">
        <f t="shared" si="37"/>
        <v>24106.5</v>
      </c>
      <c r="H148" s="24">
        <f t="shared" si="44"/>
        <v>0</v>
      </c>
      <c r="I148" s="24">
        <f t="shared" si="38"/>
        <v>24106.5</v>
      </c>
      <c r="J148" s="24">
        <f t="shared" si="44"/>
        <v>0</v>
      </c>
      <c r="K148" s="24">
        <f t="shared" si="39"/>
        <v>24106.5</v>
      </c>
      <c r="L148" s="24">
        <f t="shared" si="44"/>
        <v>3300</v>
      </c>
      <c r="M148" s="24">
        <f t="shared" si="40"/>
        <v>27406.5</v>
      </c>
      <c r="N148" s="24">
        <f t="shared" si="44"/>
        <v>0</v>
      </c>
      <c r="O148" s="24">
        <f t="shared" si="41"/>
        <v>27406.5</v>
      </c>
      <c r="P148" s="24">
        <f t="shared" si="44"/>
        <v>430</v>
      </c>
      <c r="Q148" s="24">
        <f t="shared" si="17"/>
        <v>27836.5</v>
      </c>
      <c r="R148" s="24">
        <f t="shared" si="44"/>
        <v>0</v>
      </c>
      <c r="S148" s="24">
        <f t="shared" si="18"/>
        <v>27836.5</v>
      </c>
      <c r="T148" s="24">
        <f t="shared" si="44"/>
        <v>-963.4</v>
      </c>
      <c r="U148" s="24">
        <f t="shared" si="30"/>
        <v>26873.1</v>
      </c>
      <c r="V148" s="24">
        <f t="shared" si="44"/>
        <v>0</v>
      </c>
      <c r="W148" s="24">
        <f t="shared" si="31"/>
        <v>26873.1</v>
      </c>
      <c r="X148" s="24">
        <f t="shared" si="44"/>
        <v>2576.1999999999998</v>
      </c>
      <c r="Y148" s="24">
        <f t="shared" si="32"/>
        <v>29449.3</v>
      </c>
      <c r="Z148" s="189"/>
    </row>
    <row r="149" spans="1:27" s="6" customFormat="1" ht="24.75" x14ac:dyDescent="0.25">
      <c r="A149" s="22" t="s">
        <v>77</v>
      </c>
      <c r="B149" s="23" t="s">
        <v>74</v>
      </c>
      <c r="C149" s="23" t="s">
        <v>78</v>
      </c>
      <c r="D149" s="23" t="s">
        <v>2</v>
      </c>
      <c r="E149" s="24">
        <f t="shared" si="44"/>
        <v>24106.5</v>
      </c>
      <c r="F149" s="24">
        <f t="shared" si="44"/>
        <v>0</v>
      </c>
      <c r="G149" s="24">
        <f t="shared" si="37"/>
        <v>24106.5</v>
      </c>
      <c r="H149" s="24">
        <f t="shared" si="44"/>
        <v>0</v>
      </c>
      <c r="I149" s="24">
        <f t="shared" si="38"/>
        <v>24106.5</v>
      </c>
      <c r="J149" s="24">
        <f t="shared" si="44"/>
        <v>0</v>
      </c>
      <c r="K149" s="24">
        <f t="shared" si="39"/>
        <v>24106.5</v>
      </c>
      <c r="L149" s="24">
        <f t="shared" si="44"/>
        <v>3300</v>
      </c>
      <c r="M149" s="24">
        <f t="shared" si="40"/>
        <v>27406.5</v>
      </c>
      <c r="N149" s="24">
        <f t="shared" si="44"/>
        <v>0</v>
      </c>
      <c r="O149" s="24">
        <f t="shared" si="41"/>
        <v>27406.5</v>
      </c>
      <c r="P149" s="24">
        <f t="shared" si="44"/>
        <v>430</v>
      </c>
      <c r="Q149" s="24">
        <f t="shared" si="17"/>
        <v>27836.5</v>
      </c>
      <c r="R149" s="24">
        <f t="shared" si="44"/>
        <v>0</v>
      </c>
      <c r="S149" s="24">
        <f t="shared" si="18"/>
        <v>27836.5</v>
      </c>
      <c r="T149" s="24">
        <f t="shared" si="44"/>
        <v>-963.4</v>
      </c>
      <c r="U149" s="24">
        <f t="shared" si="30"/>
        <v>26873.1</v>
      </c>
      <c r="V149" s="24">
        <f t="shared" si="44"/>
        <v>0</v>
      </c>
      <c r="W149" s="24">
        <f t="shared" si="31"/>
        <v>26873.1</v>
      </c>
      <c r="X149" s="24">
        <f t="shared" si="44"/>
        <v>2576.1999999999998</v>
      </c>
      <c r="Y149" s="24">
        <f t="shared" si="32"/>
        <v>29449.3</v>
      </c>
      <c r="Z149" s="189"/>
    </row>
    <row r="150" spans="1:27" s="6" customFormat="1" ht="19.5" customHeight="1" x14ac:dyDescent="0.25">
      <c r="A150" s="22" t="s">
        <v>79</v>
      </c>
      <c r="B150" s="23" t="s">
        <v>74</v>
      </c>
      <c r="C150" s="23" t="s">
        <v>80</v>
      </c>
      <c r="D150" s="23" t="s">
        <v>2</v>
      </c>
      <c r="E150" s="24">
        <f>E153</f>
        <v>24106.5</v>
      </c>
      <c r="F150" s="24">
        <f>F153</f>
        <v>0</v>
      </c>
      <c r="G150" s="24">
        <f t="shared" si="37"/>
        <v>24106.5</v>
      </c>
      <c r="H150" s="24">
        <f>H153</f>
        <v>0</v>
      </c>
      <c r="I150" s="24">
        <f t="shared" si="38"/>
        <v>24106.5</v>
      </c>
      <c r="J150" s="24">
        <f>J153</f>
        <v>0</v>
      </c>
      <c r="K150" s="24">
        <f t="shared" si="39"/>
        <v>24106.5</v>
      </c>
      <c r="L150" s="24">
        <f>L153+L151</f>
        <v>3300</v>
      </c>
      <c r="M150" s="24">
        <f t="shared" si="40"/>
        <v>27406.5</v>
      </c>
      <c r="N150" s="24">
        <f>N153+N151</f>
        <v>0</v>
      </c>
      <c r="O150" s="24">
        <f t="shared" si="41"/>
        <v>27406.5</v>
      </c>
      <c r="P150" s="24">
        <f>P153+P151</f>
        <v>430</v>
      </c>
      <c r="Q150" s="24">
        <f t="shared" si="17"/>
        <v>27836.5</v>
      </c>
      <c r="R150" s="24">
        <f>R153+R151</f>
        <v>0</v>
      </c>
      <c r="S150" s="24">
        <f t="shared" si="18"/>
        <v>27836.5</v>
      </c>
      <c r="T150" s="24">
        <f>T153+T151</f>
        <v>-963.4</v>
      </c>
      <c r="U150" s="24">
        <f t="shared" si="30"/>
        <v>26873.1</v>
      </c>
      <c r="V150" s="24">
        <f>V153+V151</f>
        <v>0</v>
      </c>
      <c r="W150" s="24">
        <f t="shared" si="31"/>
        <v>26873.1</v>
      </c>
      <c r="X150" s="24">
        <f>X153+X151</f>
        <v>2576.1999999999998</v>
      </c>
      <c r="Y150" s="24">
        <f t="shared" si="32"/>
        <v>29449.3</v>
      </c>
      <c r="Z150" s="189"/>
    </row>
    <row r="151" spans="1:27" s="6" customFormat="1" ht="15" customHeight="1" x14ac:dyDescent="0.25">
      <c r="A151" s="40" t="s">
        <v>658</v>
      </c>
      <c r="B151" s="20" t="s">
        <v>74</v>
      </c>
      <c r="C151" s="41" t="s">
        <v>839</v>
      </c>
      <c r="D151" s="41"/>
      <c r="E151" s="24"/>
      <c r="F151" s="24"/>
      <c r="G151" s="24"/>
      <c r="H151" s="24"/>
      <c r="I151" s="24"/>
      <c r="J151" s="24"/>
      <c r="K151" s="24"/>
      <c r="L151" s="18">
        <f>L152</f>
        <v>3300</v>
      </c>
      <c r="M151" s="24">
        <f t="shared" si="40"/>
        <v>3300</v>
      </c>
      <c r="N151" s="18">
        <f>N152</f>
        <v>0</v>
      </c>
      <c r="O151" s="24">
        <f t="shared" si="41"/>
        <v>3300</v>
      </c>
      <c r="P151" s="18">
        <f>P152</f>
        <v>430</v>
      </c>
      <c r="Q151" s="24">
        <f t="shared" si="17"/>
        <v>3730</v>
      </c>
      <c r="R151" s="18">
        <f>R152</f>
        <v>0</v>
      </c>
      <c r="S151" s="24">
        <f t="shared" si="18"/>
        <v>3730</v>
      </c>
      <c r="T151" s="18">
        <f>T152</f>
        <v>-963.4</v>
      </c>
      <c r="U151" s="24">
        <f t="shared" si="30"/>
        <v>2766.6</v>
      </c>
      <c r="V151" s="18">
        <f>V152</f>
        <v>0</v>
      </c>
      <c r="W151" s="24">
        <f t="shared" si="31"/>
        <v>2766.6</v>
      </c>
      <c r="X151" s="18">
        <f>X152</f>
        <v>0</v>
      </c>
      <c r="Y151" s="24">
        <f t="shared" si="32"/>
        <v>2766.6</v>
      </c>
      <c r="Z151" s="189"/>
    </row>
    <row r="152" spans="1:27" s="6" customFormat="1" ht="15" customHeight="1" x14ac:dyDescent="0.25">
      <c r="A152" s="30" t="s">
        <v>574</v>
      </c>
      <c r="B152" s="21" t="s">
        <v>74</v>
      </c>
      <c r="C152" s="42" t="s">
        <v>839</v>
      </c>
      <c r="D152" s="65" t="s">
        <v>81</v>
      </c>
      <c r="E152" s="24"/>
      <c r="F152" s="24"/>
      <c r="G152" s="24"/>
      <c r="H152" s="24"/>
      <c r="I152" s="24"/>
      <c r="J152" s="24"/>
      <c r="K152" s="24"/>
      <c r="L152" s="86">
        <f>1000+2300</f>
        <v>3300</v>
      </c>
      <c r="M152" s="24">
        <f t="shared" si="40"/>
        <v>3300</v>
      </c>
      <c r="N152" s="69"/>
      <c r="O152" s="24">
        <f t="shared" si="41"/>
        <v>3300</v>
      </c>
      <c r="P152" s="39">
        <f>-3300+3300+430</f>
        <v>430</v>
      </c>
      <c r="Q152" s="24">
        <f t="shared" si="17"/>
        <v>3730</v>
      </c>
      <c r="R152" s="39">
        <v>0</v>
      </c>
      <c r="S152" s="24">
        <f t="shared" si="18"/>
        <v>3730</v>
      </c>
      <c r="T152" s="39">
        <v>-963.4</v>
      </c>
      <c r="U152" s="24">
        <f t="shared" si="30"/>
        <v>2766.6</v>
      </c>
      <c r="V152" s="69"/>
      <c r="W152" s="24">
        <f t="shared" si="31"/>
        <v>2766.6</v>
      </c>
      <c r="X152" s="69"/>
      <c r="Y152" s="24">
        <f t="shared" si="32"/>
        <v>2766.6</v>
      </c>
      <c r="Z152" s="189"/>
      <c r="AA152" s="189">
        <f>Y152+Z152</f>
        <v>2766.6</v>
      </c>
    </row>
    <row r="153" spans="1:27" s="6" customFormat="1" ht="36.75" x14ac:dyDescent="0.25">
      <c r="A153" s="22" t="s">
        <v>37</v>
      </c>
      <c r="B153" s="23" t="s">
        <v>74</v>
      </c>
      <c r="C153" s="23" t="s">
        <v>82</v>
      </c>
      <c r="D153" s="23" t="s">
        <v>2</v>
      </c>
      <c r="E153" s="24">
        <f t="shared" si="44"/>
        <v>24106.5</v>
      </c>
      <c r="F153" s="24">
        <f t="shared" si="44"/>
        <v>0</v>
      </c>
      <c r="G153" s="24">
        <f t="shared" si="37"/>
        <v>24106.5</v>
      </c>
      <c r="H153" s="24">
        <f t="shared" si="44"/>
        <v>0</v>
      </c>
      <c r="I153" s="24">
        <f t="shared" si="38"/>
        <v>24106.5</v>
      </c>
      <c r="J153" s="24">
        <f t="shared" si="44"/>
        <v>0</v>
      </c>
      <c r="K153" s="24">
        <f t="shared" si="39"/>
        <v>24106.5</v>
      </c>
      <c r="L153" s="24">
        <f t="shared" si="44"/>
        <v>0</v>
      </c>
      <c r="M153" s="24">
        <f t="shared" si="40"/>
        <v>24106.5</v>
      </c>
      <c r="N153" s="24">
        <f t="shared" si="44"/>
        <v>0</v>
      </c>
      <c r="O153" s="24">
        <f t="shared" si="41"/>
        <v>24106.5</v>
      </c>
      <c r="P153" s="24">
        <f t="shared" si="44"/>
        <v>0</v>
      </c>
      <c r="Q153" s="24">
        <f t="shared" si="17"/>
        <v>24106.5</v>
      </c>
      <c r="R153" s="24">
        <f t="shared" si="44"/>
        <v>0</v>
      </c>
      <c r="S153" s="24">
        <f t="shared" si="18"/>
        <v>24106.5</v>
      </c>
      <c r="T153" s="24">
        <f t="shared" si="44"/>
        <v>0</v>
      </c>
      <c r="U153" s="24">
        <f t="shared" si="30"/>
        <v>24106.5</v>
      </c>
      <c r="V153" s="24">
        <f t="shared" si="44"/>
        <v>0</v>
      </c>
      <c r="W153" s="24">
        <f t="shared" si="31"/>
        <v>24106.5</v>
      </c>
      <c r="X153" s="24">
        <f t="shared" si="44"/>
        <v>2576.1999999999998</v>
      </c>
      <c r="Y153" s="24">
        <f t="shared" si="32"/>
        <v>26682.7</v>
      </c>
      <c r="Z153" s="189"/>
    </row>
    <row r="154" spans="1:27" ht="36.75" x14ac:dyDescent="0.25">
      <c r="A154" s="25" t="s">
        <v>573</v>
      </c>
      <c r="B154" s="26" t="s">
        <v>74</v>
      </c>
      <c r="C154" s="26" t="s">
        <v>82</v>
      </c>
      <c r="D154" s="26" t="s">
        <v>83</v>
      </c>
      <c r="E154" s="27">
        <v>24106.5</v>
      </c>
      <c r="F154" s="27"/>
      <c r="G154" s="24">
        <f t="shared" si="37"/>
        <v>24106.5</v>
      </c>
      <c r="H154" s="27"/>
      <c r="I154" s="24">
        <f t="shared" si="38"/>
        <v>24106.5</v>
      </c>
      <c r="J154" s="27"/>
      <c r="K154" s="24">
        <f t="shared" si="39"/>
        <v>24106.5</v>
      </c>
      <c r="L154" s="27"/>
      <c r="M154" s="24">
        <f t="shared" si="40"/>
        <v>24106.5</v>
      </c>
      <c r="N154" s="27"/>
      <c r="O154" s="24">
        <f t="shared" si="41"/>
        <v>24106.5</v>
      </c>
      <c r="P154" s="27"/>
      <c r="Q154" s="24">
        <f t="shared" si="17"/>
        <v>24106.5</v>
      </c>
      <c r="R154" s="27"/>
      <c r="S154" s="24">
        <f t="shared" si="18"/>
        <v>24106.5</v>
      </c>
      <c r="T154" s="69"/>
      <c r="U154" s="24">
        <f t="shared" si="30"/>
        <v>24106.5</v>
      </c>
      <c r="V154" s="69"/>
      <c r="W154" s="24">
        <f t="shared" si="31"/>
        <v>24106.5</v>
      </c>
      <c r="X154" s="39">
        <v>2576.1999999999998</v>
      </c>
      <c r="Y154" s="24">
        <f t="shared" si="32"/>
        <v>26682.7</v>
      </c>
      <c r="Z154" s="61">
        <v>2576.1999999999998</v>
      </c>
      <c r="AA154" s="189">
        <f>Y154+Z154</f>
        <v>29258.9</v>
      </c>
    </row>
    <row r="155" spans="1:27" s="6" customFormat="1" ht="24.75" x14ac:dyDescent="0.25">
      <c r="A155" s="22" t="s">
        <v>621</v>
      </c>
      <c r="B155" s="23" t="s">
        <v>74</v>
      </c>
      <c r="C155" s="23" t="s">
        <v>60</v>
      </c>
      <c r="D155" s="23" t="s">
        <v>2</v>
      </c>
      <c r="E155" s="24">
        <f>E158+E172</f>
        <v>54313.899999999994</v>
      </c>
      <c r="F155" s="24">
        <f>F158+F172</f>
        <v>0</v>
      </c>
      <c r="G155" s="24">
        <f t="shared" si="37"/>
        <v>54313.899999999994</v>
      </c>
      <c r="H155" s="24">
        <f>H158+H172</f>
        <v>-6191.4</v>
      </c>
      <c r="I155" s="24">
        <f t="shared" si="38"/>
        <v>48122.499999999993</v>
      </c>
      <c r="J155" s="24">
        <f>J158+J172</f>
        <v>-250.79999999999998</v>
      </c>
      <c r="K155" s="24">
        <f t="shared" si="39"/>
        <v>47871.69999999999</v>
      </c>
      <c r="L155" s="24">
        <f>L158+L172</f>
        <v>49898.7</v>
      </c>
      <c r="M155" s="24">
        <f t="shared" si="40"/>
        <v>97770.4</v>
      </c>
      <c r="N155" s="24">
        <f>N158+N172</f>
        <v>59041.2</v>
      </c>
      <c r="O155" s="24">
        <f t="shared" si="41"/>
        <v>156811.59999999998</v>
      </c>
      <c r="P155" s="24">
        <f>P158+P172</f>
        <v>-108647.7</v>
      </c>
      <c r="Q155" s="24">
        <f t="shared" si="17"/>
        <v>48163.89999999998</v>
      </c>
      <c r="R155" s="24">
        <f>R158+R172+R156</f>
        <v>16432.600000000002</v>
      </c>
      <c r="S155" s="24">
        <f t="shared" si="18"/>
        <v>64596.499999999985</v>
      </c>
      <c r="T155" s="24">
        <f>T158+T172+T156</f>
        <v>3335.8</v>
      </c>
      <c r="U155" s="24">
        <f t="shared" si="30"/>
        <v>67932.299999999988</v>
      </c>
      <c r="V155" s="24">
        <f>V158+V172+V156</f>
        <v>-21723.1</v>
      </c>
      <c r="W155" s="24">
        <f t="shared" si="31"/>
        <v>46209.19999999999</v>
      </c>
      <c r="X155" s="24">
        <f>X158+X172+X156</f>
        <v>-19</v>
      </c>
      <c r="Y155" s="24">
        <f t="shared" si="32"/>
        <v>46190.19999999999</v>
      </c>
      <c r="Z155" s="189"/>
    </row>
    <row r="156" spans="1:27" s="6" customFormat="1" x14ac:dyDescent="0.25">
      <c r="A156" s="16" t="s">
        <v>67</v>
      </c>
      <c r="B156" s="20" t="s">
        <v>74</v>
      </c>
      <c r="C156" s="20" t="s">
        <v>71</v>
      </c>
      <c r="D156" s="20" t="s">
        <v>2</v>
      </c>
      <c r="E156" s="24"/>
      <c r="F156" s="24"/>
      <c r="G156" s="24"/>
      <c r="H156" s="24"/>
      <c r="I156" s="24"/>
      <c r="J156" s="24"/>
      <c r="K156" s="24"/>
      <c r="L156" s="24"/>
      <c r="M156" s="24"/>
      <c r="N156" s="24"/>
      <c r="O156" s="24"/>
      <c r="P156" s="24"/>
      <c r="Q156" s="24"/>
      <c r="R156" s="50">
        <f>R157</f>
        <v>46.8</v>
      </c>
      <c r="S156" s="24">
        <f t="shared" si="18"/>
        <v>46.8</v>
      </c>
      <c r="T156" s="50">
        <f>T157</f>
        <v>0</v>
      </c>
      <c r="U156" s="24">
        <f t="shared" si="30"/>
        <v>46.8</v>
      </c>
      <c r="V156" s="50">
        <f>V157</f>
        <v>0</v>
      </c>
      <c r="W156" s="24">
        <f t="shared" si="31"/>
        <v>46.8</v>
      </c>
      <c r="X156" s="50">
        <f>X157</f>
        <v>0</v>
      </c>
      <c r="Y156" s="24">
        <f t="shared" si="32"/>
        <v>46.8</v>
      </c>
      <c r="Z156" s="189"/>
    </row>
    <row r="157" spans="1:27" s="6" customFormat="1" x14ac:dyDescent="0.25">
      <c r="A157" s="30" t="s">
        <v>66</v>
      </c>
      <c r="B157" s="21" t="s">
        <v>74</v>
      </c>
      <c r="C157" s="21" t="s">
        <v>71</v>
      </c>
      <c r="D157" s="21" t="s">
        <v>42</v>
      </c>
      <c r="E157" s="24"/>
      <c r="F157" s="24"/>
      <c r="G157" s="24"/>
      <c r="H157" s="24"/>
      <c r="I157" s="24"/>
      <c r="J157" s="24"/>
      <c r="K157" s="24"/>
      <c r="L157" s="24"/>
      <c r="M157" s="24"/>
      <c r="N157" s="24"/>
      <c r="O157" s="24"/>
      <c r="P157" s="24"/>
      <c r="Q157" s="24"/>
      <c r="R157" s="91">
        <v>46.8</v>
      </c>
      <c r="S157" s="24">
        <f t="shared" si="18"/>
        <v>46.8</v>
      </c>
      <c r="T157" s="84"/>
      <c r="U157" s="24">
        <f t="shared" si="30"/>
        <v>46.8</v>
      </c>
      <c r="V157" s="84"/>
      <c r="W157" s="24">
        <f t="shared" si="31"/>
        <v>46.8</v>
      </c>
      <c r="X157" s="84"/>
      <c r="Y157" s="24">
        <f t="shared" si="32"/>
        <v>46.8</v>
      </c>
      <c r="Z157" s="189"/>
      <c r="AA157" s="189">
        <f>Y157+Z157</f>
        <v>46.8</v>
      </c>
    </row>
    <row r="158" spans="1:27" s="6" customFormat="1" ht="15.75" customHeight="1" x14ac:dyDescent="0.25">
      <c r="A158" s="22" t="s">
        <v>61</v>
      </c>
      <c r="B158" s="23" t="s">
        <v>74</v>
      </c>
      <c r="C158" s="23" t="s">
        <v>62</v>
      </c>
      <c r="D158" s="23" t="s">
        <v>2</v>
      </c>
      <c r="E158" s="24">
        <f>E165</f>
        <v>38863.899999999994</v>
      </c>
      <c r="F158" s="24">
        <f>F165</f>
        <v>0</v>
      </c>
      <c r="G158" s="24">
        <f t="shared" si="37"/>
        <v>38863.899999999994</v>
      </c>
      <c r="H158" s="24">
        <f>H165</f>
        <v>0</v>
      </c>
      <c r="I158" s="24">
        <f t="shared" si="38"/>
        <v>38863.899999999994</v>
      </c>
      <c r="J158" s="24">
        <f>J165</f>
        <v>0</v>
      </c>
      <c r="K158" s="24">
        <f t="shared" si="39"/>
        <v>38863.899999999994</v>
      </c>
      <c r="L158" s="24">
        <f>L165</f>
        <v>0</v>
      </c>
      <c r="M158" s="24">
        <f t="shared" si="40"/>
        <v>38863.899999999994</v>
      </c>
      <c r="N158" s="24">
        <f>N165</f>
        <v>0</v>
      </c>
      <c r="O158" s="24">
        <f t="shared" si="41"/>
        <v>38863.899999999994</v>
      </c>
      <c r="P158" s="24">
        <f>P165</f>
        <v>0</v>
      </c>
      <c r="Q158" s="24">
        <f t="shared" si="17"/>
        <v>38863.899999999994</v>
      </c>
      <c r="R158" s="24">
        <f>R165</f>
        <v>5685.6</v>
      </c>
      <c r="S158" s="24">
        <f t="shared" si="18"/>
        <v>44549.499999999993</v>
      </c>
      <c r="T158" s="24">
        <f>T165</f>
        <v>0.2</v>
      </c>
      <c r="U158" s="24">
        <f t="shared" si="30"/>
        <v>44549.69999999999</v>
      </c>
      <c r="V158" s="24">
        <f>V165+V162+V159</f>
        <v>1112.4000000000001</v>
      </c>
      <c r="W158" s="24">
        <f t="shared" si="31"/>
        <v>45662.099999999991</v>
      </c>
      <c r="X158" s="24">
        <f>X165+X162+X159</f>
        <v>0</v>
      </c>
      <c r="Y158" s="24">
        <f t="shared" si="32"/>
        <v>45662.099999999991</v>
      </c>
      <c r="Z158" s="189"/>
    </row>
    <row r="159" spans="1:27" s="6" customFormat="1" ht="15.75" customHeight="1" x14ac:dyDescent="0.25">
      <c r="A159" s="16" t="s">
        <v>769</v>
      </c>
      <c r="B159" s="20" t="s">
        <v>74</v>
      </c>
      <c r="C159" s="20" t="s">
        <v>1249</v>
      </c>
      <c r="D159" s="20" t="s">
        <v>2</v>
      </c>
      <c r="E159" s="24"/>
      <c r="F159" s="24"/>
      <c r="G159" s="24"/>
      <c r="H159" s="24"/>
      <c r="I159" s="24"/>
      <c r="J159" s="24"/>
      <c r="K159" s="24"/>
      <c r="L159" s="24"/>
      <c r="M159" s="24"/>
      <c r="N159" s="24"/>
      <c r="O159" s="24"/>
      <c r="P159" s="24"/>
      <c r="Q159" s="24"/>
      <c r="R159" s="24"/>
      <c r="S159" s="24"/>
      <c r="T159" s="24"/>
      <c r="U159" s="24"/>
      <c r="V159" s="24">
        <f>V160+V161</f>
        <v>531.1</v>
      </c>
      <c r="W159" s="24">
        <f t="shared" si="31"/>
        <v>531.1</v>
      </c>
      <c r="X159" s="24">
        <f>X160+X161</f>
        <v>0</v>
      </c>
      <c r="Y159" s="24">
        <f t="shared" si="32"/>
        <v>531.1</v>
      </c>
      <c r="Z159" s="189"/>
    </row>
    <row r="160" spans="1:27" s="6" customFormat="1" ht="15.75" customHeight="1" x14ac:dyDescent="0.25">
      <c r="A160" s="17" t="s">
        <v>564</v>
      </c>
      <c r="B160" s="21" t="s">
        <v>74</v>
      </c>
      <c r="C160" s="21" t="s">
        <v>1249</v>
      </c>
      <c r="D160" s="21" t="s">
        <v>86</v>
      </c>
      <c r="E160" s="24"/>
      <c r="F160" s="24"/>
      <c r="G160" s="24"/>
      <c r="H160" s="24"/>
      <c r="I160" s="24"/>
      <c r="J160" s="24"/>
      <c r="K160" s="24"/>
      <c r="L160" s="24"/>
      <c r="M160" s="24"/>
      <c r="N160" s="24"/>
      <c r="O160" s="24"/>
      <c r="P160" s="24"/>
      <c r="Q160" s="24"/>
      <c r="R160" s="24"/>
      <c r="S160" s="24"/>
      <c r="T160" s="24"/>
      <c r="U160" s="24"/>
      <c r="V160" s="185">
        <v>407.9</v>
      </c>
      <c r="W160" s="24">
        <f t="shared" si="31"/>
        <v>407.9</v>
      </c>
      <c r="X160" s="84"/>
      <c r="Y160" s="24">
        <f t="shared" si="32"/>
        <v>407.9</v>
      </c>
      <c r="Z160" s="189"/>
      <c r="AA160" s="189">
        <f t="shared" ref="AA160:AA161" si="45">Y160+Z160</f>
        <v>407.9</v>
      </c>
    </row>
    <row r="161" spans="1:27" s="6" customFormat="1" ht="15.75" customHeight="1" x14ac:dyDescent="0.25">
      <c r="A161" s="17" t="s">
        <v>565</v>
      </c>
      <c r="B161" s="21" t="s">
        <v>74</v>
      </c>
      <c r="C161" s="21" t="s">
        <v>1249</v>
      </c>
      <c r="D161" s="21" t="s">
        <v>89</v>
      </c>
      <c r="E161" s="24"/>
      <c r="F161" s="24"/>
      <c r="G161" s="24"/>
      <c r="H161" s="24"/>
      <c r="I161" s="24"/>
      <c r="J161" s="24"/>
      <c r="K161" s="24"/>
      <c r="L161" s="24"/>
      <c r="M161" s="24"/>
      <c r="N161" s="24"/>
      <c r="O161" s="24"/>
      <c r="P161" s="24"/>
      <c r="Q161" s="24"/>
      <c r="R161" s="24"/>
      <c r="S161" s="24"/>
      <c r="T161" s="24"/>
      <c r="U161" s="24"/>
      <c r="V161" s="185">
        <v>123.2</v>
      </c>
      <c r="W161" s="24">
        <f t="shared" si="31"/>
        <v>123.2</v>
      </c>
      <c r="X161" s="84"/>
      <c r="Y161" s="24">
        <f t="shared" si="32"/>
        <v>123.2</v>
      </c>
      <c r="Z161" s="189"/>
      <c r="AA161" s="189">
        <f t="shared" si="45"/>
        <v>123.2</v>
      </c>
    </row>
    <row r="162" spans="1:27" s="6" customFormat="1" ht="15.75" customHeight="1" x14ac:dyDescent="0.25">
      <c r="A162" s="100" t="s">
        <v>841</v>
      </c>
      <c r="B162" s="20" t="s">
        <v>74</v>
      </c>
      <c r="C162" s="20" t="s">
        <v>1403</v>
      </c>
      <c r="D162" s="20" t="s">
        <v>2</v>
      </c>
      <c r="E162" s="24"/>
      <c r="F162" s="24"/>
      <c r="G162" s="24"/>
      <c r="H162" s="24"/>
      <c r="I162" s="24"/>
      <c r="J162" s="24"/>
      <c r="K162" s="24"/>
      <c r="L162" s="24"/>
      <c r="M162" s="24"/>
      <c r="N162" s="24"/>
      <c r="O162" s="24"/>
      <c r="P162" s="24"/>
      <c r="Q162" s="24"/>
      <c r="R162" s="24"/>
      <c r="S162" s="24"/>
      <c r="T162" s="24"/>
      <c r="U162" s="24"/>
      <c r="V162" s="18">
        <f>V163+V164</f>
        <v>581.29999999999995</v>
      </c>
      <c r="W162" s="24">
        <f t="shared" si="31"/>
        <v>581.29999999999995</v>
      </c>
      <c r="X162" s="18">
        <f>X163+X164</f>
        <v>0</v>
      </c>
      <c r="Y162" s="24">
        <f t="shared" si="32"/>
        <v>581.29999999999995</v>
      </c>
      <c r="Z162" s="189"/>
    </row>
    <row r="163" spans="1:27" s="6" customFormat="1" ht="15.75" customHeight="1" x14ac:dyDescent="0.25">
      <c r="A163" s="17" t="s">
        <v>564</v>
      </c>
      <c r="B163" s="21" t="s">
        <v>74</v>
      </c>
      <c r="C163" s="21" t="s">
        <v>1403</v>
      </c>
      <c r="D163" s="21" t="s">
        <v>86</v>
      </c>
      <c r="E163" s="24"/>
      <c r="F163" s="24"/>
      <c r="G163" s="24"/>
      <c r="H163" s="24"/>
      <c r="I163" s="24"/>
      <c r="J163" s="24"/>
      <c r="K163" s="24"/>
      <c r="L163" s="24"/>
      <c r="M163" s="24"/>
      <c r="N163" s="24"/>
      <c r="O163" s="24"/>
      <c r="P163" s="24"/>
      <c r="Q163" s="24"/>
      <c r="R163" s="24"/>
      <c r="S163" s="24"/>
      <c r="T163" s="24"/>
      <c r="U163" s="24"/>
      <c r="V163" s="181">
        <v>446.5</v>
      </c>
      <c r="W163" s="24">
        <f t="shared" si="31"/>
        <v>446.5</v>
      </c>
      <c r="X163" s="69"/>
      <c r="Y163" s="24">
        <f t="shared" si="32"/>
        <v>446.5</v>
      </c>
      <c r="Z163" s="189"/>
      <c r="AA163" s="189">
        <f t="shared" ref="AA163:AA164" si="46">Y163+Z163</f>
        <v>446.5</v>
      </c>
    </row>
    <row r="164" spans="1:27" s="6" customFormat="1" ht="15.75" customHeight="1" x14ac:dyDescent="0.25">
      <c r="A164" s="17" t="s">
        <v>565</v>
      </c>
      <c r="B164" s="21" t="s">
        <v>74</v>
      </c>
      <c r="C164" s="21" t="s">
        <v>1403</v>
      </c>
      <c r="D164" s="21" t="s">
        <v>89</v>
      </c>
      <c r="E164" s="24"/>
      <c r="F164" s="24"/>
      <c r="G164" s="24"/>
      <c r="H164" s="24"/>
      <c r="I164" s="24"/>
      <c r="J164" s="24"/>
      <c r="K164" s="24"/>
      <c r="L164" s="24"/>
      <c r="M164" s="24"/>
      <c r="N164" s="24"/>
      <c r="O164" s="24"/>
      <c r="P164" s="24"/>
      <c r="Q164" s="24"/>
      <c r="R164" s="24"/>
      <c r="S164" s="24"/>
      <c r="T164" s="24"/>
      <c r="U164" s="24"/>
      <c r="V164" s="181">
        <v>134.80000000000001</v>
      </c>
      <c r="W164" s="24">
        <f t="shared" si="31"/>
        <v>134.80000000000001</v>
      </c>
      <c r="X164" s="69"/>
      <c r="Y164" s="24">
        <f t="shared" si="32"/>
        <v>134.80000000000001</v>
      </c>
      <c r="Z164" s="189"/>
      <c r="AA164" s="189">
        <f t="shared" si="46"/>
        <v>134.80000000000001</v>
      </c>
    </row>
    <row r="165" spans="1:27" s="6" customFormat="1" ht="24.75" x14ac:dyDescent="0.25">
      <c r="A165" s="22" t="s">
        <v>84</v>
      </c>
      <c r="B165" s="23" t="s">
        <v>74</v>
      </c>
      <c r="C165" s="23" t="s">
        <v>85</v>
      </c>
      <c r="D165" s="23" t="s">
        <v>2</v>
      </c>
      <c r="E165" s="24">
        <f>E166+E167+E168+E169+E170</f>
        <v>38863.899999999994</v>
      </c>
      <c r="F165" s="24">
        <f>F166+F167+F168+F169+F170</f>
        <v>0</v>
      </c>
      <c r="G165" s="24">
        <f t="shared" si="37"/>
        <v>38863.899999999994</v>
      </c>
      <c r="H165" s="24">
        <f>H166+H167+H168+H169+H170</f>
        <v>0</v>
      </c>
      <c r="I165" s="24">
        <f t="shared" si="38"/>
        <v>38863.899999999994</v>
      </c>
      <c r="J165" s="24">
        <f>J166+J167+J168+J169+J170</f>
        <v>0</v>
      </c>
      <c r="K165" s="24">
        <f t="shared" si="39"/>
        <v>38863.899999999994</v>
      </c>
      <c r="L165" s="24">
        <f>L166+L167+L168+L169+L170</f>
        <v>0</v>
      </c>
      <c r="M165" s="24">
        <f t="shared" si="40"/>
        <v>38863.899999999994</v>
      </c>
      <c r="N165" s="24">
        <f>N166+N167+N168+N169+N170</f>
        <v>0</v>
      </c>
      <c r="O165" s="24">
        <f t="shared" si="41"/>
        <v>38863.899999999994</v>
      </c>
      <c r="P165" s="24">
        <f>P166+P167+P168+P169+P170</f>
        <v>0</v>
      </c>
      <c r="Q165" s="24">
        <f t="shared" si="17"/>
        <v>38863.899999999994</v>
      </c>
      <c r="R165" s="24">
        <f>R166+R167+R168+R169+R170</f>
        <v>5685.6</v>
      </c>
      <c r="S165" s="24">
        <f t="shared" si="18"/>
        <v>44549.499999999993</v>
      </c>
      <c r="T165" s="24">
        <f>T166+T167+T168+T169+T170+T171</f>
        <v>0.2</v>
      </c>
      <c r="U165" s="24">
        <f t="shared" si="30"/>
        <v>44549.69999999999</v>
      </c>
      <c r="V165" s="24">
        <f>V166+V167+V168+V169+V170+V171</f>
        <v>0</v>
      </c>
      <c r="W165" s="24">
        <f t="shared" si="31"/>
        <v>44549.69999999999</v>
      </c>
      <c r="X165" s="24">
        <f>X166+X167+X168+X169+X170+X171</f>
        <v>0</v>
      </c>
      <c r="Y165" s="24">
        <f t="shared" si="32"/>
        <v>44549.69999999999</v>
      </c>
      <c r="Z165" s="189"/>
    </row>
    <row r="166" spans="1:27" x14ac:dyDescent="0.25">
      <c r="A166" s="25" t="s">
        <v>564</v>
      </c>
      <c r="B166" s="26" t="s">
        <v>74</v>
      </c>
      <c r="C166" s="26" t="s">
        <v>85</v>
      </c>
      <c r="D166" s="26" t="s">
        <v>86</v>
      </c>
      <c r="E166" s="27">
        <f>250+28327.5</f>
        <v>28577.5</v>
      </c>
      <c r="F166" s="27"/>
      <c r="G166" s="24">
        <f t="shared" si="37"/>
        <v>28577.5</v>
      </c>
      <c r="H166" s="27"/>
      <c r="I166" s="24">
        <f t="shared" si="38"/>
        <v>28577.5</v>
      </c>
      <c r="J166" s="27"/>
      <c r="K166" s="24">
        <f t="shared" si="39"/>
        <v>28577.5</v>
      </c>
      <c r="L166" s="27"/>
      <c r="M166" s="24">
        <f t="shared" si="40"/>
        <v>28577.5</v>
      </c>
      <c r="N166" s="27"/>
      <c r="O166" s="24">
        <f t="shared" si="41"/>
        <v>28577.5</v>
      </c>
      <c r="P166" s="27"/>
      <c r="Q166" s="24">
        <f t="shared" si="17"/>
        <v>28577.5</v>
      </c>
      <c r="R166" s="39">
        <f>4433.9+0.5</f>
        <v>4434.3999999999996</v>
      </c>
      <c r="S166" s="24">
        <f t="shared" si="18"/>
        <v>33011.9</v>
      </c>
      <c r="T166" s="69"/>
      <c r="U166" s="24">
        <f t="shared" si="30"/>
        <v>33011.9</v>
      </c>
      <c r="V166" s="69"/>
      <c r="W166" s="24">
        <f t="shared" si="31"/>
        <v>33011.9</v>
      </c>
      <c r="X166" s="39">
        <v>-2.5</v>
      </c>
      <c r="Y166" s="24">
        <f t="shared" si="32"/>
        <v>33009.4</v>
      </c>
      <c r="Z166" s="61">
        <v>-2.5</v>
      </c>
      <c r="AA166" s="189">
        <f t="shared" ref="AA166:AA171" si="47">Y166+Z166</f>
        <v>33006.9</v>
      </c>
    </row>
    <row r="167" spans="1:27" hidden="1" x14ac:dyDescent="0.25">
      <c r="A167" s="12" t="s">
        <v>87</v>
      </c>
      <c r="B167" s="26" t="s">
        <v>74</v>
      </c>
      <c r="C167" s="26" t="s">
        <v>85</v>
      </c>
      <c r="D167" s="26" t="s">
        <v>88</v>
      </c>
      <c r="E167" s="27">
        <v>0.7</v>
      </c>
      <c r="F167" s="27"/>
      <c r="G167" s="24">
        <f t="shared" si="37"/>
        <v>0.7</v>
      </c>
      <c r="H167" s="27"/>
      <c r="I167" s="24">
        <f t="shared" si="38"/>
        <v>0.7</v>
      </c>
      <c r="J167" s="27"/>
      <c r="K167" s="24">
        <f t="shared" si="39"/>
        <v>0.7</v>
      </c>
      <c r="L167" s="27"/>
      <c r="M167" s="24">
        <f t="shared" si="40"/>
        <v>0.7</v>
      </c>
      <c r="N167" s="27"/>
      <c r="O167" s="24">
        <f t="shared" si="41"/>
        <v>0.7</v>
      </c>
      <c r="P167" s="27"/>
      <c r="Q167" s="24">
        <f t="shared" si="17"/>
        <v>0.7</v>
      </c>
      <c r="R167" s="39">
        <v>-0.7</v>
      </c>
      <c r="S167" s="24">
        <f t="shared" si="18"/>
        <v>0</v>
      </c>
      <c r="T167" s="69"/>
      <c r="U167" s="24">
        <f t="shared" si="30"/>
        <v>0</v>
      </c>
      <c r="V167" s="69"/>
      <c r="W167" s="24">
        <f t="shared" si="31"/>
        <v>0</v>
      </c>
      <c r="X167" s="69"/>
      <c r="Y167" s="24">
        <f t="shared" si="32"/>
        <v>0</v>
      </c>
      <c r="AA167" s="189">
        <f t="shared" si="47"/>
        <v>0</v>
      </c>
    </row>
    <row r="168" spans="1:27" ht="24.75" x14ac:dyDescent="0.25">
      <c r="A168" s="25" t="s">
        <v>565</v>
      </c>
      <c r="B168" s="26" t="s">
        <v>74</v>
      </c>
      <c r="C168" s="26" t="s">
        <v>85</v>
      </c>
      <c r="D168" s="26" t="s">
        <v>89</v>
      </c>
      <c r="E168" s="27">
        <v>8329</v>
      </c>
      <c r="F168" s="27"/>
      <c r="G168" s="24">
        <f t="shared" si="37"/>
        <v>8329</v>
      </c>
      <c r="H168" s="27"/>
      <c r="I168" s="24">
        <f t="shared" si="38"/>
        <v>8329</v>
      </c>
      <c r="J168" s="27"/>
      <c r="K168" s="24">
        <f t="shared" si="39"/>
        <v>8329</v>
      </c>
      <c r="L168" s="27"/>
      <c r="M168" s="24">
        <f t="shared" si="40"/>
        <v>8329</v>
      </c>
      <c r="N168" s="27"/>
      <c r="O168" s="24">
        <f t="shared" si="41"/>
        <v>8329</v>
      </c>
      <c r="P168" s="27"/>
      <c r="Q168" s="24">
        <f t="shared" si="17"/>
        <v>8329</v>
      </c>
      <c r="R168" s="39">
        <v>1251.9000000000001</v>
      </c>
      <c r="S168" s="24">
        <f t="shared" si="18"/>
        <v>9580.9</v>
      </c>
      <c r="T168" s="69"/>
      <c r="U168" s="24">
        <f t="shared" si="30"/>
        <v>9580.9</v>
      </c>
      <c r="V168" s="69"/>
      <c r="W168" s="24">
        <f t="shared" si="31"/>
        <v>9580.9</v>
      </c>
      <c r="X168" s="39">
        <v>2.5</v>
      </c>
      <c r="Y168" s="24">
        <f t="shared" si="32"/>
        <v>9583.4</v>
      </c>
      <c r="Z168" s="61">
        <v>2.5</v>
      </c>
      <c r="AA168" s="189">
        <f t="shared" si="47"/>
        <v>9585.9</v>
      </c>
    </row>
    <row r="169" spans="1:27" ht="24.75" x14ac:dyDescent="0.25">
      <c r="A169" s="25" t="s">
        <v>562</v>
      </c>
      <c r="B169" s="26" t="s">
        <v>74</v>
      </c>
      <c r="C169" s="26" t="s">
        <v>85</v>
      </c>
      <c r="D169" s="26" t="s">
        <v>40</v>
      </c>
      <c r="E169" s="27">
        <v>1037</v>
      </c>
      <c r="F169" s="27"/>
      <c r="G169" s="24">
        <f t="shared" si="37"/>
        <v>1037</v>
      </c>
      <c r="H169" s="27"/>
      <c r="I169" s="24">
        <f t="shared" si="38"/>
        <v>1037</v>
      </c>
      <c r="J169" s="27"/>
      <c r="K169" s="24">
        <f t="shared" si="39"/>
        <v>1037</v>
      </c>
      <c r="L169" s="107">
        <v>27.4</v>
      </c>
      <c r="M169" s="24">
        <f t="shared" si="40"/>
        <v>1064.4000000000001</v>
      </c>
      <c r="N169" s="63">
        <v>151.30000000000001</v>
      </c>
      <c r="O169" s="24">
        <f t="shared" si="41"/>
        <v>1215.7</v>
      </c>
      <c r="P169" s="69"/>
      <c r="Q169" s="24">
        <f t="shared" si="17"/>
        <v>1215.7</v>
      </c>
      <c r="R169" s="39">
        <v>205.8</v>
      </c>
      <c r="S169" s="24">
        <f t="shared" si="18"/>
        <v>1421.5</v>
      </c>
      <c r="T169" s="69"/>
      <c r="U169" s="24">
        <f t="shared" si="30"/>
        <v>1421.5</v>
      </c>
      <c r="V169" s="94">
        <v>184.2</v>
      </c>
      <c r="W169" s="24">
        <f t="shared" si="31"/>
        <v>1605.7</v>
      </c>
      <c r="X169" s="69"/>
      <c r="Y169" s="24">
        <f t="shared" si="32"/>
        <v>1605.7</v>
      </c>
      <c r="AA169" s="189">
        <f t="shared" si="47"/>
        <v>1605.7</v>
      </c>
    </row>
    <row r="170" spans="1:27" x14ac:dyDescent="0.25">
      <c r="A170" s="25" t="s">
        <v>66</v>
      </c>
      <c r="B170" s="26" t="s">
        <v>74</v>
      </c>
      <c r="C170" s="26" t="s">
        <v>85</v>
      </c>
      <c r="D170" s="26" t="s">
        <v>42</v>
      </c>
      <c r="E170" s="27">
        <v>919.7</v>
      </c>
      <c r="F170" s="27"/>
      <c r="G170" s="24">
        <f t="shared" si="37"/>
        <v>919.7</v>
      </c>
      <c r="H170" s="27"/>
      <c r="I170" s="24">
        <f t="shared" si="38"/>
        <v>919.7</v>
      </c>
      <c r="J170" s="27"/>
      <c r="K170" s="24">
        <f t="shared" si="39"/>
        <v>919.7</v>
      </c>
      <c r="L170" s="107">
        <v>-27.4</v>
      </c>
      <c r="M170" s="24">
        <f t="shared" si="40"/>
        <v>892.30000000000007</v>
      </c>
      <c r="N170" s="63">
        <v>-151.30000000000001</v>
      </c>
      <c r="O170" s="24">
        <f t="shared" si="41"/>
        <v>741</v>
      </c>
      <c r="P170" s="69"/>
      <c r="Q170" s="24">
        <f t="shared" si="17"/>
        <v>741</v>
      </c>
      <c r="R170" s="39">
        <v>-205.8</v>
      </c>
      <c r="S170" s="24">
        <f t="shared" si="18"/>
        <v>535.20000000000005</v>
      </c>
      <c r="T170" s="69"/>
      <c r="U170" s="24">
        <f t="shared" si="30"/>
        <v>535.20000000000005</v>
      </c>
      <c r="V170" s="94">
        <v>-184.2</v>
      </c>
      <c r="W170" s="24">
        <f t="shared" si="31"/>
        <v>351.00000000000006</v>
      </c>
      <c r="X170" s="69"/>
      <c r="Y170" s="24">
        <f t="shared" si="32"/>
        <v>351.00000000000006</v>
      </c>
      <c r="AA170" s="189">
        <f t="shared" si="47"/>
        <v>351.00000000000006</v>
      </c>
    </row>
    <row r="171" spans="1:27" x14ac:dyDescent="0.25">
      <c r="A171" s="25" t="s">
        <v>47</v>
      </c>
      <c r="B171" s="26" t="s">
        <v>74</v>
      </c>
      <c r="C171" s="26" t="s">
        <v>85</v>
      </c>
      <c r="D171" s="26" t="s">
        <v>48</v>
      </c>
      <c r="E171" s="27"/>
      <c r="F171" s="27"/>
      <c r="G171" s="24"/>
      <c r="H171" s="27"/>
      <c r="I171" s="24"/>
      <c r="J171" s="27"/>
      <c r="K171" s="24"/>
      <c r="L171" s="107"/>
      <c r="M171" s="24"/>
      <c r="N171" s="63"/>
      <c r="O171" s="24"/>
      <c r="P171" s="69"/>
      <c r="Q171" s="24"/>
      <c r="R171" s="39"/>
      <c r="S171" s="24"/>
      <c r="T171" s="63">
        <v>0.2</v>
      </c>
      <c r="U171" s="24">
        <f t="shared" si="30"/>
        <v>0.2</v>
      </c>
      <c r="V171" s="69"/>
      <c r="W171" s="24">
        <f t="shared" si="31"/>
        <v>0.2</v>
      </c>
      <c r="X171" s="69"/>
      <c r="Y171" s="24">
        <f t="shared" si="32"/>
        <v>0.2</v>
      </c>
      <c r="AA171" s="189">
        <f t="shared" si="47"/>
        <v>0.2</v>
      </c>
    </row>
    <row r="172" spans="1:27" s="6" customFormat="1" ht="24.75" x14ac:dyDescent="0.25">
      <c r="A172" s="22" t="s">
        <v>90</v>
      </c>
      <c r="B172" s="23" t="s">
        <v>74</v>
      </c>
      <c r="C172" s="23" t="s">
        <v>91</v>
      </c>
      <c r="D172" s="23" t="s">
        <v>2</v>
      </c>
      <c r="E172" s="24">
        <f>E173+E175</f>
        <v>15450</v>
      </c>
      <c r="F172" s="24">
        <f>F173+F175</f>
        <v>0</v>
      </c>
      <c r="G172" s="24">
        <f t="shared" si="37"/>
        <v>15450</v>
      </c>
      <c r="H172" s="24">
        <f>H173+H175</f>
        <v>-6191.4</v>
      </c>
      <c r="I172" s="24">
        <f t="shared" si="38"/>
        <v>9258.6</v>
      </c>
      <c r="J172" s="24">
        <f>J173+J175</f>
        <v>-250.79999999999998</v>
      </c>
      <c r="K172" s="24">
        <f t="shared" si="39"/>
        <v>9007.8000000000011</v>
      </c>
      <c r="L172" s="24">
        <f>L173+L175</f>
        <v>49898.7</v>
      </c>
      <c r="M172" s="24">
        <f t="shared" si="40"/>
        <v>58906.5</v>
      </c>
      <c r="N172" s="24">
        <f>N173+N175</f>
        <v>59041.2</v>
      </c>
      <c r="O172" s="24">
        <f t="shared" si="41"/>
        <v>117947.7</v>
      </c>
      <c r="P172" s="24">
        <f>P173+P175</f>
        <v>-108647.7</v>
      </c>
      <c r="Q172" s="24">
        <f t="shared" si="17"/>
        <v>9300</v>
      </c>
      <c r="R172" s="24">
        <f>R173+R175</f>
        <v>10700.2</v>
      </c>
      <c r="S172" s="24">
        <f t="shared" si="18"/>
        <v>20000.2</v>
      </c>
      <c r="T172" s="24">
        <f>T173+T175</f>
        <v>3335.6000000000004</v>
      </c>
      <c r="U172" s="24">
        <f t="shared" si="30"/>
        <v>23335.800000000003</v>
      </c>
      <c r="V172" s="24">
        <f>V173+V175</f>
        <v>-22835.5</v>
      </c>
      <c r="W172" s="24">
        <f t="shared" si="31"/>
        <v>500.30000000000291</v>
      </c>
      <c r="X172" s="24">
        <f>X173+X175</f>
        <v>-19</v>
      </c>
      <c r="Y172" s="24">
        <f t="shared" si="32"/>
        <v>481.30000000000291</v>
      </c>
      <c r="Z172" s="189"/>
    </row>
    <row r="173" spans="1:27" s="6" customFormat="1" ht="36.75" hidden="1" x14ac:dyDescent="0.25">
      <c r="A173" s="16" t="s">
        <v>619</v>
      </c>
      <c r="B173" s="23" t="s">
        <v>74</v>
      </c>
      <c r="C173" s="23" t="s">
        <v>613</v>
      </c>
      <c r="D173" s="23" t="s">
        <v>2</v>
      </c>
      <c r="E173" s="24">
        <f>E174</f>
        <v>0</v>
      </c>
      <c r="F173" s="24">
        <f>F174</f>
        <v>0</v>
      </c>
      <c r="G173" s="24">
        <f t="shared" si="37"/>
        <v>0</v>
      </c>
      <c r="H173" s="24">
        <f>H174</f>
        <v>0</v>
      </c>
      <c r="I173" s="24">
        <f t="shared" si="38"/>
        <v>0</v>
      </c>
      <c r="J173" s="24">
        <f>J174</f>
        <v>0</v>
      </c>
      <c r="K173" s="24">
        <f t="shared" si="39"/>
        <v>0</v>
      </c>
      <c r="L173" s="24">
        <f>L174</f>
        <v>0</v>
      </c>
      <c r="M173" s="24">
        <f t="shared" si="40"/>
        <v>0</v>
      </c>
      <c r="N173" s="24">
        <f>N174</f>
        <v>0</v>
      </c>
      <c r="O173" s="24">
        <f t="shared" si="41"/>
        <v>0</v>
      </c>
      <c r="P173" s="24">
        <f>P174</f>
        <v>0</v>
      </c>
      <c r="Q173" s="24">
        <f t="shared" si="17"/>
        <v>0</v>
      </c>
      <c r="R173" s="24">
        <f>R174</f>
        <v>0</v>
      </c>
      <c r="S173" s="24">
        <f t="shared" si="18"/>
        <v>0</v>
      </c>
      <c r="T173" s="24">
        <f>T174</f>
        <v>0</v>
      </c>
      <c r="U173" s="24">
        <f t="shared" si="30"/>
        <v>0</v>
      </c>
      <c r="V173" s="24">
        <f>V174</f>
        <v>0</v>
      </c>
      <c r="W173" s="24">
        <f t="shared" si="31"/>
        <v>0</v>
      </c>
      <c r="X173" s="24">
        <f>X174</f>
        <v>0</v>
      </c>
      <c r="Y173" s="24">
        <f t="shared" si="32"/>
        <v>0</v>
      </c>
      <c r="Z173" s="189"/>
    </row>
    <row r="174" spans="1:27" hidden="1" x14ac:dyDescent="0.25">
      <c r="A174" s="25" t="s">
        <v>66</v>
      </c>
      <c r="B174" s="26" t="s">
        <v>74</v>
      </c>
      <c r="C174" s="26" t="s">
        <v>613</v>
      </c>
      <c r="D174" s="26" t="s">
        <v>42</v>
      </c>
      <c r="E174" s="27"/>
      <c r="F174" s="27"/>
      <c r="G174" s="24">
        <f t="shared" si="37"/>
        <v>0</v>
      </c>
      <c r="H174" s="27"/>
      <c r="I174" s="24">
        <f t="shared" si="38"/>
        <v>0</v>
      </c>
      <c r="J174" s="27"/>
      <c r="K174" s="24">
        <f t="shared" si="39"/>
        <v>0</v>
      </c>
      <c r="L174" s="27"/>
      <c r="M174" s="24">
        <f t="shared" si="40"/>
        <v>0</v>
      </c>
      <c r="N174" s="27"/>
      <c r="O174" s="24">
        <f t="shared" si="41"/>
        <v>0</v>
      </c>
      <c r="P174" s="27"/>
      <c r="Q174" s="24">
        <f t="shared" ref="Q174:Q236" si="48">O174+P174</f>
        <v>0</v>
      </c>
      <c r="R174" s="27"/>
      <c r="S174" s="24">
        <f t="shared" ref="S174:S236" si="49">Q174+R174</f>
        <v>0</v>
      </c>
      <c r="T174" s="69"/>
      <c r="U174" s="24">
        <f t="shared" si="30"/>
        <v>0</v>
      </c>
      <c r="V174" s="69"/>
      <c r="W174" s="24">
        <f t="shared" si="31"/>
        <v>0</v>
      </c>
      <c r="X174" s="69"/>
      <c r="Y174" s="24">
        <f t="shared" si="32"/>
        <v>0</v>
      </c>
      <c r="AA174" s="189">
        <f>Y174+Z174</f>
        <v>0</v>
      </c>
    </row>
    <row r="175" spans="1:27" s="6" customFormat="1" x14ac:dyDescent="0.25">
      <c r="A175" s="22" t="s">
        <v>604</v>
      </c>
      <c r="B175" s="23" t="s">
        <v>74</v>
      </c>
      <c r="C175" s="23" t="s">
        <v>605</v>
      </c>
      <c r="D175" s="23" t="s">
        <v>2</v>
      </c>
      <c r="E175" s="24">
        <f>E176</f>
        <v>15450</v>
      </c>
      <c r="F175" s="24">
        <f>F176</f>
        <v>0</v>
      </c>
      <c r="G175" s="24">
        <f t="shared" si="37"/>
        <v>15450</v>
      </c>
      <c r="H175" s="24">
        <f>H176</f>
        <v>-6191.4</v>
      </c>
      <c r="I175" s="24">
        <f t="shared" si="38"/>
        <v>9258.6</v>
      </c>
      <c r="J175" s="24">
        <f>J176</f>
        <v>-250.79999999999998</v>
      </c>
      <c r="K175" s="24">
        <f t="shared" si="39"/>
        <v>9007.8000000000011</v>
      </c>
      <c r="L175" s="47">
        <f>L176+L177</f>
        <v>49898.7</v>
      </c>
      <c r="M175" s="24">
        <f t="shared" si="40"/>
        <v>58906.5</v>
      </c>
      <c r="N175" s="47">
        <f>N176+N177</f>
        <v>59041.2</v>
      </c>
      <c r="O175" s="24">
        <f t="shared" si="41"/>
        <v>117947.7</v>
      </c>
      <c r="P175" s="47">
        <f>P176+P177</f>
        <v>-108647.7</v>
      </c>
      <c r="Q175" s="24">
        <f t="shared" si="48"/>
        <v>9300</v>
      </c>
      <c r="R175" s="47">
        <f>R176+R177</f>
        <v>10700.2</v>
      </c>
      <c r="S175" s="24">
        <f t="shared" si="49"/>
        <v>20000.2</v>
      </c>
      <c r="T175" s="47">
        <f>T176+T177</f>
        <v>3335.6000000000004</v>
      </c>
      <c r="U175" s="24">
        <f t="shared" si="30"/>
        <v>23335.800000000003</v>
      </c>
      <c r="V175" s="47">
        <f>V176+V177</f>
        <v>-22835.5</v>
      </c>
      <c r="W175" s="24">
        <f t="shared" si="31"/>
        <v>500.30000000000291</v>
      </c>
      <c r="X175" s="47">
        <f>X176+X177</f>
        <v>-19</v>
      </c>
      <c r="Y175" s="24">
        <f t="shared" si="32"/>
        <v>481.30000000000291</v>
      </c>
      <c r="Z175" s="189"/>
    </row>
    <row r="176" spans="1:27" x14ac:dyDescent="0.25">
      <c r="A176" s="25" t="s">
        <v>66</v>
      </c>
      <c r="B176" s="26" t="s">
        <v>74</v>
      </c>
      <c r="C176" s="26" t="s">
        <v>791</v>
      </c>
      <c r="D176" s="26" t="s">
        <v>42</v>
      </c>
      <c r="E176" s="27">
        <v>15450</v>
      </c>
      <c r="F176" s="27"/>
      <c r="G176" s="24">
        <f t="shared" si="37"/>
        <v>15450</v>
      </c>
      <c r="H176" s="39">
        <f>-2985.8-2241.7-71.7-892.2</f>
        <v>-6191.4</v>
      </c>
      <c r="I176" s="24">
        <f t="shared" si="38"/>
        <v>9258.6</v>
      </c>
      <c r="J176" s="39">
        <f>-100-67.7-83.1</f>
        <v>-250.79999999999998</v>
      </c>
      <c r="K176" s="24">
        <f t="shared" si="39"/>
        <v>9007.8000000000011</v>
      </c>
      <c r="L176" s="94">
        <v>-9007.7999999999993</v>
      </c>
      <c r="M176" s="24">
        <f t="shared" si="40"/>
        <v>0</v>
      </c>
      <c r="N176" s="69"/>
      <c r="O176" s="24">
        <f t="shared" si="41"/>
        <v>0</v>
      </c>
      <c r="P176" s="69"/>
      <c r="Q176" s="24">
        <f t="shared" si="48"/>
        <v>0</v>
      </c>
      <c r="R176" s="39">
        <v>0.2</v>
      </c>
      <c r="S176" s="24">
        <f t="shared" si="49"/>
        <v>0.2</v>
      </c>
      <c r="T176" s="69"/>
      <c r="U176" s="24">
        <f t="shared" si="30"/>
        <v>0.2</v>
      </c>
      <c r="V176" s="80">
        <v>500</v>
      </c>
      <c r="W176" s="24">
        <f t="shared" si="31"/>
        <v>500.2</v>
      </c>
      <c r="X176" s="80">
        <v>-19</v>
      </c>
      <c r="Y176" s="24">
        <f t="shared" si="32"/>
        <v>481.2</v>
      </c>
      <c r="Z176" s="61">
        <v>-19</v>
      </c>
      <c r="AA176" s="189">
        <f t="shared" ref="AA176:AA177" si="50">Y176+Z176</f>
        <v>462.2</v>
      </c>
    </row>
    <row r="177" spans="1:27" x14ac:dyDescent="0.25">
      <c r="A177" s="25" t="s">
        <v>66</v>
      </c>
      <c r="B177" s="26" t="s">
        <v>74</v>
      </c>
      <c r="C177" s="26" t="s">
        <v>819</v>
      </c>
      <c r="D177" s="26" t="s">
        <v>42</v>
      </c>
      <c r="E177" s="27"/>
      <c r="F177" s="27"/>
      <c r="G177" s="24"/>
      <c r="H177" s="39"/>
      <c r="I177" s="24"/>
      <c r="J177" s="39"/>
      <c r="K177" s="24"/>
      <c r="L177" s="94">
        <f>13000+1200+36149.9+2898.3+(13000-264-792)+807.8-14614.4+40.9+7000+480</f>
        <v>58906.5</v>
      </c>
      <c r="M177" s="24">
        <f t="shared" si="40"/>
        <v>58906.5</v>
      </c>
      <c r="N177" s="39">
        <f>30000+1063.5+300+400+5230.3-1084.4+22000+650+2215-2280.4+547.2</f>
        <v>59041.2</v>
      </c>
      <c r="O177" s="24">
        <f t="shared" si="41"/>
        <v>117947.7</v>
      </c>
      <c r="P177" s="39">
        <f>9300-117947.7</f>
        <v>-108647.7</v>
      </c>
      <c r="Q177" s="24">
        <f t="shared" si="48"/>
        <v>9300</v>
      </c>
      <c r="R177" s="39">
        <v>10700</v>
      </c>
      <c r="S177" s="24">
        <f t="shared" si="49"/>
        <v>20000</v>
      </c>
      <c r="T177" s="39">
        <f>2076.9+295.3+963.4</f>
        <v>3335.6000000000004</v>
      </c>
      <c r="U177" s="24">
        <f t="shared" si="30"/>
        <v>23335.599999999999</v>
      </c>
      <c r="V177" s="39">
        <f>448.8+230.5+77+36136-60227.8</f>
        <v>-23335.5</v>
      </c>
      <c r="W177" s="24">
        <f t="shared" si="31"/>
        <v>9.9999999998544808E-2</v>
      </c>
      <c r="X177" s="69"/>
      <c r="Y177" s="24">
        <f t="shared" si="32"/>
        <v>9.9999999998544808E-2</v>
      </c>
      <c r="AA177" s="189">
        <f t="shared" si="50"/>
        <v>9.9999999998544808E-2</v>
      </c>
    </row>
    <row r="178" spans="1:27" s="6" customFormat="1" x14ac:dyDescent="0.25">
      <c r="A178" s="22" t="s">
        <v>92</v>
      </c>
      <c r="B178" s="23" t="s">
        <v>74</v>
      </c>
      <c r="C178" s="23" t="s">
        <v>93</v>
      </c>
      <c r="D178" s="23" t="s">
        <v>2</v>
      </c>
      <c r="E178" s="24">
        <f>E179+E194</f>
        <v>16616.3</v>
      </c>
      <c r="F178" s="24">
        <f>F179+F194</f>
        <v>180</v>
      </c>
      <c r="G178" s="24">
        <f t="shared" si="37"/>
        <v>16796.3</v>
      </c>
      <c r="H178" s="24">
        <f>H179+H194</f>
        <v>0</v>
      </c>
      <c r="I178" s="24">
        <f t="shared" si="38"/>
        <v>16796.3</v>
      </c>
      <c r="J178" s="24">
        <f>J179+J194+J206</f>
        <v>0</v>
      </c>
      <c r="K178" s="24">
        <f t="shared" si="39"/>
        <v>16796.3</v>
      </c>
      <c r="L178" s="47">
        <f>L179+L194+L206</f>
        <v>500</v>
      </c>
      <c r="M178" s="24">
        <f t="shared" si="40"/>
        <v>17296.3</v>
      </c>
      <c r="N178" s="47">
        <f>N179+N194+N206</f>
        <v>0</v>
      </c>
      <c r="O178" s="24">
        <f t="shared" si="41"/>
        <v>17296.3</v>
      </c>
      <c r="P178" s="47">
        <f>P179+P194+P206</f>
        <v>1056.8</v>
      </c>
      <c r="Q178" s="24">
        <f t="shared" si="48"/>
        <v>18353.099999999999</v>
      </c>
      <c r="R178" s="47">
        <f>R179+R194+R206</f>
        <v>1406.5</v>
      </c>
      <c r="S178" s="24">
        <f t="shared" si="49"/>
        <v>19759.599999999999</v>
      </c>
      <c r="T178" s="47">
        <f>T179+T194+T206</f>
        <v>0</v>
      </c>
      <c r="U178" s="24">
        <f t="shared" si="30"/>
        <v>19759.599999999999</v>
      </c>
      <c r="V178" s="47">
        <f>V179+V194+V206+V203</f>
        <v>891.4</v>
      </c>
      <c r="W178" s="24">
        <f t="shared" si="31"/>
        <v>20651</v>
      </c>
      <c r="X178" s="47">
        <f>X179+X194+X206+X203</f>
        <v>-23</v>
      </c>
      <c r="Y178" s="24">
        <f t="shared" si="32"/>
        <v>20628</v>
      </c>
      <c r="Z178" s="189"/>
    </row>
    <row r="179" spans="1:27" s="6" customFormat="1" ht="24.75" x14ac:dyDescent="0.25">
      <c r="A179" s="22" t="s">
        <v>94</v>
      </c>
      <c r="B179" s="23" t="s">
        <v>74</v>
      </c>
      <c r="C179" s="23" t="s">
        <v>95</v>
      </c>
      <c r="D179" s="23" t="s">
        <v>2</v>
      </c>
      <c r="E179" s="24">
        <f>E183</f>
        <v>15383.7</v>
      </c>
      <c r="F179" s="24">
        <f>F183</f>
        <v>180</v>
      </c>
      <c r="G179" s="24">
        <f t="shared" si="37"/>
        <v>15563.7</v>
      </c>
      <c r="H179" s="24">
        <f>H183</f>
        <v>0</v>
      </c>
      <c r="I179" s="24">
        <f t="shared" si="38"/>
        <v>15563.7</v>
      </c>
      <c r="J179" s="24">
        <f>J183</f>
        <v>-4129.9000000000005</v>
      </c>
      <c r="K179" s="24">
        <f t="shared" si="39"/>
        <v>11433.8</v>
      </c>
      <c r="L179" s="47">
        <f>L183</f>
        <v>0</v>
      </c>
      <c r="M179" s="24">
        <f t="shared" si="40"/>
        <v>11433.8</v>
      </c>
      <c r="N179" s="47">
        <f>N183</f>
        <v>20</v>
      </c>
      <c r="O179" s="24">
        <f t="shared" si="41"/>
        <v>11453.8</v>
      </c>
      <c r="P179" s="47">
        <f>P183</f>
        <v>0</v>
      </c>
      <c r="Q179" s="24">
        <f t="shared" si="48"/>
        <v>11453.8</v>
      </c>
      <c r="R179" s="47">
        <f>R183+R180</f>
        <v>193.9</v>
      </c>
      <c r="S179" s="24">
        <f t="shared" si="49"/>
        <v>11647.699999999999</v>
      </c>
      <c r="T179" s="47">
        <f>T183+T180</f>
        <v>32.200000000000003</v>
      </c>
      <c r="U179" s="24">
        <f t="shared" si="30"/>
        <v>11679.9</v>
      </c>
      <c r="V179" s="47">
        <f>V183+V180+V191</f>
        <v>808.8</v>
      </c>
      <c r="W179" s="24">
        <f t="shared" si="31"/>
        <v>12488.699999999999</v>
      </c>
      <c r="X179" s="47">
        <f>X183+X180+X191</f>
        <v>5.5</v>
      </c>
      <c r="Y179" s="24">
        <f t="shared" si="32"/>
        <v>12494.199999999999</v>
      </c>
      <c r="Z179" s="189"/>
    </row>
    <row r="180" spans="1:27" s="6" customFormat="1" x14ac:dyDescent="0.25">
      <c r="A180" s="16" t="s">
        <v>769</v>
      </c>
      <c r="B180" s="20" t="s">
        <v>74</v>
      </c>
      <c r="C180" s="20" t="s">
        <v>1242</v>
      </c>
      <c r="D180" s="20" t="s">
        <v>2</v>
      </c>
      <c r="E180" s="24"/>
      <c r="F180" s="24"/>
      <c r="G180" s="24"/>
      <c r="H180" s="24"/>
      <c r="I180" s="24"/>
      <c r="J180" s="24"/>
      <c r="K180" s="24"/>
      <c r="L180" s="47"/>
      <c r="M180" s="24"/>
      <c r="N180" s="47"/>
      <c r="O180" s="24"/>
      <c r="P180" s="47"/>
      <c r="Q180" s="24"/>
      <c r="R180" s="18">
        <f>R181+R182</f>
        <v>243.6</v>
      </c>
      <c r="S180" s="24">
        <f t="shared" si="49"/>
        <v>243.6</v>
      </c>
      <c r="T180" s="18">
        <f>T181+T182</f>
        <v>0</v>
      </c>
      <c r="U180" s="24">
        <f t="shared" si="30"/>
        <v>243.6</v>
      </c>
      <c r="V180" s="18">
        <f>V181+V182</f>
        <v>0</v>
      </c>
      <c r="W180" s="24">
        <f t="shared" si="31"/>
        <v>243.6</v>
      </c>
      <c r="X180" s="18">
        <f>X181+X182</f>
        <v>0</v>
      </c>
      <c r="Y180" s="24">
        <f t="shared" si="32"/>
        <v>243.6</v>
      </c>
      <c r="Z180" s="189"/>
    </row>
    <row r="181" spans="1:27" s="6" customFormat="1" x14ac:dyDescent="0.25">
      <c r="A181" s="17" t="s">
        <v>560</v>
      </c>
      <c r="B181" s="21" t="s">
        <v>74</v>
      </c>
      <c r="C181" s="21" t="s">
        <v>1242</v>
      </c>
      <c r="D181" s="21" t="s">
        <v>12</v>
      </c>
      <c r="E181" s="24"/>
      <c r="F181" s="24"/>
      <c r="G181" s="24"/>
      <c r="H181" s="24"/>
      <c r="I181" s="24"/>
      <c r="J181" s="24"/>
      <c r="K181" s="24"/>
      <c r="L181" s="47"/>
      <c r="M181" s="24"/>
      <c r="N181" s="47"/>
      <c r="O181" s="24"/>
      <c r="P181" s="47"/>
      <c r="Q181" s="24"/>
      <c r="R181" s="43">
        <v>187.1</v>
      </c>
      <c r="S181" s="24">
        <f t="shared" si="49"/>
        <v>187.1</v>
      </c>
      <c r="T181" s="69"/>
      <c r="U181" s="24">
        <f t="shared" si="30"/>
        <v>187.1</v>
      </c>
      <c r="V181" s="185"/>
      <c r="W181" s="24">
        <f t="shared" si="31"/>
        <v>187.1</v>
      </c>
      <c r="X181" s="84"/>
      <c r="Y181" s="24">
        <f t="shared" si="32"/>
        <v>187.1</v>
      </c>
      <c r="Z181" s="189"/>
      <c r="AA181" s="189">
        <f t="shared" ref="AA181:AA182" si="51">Y181+Z181</f>
        <v>187.1</v>
      </c>
    </row>
    <row r="182" spans="1:27" s="6" customFormat="1" ht="36.75" x14ac:dyDescent="0.25">
      <c r="A182" s="17" t="s">
        <v>561</v>
      </c>
      <c r="B182" s="21" t="s">
        <v>74</v>
      </c>
      <c r="C182" s="21" t="s">
        <v>1242</v>
      </c>
      <c r="D182" s="21" t="s">
        <v>13</v>
      </c>
      <c r="E182" s="24"/>
      <c r="F182" s="24"/>
      <c r="G182" s="24"/>
      <c r="H182" s="24"/>
      <c r="I182" s="24"/>
      <c r="J182" s="24"/>
      <c r="K182" s="24"/>
      <c r="L182" s="47"/>
      <c r="M182" s="24"/>
      <c r="N182" s="47"/>
      <c r="O182" s="24"/>
      <c r="P182" s="47"/>
      <c r="Q182" s="24"/>
      <c r="R182" s="43">
        <v>56.5</v>
      </c>
      <c r="S182" s="24">
        <f t="shared" si="49"/>
        <v>56.5</v>
      </c>
      <c r="T182" s="69"/>
      <c r="U182" s="24">
        <f t="shared" si="30"/>
        <v>56.5</v>
      </c>
      <c r="V182" s="185"/>
      <c r="W182" s="24">
        <f t="shared" si="31"/>
        <v>56.5</v>
      </c>
      <c r="X182" s="84"/>
      <c r="Y182" s="24">
        <f t="shared" si="32"/>
        <v>56.5</v>
      </c>
      <c r="Z182" s="189"/>
      <c r="AA182" s="189">
        <f t="shared" si="51"/>
        <v>56.5</v>
      </c>
    </row>
    <row r="183" spans="1:27" s="6" customFormat="1" x14ac:dyDescent="0.25">
      <c r="A183" s="22" t="s">
        <v>52</v>
      </c>
      <c r="B183" s="23" t="s">
        <v>74</v>
      </c>
      <c r="C183" s="23" t="s">
        <v>96</v>
      </c>
      <c r="D183" s="23" t="s">
        <v>2</v>
      </c>
      <c r="E183" s="24">
        <f>E184+E185+E186+E187+E188</f>
        <v>15383.7</v>
      </c>
      <c r="F183" s="24">
        <f>F184+F185+F186+F187+F188+F189</f>
        <v>180</v>
      </c>
      <c r="G183" s="24">
        <f t="shared" si="37"/>
        <v>15563.7</v>
      </c>
      <c r="H183" s="24">
        <f>H184+H185+H186+H187+H188+H189</f>
        <v>0</v>
      </c>
      <c r="I183" s="24">
        <f t="shared" si="38"/>
        <v>15563.7</v>
      </c>
      <c r="J183" s="24">
        <f>J184+J185+J186+J187+J188+J189</f>
        <v>-4129.9000000000005</v>
      </c>
      <c r="K183" s="24">
        <f t="shared" si="39"/>
        <v>11433.8</v>
      </c>
      <c r="L183" s="47">
        <f>L184+L185+L186+L187+L188+L189</f>
        <v>0</v>
      </c>
      <c r="M183" s="24">
        <f t="shared" si="40"/>
        <v>11433.8</v>
      </c>
      <c r="N183" s="47">
        <f>N184+N185+N186+N187+N188+N189</f>
        <v>20</v>
      </c>
      <c r="O183" s="24">
        <f t="shared" si="41"/>
        <v>11453.8</v>
      </c>
      <c r="P183" s="47">
        <f>P184+P185+P186+P187+P188+P189</f>
        <v>0</v>
      </c>
      <c r="Q183" s="24">
        <f t="shared" si="48"/>
        <v>11453.8</v>
      </c>
      <c r="R183" s="47">
        <f>R184+R185+R186+R187+R188+R189</f>
        <v>-49.699999999999996</v>
      </c>
      <c r="S183" s="24">
        <f t="shared" si="49"/>
        <v>11404.099999999999</v>
      </c>
      <c r="T183" s="47">
        <f>T184+T185+T186+T187+T188+T189+T190</f>
        <v>32.200000000000003</v>
      </c>
      <c r="U183" s="24">
        <f t="shared" si="30"/>
        <v>11436.3</v>
      </c>
      <c r="V183" s="47">
        <f>V184+V185+V186+V187+V188+V189+V190</f>
        <v>652.4</v>
      </c>
      <c r="W183" s="24">
        <f t="shared" si="31"/>
        <v>12088.699999999999</v>
      </c>
      <c r="X183" s="47">
        <f>X184+X185+X186+X187+X188+X189+X190</f>
        <v>-24.599999999999998</v>
      </c>
      <c r="Y183" s="24">
        <f t="shared" si="32"/>
        <v>12064.099999999999</v>
      </c>
      <c r="Z183" s="189"/>
    </row>
    <row r="184" spans="1:27" x14ac:dyDescent="0.25">
      <c r="A184" s="25" t="s">
        <v>560</v>
      </c>
      <c r="B184" s="26" t="s">
        <v>74</v>
      </c>
      <c r="C184" s="26" t="s">
        <v>96</v>
      </c>
      <c r="D184" s="26" t="s">
        <v>12</v>
      </c>
      <c r="E184" s="27">
        <f>110+10884.7</f>
        <v>10994.7</v>
      </c>
      <c r="F184" s="27"/>
      <c r="G184" s="24">
        <f t="shared" si="37"/>
        <v>10994.7</v>
      </c>
      <c r="H184" s="27"/>
      <c r="I184" s="24">
        <f t="shared" si="38"/>
        <v>10994.7</v>
      </c>
      <c r="J184" s="63">
        <v>-3203.5</v>
      </c>
      <c r="K184" s="24">
        <f t="shared" si="39"/>
        <v>7791.2000000000007</v>
      </c>
      <c r="L184" s="69"/>
      <c r="M184" s="24">
        <f t="shared" si="40"/>
        <v>7791.2000000000007</v>
      </c>
      <c r="N184" s="69"/>
      <c r="O184" s="24">
        <f t="shared" si="41"/>
        <v>7791.2000000000007</v>
      </c>
      <c r="P184" s="69"/>
      <c r="Q184" s="24">
        <f t="shared" si="48"/>
        <v>7791.2000000000007</v>
      </c>
      <c r="R184" s="69"/>
      <c r="S184" s="24">
        <f t="shared" si="49"/>
        <v>7791.2000000000007</v>
      </c>
      <c r="T184" s="69"/>
      <c r="U184" s="24">
        <f t="shared" si="30"/>
        <v>7791.2000000000007</v>
      </c>
      <c r="V184" s="94">
        <f>652.4-133</f>
        <v>519.4</v>
      </c>
      <c r="W184" s="24">
        <f t="shared" si="31"/>
        <v>8310.6</v>
      </c>
      <c r="X184" s="69"/>
      <c r="Y184" s="24">
        <f t="shared" si="32"/>
        <v>8310.6</v>
      </c>
      <c r="AA184" s="189">
        <f t="shared" ref="AA184:AA190" si="52">Y184+Z184</f>
        <v>8310.6</v>
      </c>
    </row>
    <row r="185" spans="1:27" ht="29.25" customHeight="1" x14ac:dyDescent="0.25">
      <c r="A185" s="25" t="s">
        <v>561</v>
      </c>
      <c r="B185" s="26" t="s">
        <v>74</v>
      </c>
      <c r="C185" s="26" t="s">
        <v>96</v>
      </c>
      <c r="D185" s="26" t="s">
        <v>13</v>
      </c>
      <c r="E185" s="27">
        <v>3320</v>
      </c>
      <c r="F185" s="27"/>
      <c r="G185" s="24">
        <f t="shared" si="37"/>
        <v>3320</v>
      </c>
      <c r="H185" s="27"/>
      <c r="I185" s="24">
        <f t="shared" si="38"/>
        <v>3320</v>
      </c>
      <c r="J185" s="63">
        <v>-970</v>
      </c>
      <c r="K185" s="24">
        <f t="shared" si="39"/>
        <v>2350</v>
      </c>
      <c r="L185" s="69"/>
      <c r="M185" s="24">
        <f t="shared" si="40"/>
        <v>2350</v>
      </c>
      <c r="N185" s="69"/>
      <c r="O185" s="24">
        <f t="shared" si="41"/>
        <v>2350</v>
      </c>
      <c r="P185" s="69"/>
      <c r="Q185" s="24">
        <f t="shared" si="48"/>
        <v>2350</v>
      </c>
      <c r="R185" s="69"/>
      <c r="S185" s="24">
        <f t="shared" si="49"/>
        <v>2350</v>
      </c>
      <c r="T185" s="69"/>
      <c r="U185" s="24">
        <f t="shared" si="30"/>
        <v>2350</v>
      </c>
      <c r="V185" s="94">
        <v>133</v>
      </c>
      <c r="W185" s="24">
        <f t="shared" si="31"/>
        <v>2483</v>
      </c>
      <c r="X185" s="69"/>
      <c r="Y185" s="24">
        <f t="shared" si="32"/>
        <v>2483</v>
      </c>
      <c r="AA185" s="189">
        <f t="shared" si="52"/>
        <v>2483</v>
      </c>
    </row>
    <row r="186" spans="1:27" ht="24.75" x14ac:dyDescent="0.25">
      <c r="A186" s="25" t="s">
        <v>562</v>
      </c>
      <c r="B186" s="26" t="s">
        <v>74</v>
      </c>
      <c r="C186" s="26" t="s">
        <v>96</v>
      </c>
      <c r="D186" s="26" t="s">
        <v>40</v>
      </c>
      <c r="E186" s="27">
        <v>90.5</v>
      </c>
      <c r="F186" s="27"/>
      <c r="G186" s="24">
        <f t="shared" si="37"/>
        <v>90.5</v>
      </c>
      <c r="H186" s="27"/>
      <c r="I186" s="24">
        <f t="shared" si="38"/>
        <v>90.5</v>
      </c>
      <c r="J186" s="63">
        <v>10</v>
      </c>
      <c r="K186" s="24">
        <f t="shared" si="39"/>
        <v>100.5</v>
      </c>
      <c r="L186" s="69"/>
      <c r="M186" s="24">
        <f t="shared" si="40"/>
        <v>100.5</v>
      </c>
      <c r="N186" s="63">
        <v>20</v>
      </c>
      <c r="O186" s="24">
        <f t="shared" si="41"/>
        <v>120.5</v>
      </c>
      <c r="P186" s="69"/>
      <c r="Q186" s="24">
        <f t="shared" si="48"/>
        <v>120.5</v>
      </c>
      <c r="R186" s="39">
        <v>19.8</v>
      </c>
      <c r="S186" s="24">
        <f t="shared" si="49"/>
        <v>140.30000000000001</v>
      </c>
      <c r="T186" s="69"/>
      <c r="U186" s="24">
        <f t="shared" si="30"/>
        <v>140.30000000000001</v>
      </c>
      <c r="V186" s="69"/>
      <c r="W186" s="24">
        <f t="shared" si="31"/>
        <v>140.30000000000001</v>
      </c>
      <c r="X186" s="39">
        <v>-0.4</v>
      </c>
      <c r="Y186" s="24">
        <f t="shared" si="32"/>
        <v>139.9</v>
      </c>
      <c r="Z186" s="61">
        <v>-0.4</v>
      </c>
      <c r="AA186" s="189">
        <f t="shared" si="52"/>
        <v>139.5</v>
      </c>
    </row>
    <row r="187" spans="1:27" x14ac:dyDescent="0.25">
      <c r="A187" s="25" t="s">
        <v>66</v>
      </c>
      <c r="B187" s="26" t="s">
        <v>74</v>
      </c>
      <c r="C187" s="26" t="s">
        <v>96</v>
      </c>
      <c r="D187" s="26" t="s">
        <v>42</v>
      </c>
      <c r="E187" s="27">
        <v>460.2</v>
      </c>
      <c r="F187" s="27"/>
      <c r="G187" s="24">
        <f t="shared" si="37"/>
        <v>460.2</v>
      </c>
      <c r="H187" s="27"/>
      <c r="I187" s="24">
        <f t="shared" si="38"/>
        <v>460.2</v>
      </c>
      <c r="J187" s="63">
        <v>-13.8</v>
      </c>
      <c r="K187" s="24">
        <f t="shared" si="39"/>
        <v>446.4</v>
      </c>
      <c r="L187" s="69"/>
      <c r="M187" s="24">
        <f t="shared" si="40"/>
        <v>446.4</v>
      </c>
      <c r="N187" s="63"/>
      <c r="O187" s="24">
        <f t="shared" si="41"/>
        <v>446.4</v>
      </c>
      <c r="P187" s="63"/>
      <c r="Q187" s="24">
        <f t="shared" si="48"/>
        <v>446.4</v>
      </c>
      <c r="R187" s="39">
        <v>17.8</v>
      </c>
      <c r="S187" s="24">
        <f t="shared" si="49"/>
        <v>464.2</v>
      </c>
      <c r="T187" s="69"/>
      <c r="U187" s="24">
        <f t="shared" si="30"/>
        <v>464.2</v>
      </c>
      <c r="V187" s="69"/>
      <c r="W187" s="24">
        <f t="shared" si="31"/>
        <v>464.2</v>
      </c>
      <c r="X187" s="39">
        <v>-24.2</v>
      </c>
      <c r="Y187" s="24">
        <f t="shared" si="32"/>
        <v>440</v>
      </c>
      <c r="Z187" s="61">
        <v>-24.2</v>
      </c>
      <c r="AA187" s="189">
        <f t="shared" si="52"/>
        <v>415.8</v>
      </c>
    </row>
    <row r="188" spans="1:27" x14ac:dyDescent="0.25">
      <c r="A188" s="25" t="s">
        <v>567</v>
      </c>
      <c r="B188" s="26" t="s">
        <v>74</v>
      </c>
      <c r="C188" s="26" t="s">
        <v>96</v>
      </c>
      <c r="D188" s="26" t="s">
        <v>43</v>
      </c>
      <c r="E188" s="27">
        <v>518.29999999999995</v>
      </c>
      <c r="F188" s="27"/>
      <c r="G188" s="24">
        <f t="shared" si="37"/>
        <v>518.29999999999995</v>
      </c>
      <c r="H188" s="27"/>
      <c r="I188" s="24">
        <f t="shared" si="38"/>
        <v>518.29999999999995</v>
      </c>
      <c r="J188" s="63">
        <v>47.4</v>
      </c>
      <c r="K188" s="24">
        <f t="shared" si="39"/>
        <v>565.69999999999993</v>
      </c>
      <c r="L188" s="69"/>
      <c r="M188" s="24">
        <f t="shared" si="40"/>
        <v>565.69999999999993</v>
      </c>
      <c r="N188" s="69"/>
      <c r="O188" s="24">
        <f t="shared" si="41"/>
        <v>565.69999999999993</v>
      </c>
      <c r="P188" s="69"/>
      <c r="Q188" s="24">
        <f t="shared" si="48"/>
        <v>565.69999999999993</v>
      </c>
      <c r="R188" s="69"/>
      <c r="S188" s="24">
        <f t="shared" si="49"/>
        <v>565.69999999999993</v>
      </c>
      <c r="T188" s="69"/>
      <c r="U188" s="24">
        <f t="shared" si="30"/>
        <v>565.69999999999993</v>
      </c>
      <c r="V188" s="69"/>
      <c r="W188" s="24">
        <f t="shared" si="31"/>
        <v>565.69999999999993</v>
      </c>
      <c r="X188" s="69"/>
      <c r="Y188" s="24">
        <f t="shared" si="32"/>
        <v>565.69999999999993</v>
      </c>
      <c r="AA188" s="189">
        <f t="shared" si="52"/>
        <v>565.69999999999993</v>
      </c>
    </row>
    <row r="189" spans="1:27" ht="24.75" x14ac:dyDescent="0.25">
      <c r="A189" s="62" t="s">
        <v>563</v>
      </c>
      <c r="B189" s="21" t="s">
        <v>74</v>
      </c>
      <c r="C189" s="21" t="s">
        <v>96</v>
      </c>
      <c r="D189" s="21" t="s">
        <v>315</v>
      </c>
      <c r="E189" s="27"/>
      <c r="F189" s="63">
        <v>180</v>
      </c>
      <c r="G189" s="24">
        <f t="shared" si="37"/>
        <v>180</v>
      </c>
      <c r="H189" s="69"/>
      <c r="I189" s="24">
        <f t="shared" si="38"/>
        <v>180</v>
      </c>
      <c r="J189" s="69"/>
      <c r="K189" s="24">
        <f t="shared" si="39"/>
        <v>180</v>
      </c>
      <c r="L189" s="69"/>
      <c r="M189" s="24">
        <f t="shared" si="40"/>
        <v>180</v>
      </c>
      <c r="N189" s="69"/>
      <c r="O189" s="24">
        <f t="shared" si="41"/>
        <v>180</v>
      </c>
      <c r="P189" s="69"/>
      <c r="Q189" s="24">
        <f t="shared" si="48"/>
        <v>180</v>
      </c>
      <c r="R189" s="39">
        <v>-87.3</v>
      </c>
      <c r="S189" s="24">
        <f t="shared" si="49"/>
        <v>92.7</v>
      </c>
      <c r="T189" s="69"/>
      <c r="U189" s="24">
        <f t="shared" si="30"/>
        <v>92.7</v>
      </c>
      <c r="V189" s="69"/>
      <c r="W189" s="24">
        <f t="shared" si="31"/>
        <v>92.7</v>
      </c>
      <c r="X189" s="69"/>
      <c r="Y189" s="24">
        <f t="shared" si="32"/>
        <v>92.7</v>
      </c>
      <c r="AA189" s="189">
        <f t="shared" si="52"/>
        <v>92.7</v>
      </c>
    </row>
    <row r="190" spans="1:27" x14ac:dyDescent="0.25">
      <c r="A190" s="30" t="s">
        <v>45</v>
      </c>
      <c r="B190" s="21" t="s">
        <v>74</v>
      </c>
      <c r="C190" s="21" t="s">
        <v>96</v>
      </c>
      <c r="D190" s="21" t="s">
        <v>46</v>
      </c>
      <c r="E190" s="27"/>
      <c r="F190" s="63"/>
      <c r="G190" s="24"/>
      <c r="H190" s="69"/>
      <c r="I190" s="24"/>
      <c r="J190" s="69"/>
      <c r="K190" s="24"/>
      <c r="L190" s="69"/>
      <c r="M190" s="24"/>
      <c r="N190" s="69"/>
      <c r="O190" s="24"/>
      <c r="P190" s="69"/>
      <c r="Q190" s="24"/>
      <c r="R190" s="39"/>
      <c r="S190" s="24"/>
      <c r="T190" s="63">
        <v>32.200000000000003</v>
      </c>
      <c r="U190" s="24">
        <f t="shared" si="30"/>
        <v>32.200000000000003</v>
      </c>
      <c r="V190" s="69"/>
      <c r="W190" s="24">
        <f t="shared" si="31"/>
        <v>32.200000000000003</v>
      </c>
      <c r="X190" s="69"/>
      <c r="Y190" s="24">
        <f t="shared" si="32"/>
        <v>32.200000000000003</v>
      </c>
      <c r="AA190" s="189">
        <f t="shared" si="52"/>
        <v>32.200000000000003</v>
      </c>
    </row>
    <row r="191" spans="1:27" x14ac:dyDescent="0.25">
      <c r="A191" s="100" t="s">
        <v>841</v>
      </c>
      <c r="B191" s="20" t="s">
        <v>74</v>
      </c>
      <c r="C191" s="20" t="s">
        <v>1405</v>
      </c>
      <c r="D191" s="20" t="s">
        <v>2</v>
      </c>
      <c r="E191" s="27"/>
      <c r="F191" s="63"/>
      <c r="G191" s="24"/>
      <c r="H191" s="69"/>
      <c r="I191" s="24"/>
      <c r="J191" s="69"/>
      <c r="K191" s="24"/>
      <c r="L191" s="69"/>
      <c r="M191" s="24"/>
      <c r="N191" s="69"/>
      <c r="O191" s="24"/>
      <c r="P191" s="69"/>
      <c r="Q191" s="24"/>
      <c r="R191" s="39"/>
      <c r="S191" s="24"/>
      <c r="T191" s="63"/>
      <c r="U191" s="24"/>
      <c r="V191" s="47">
        <f>V192+V193</f>
        <v>156.4</v>
      </c>
      <c r="W191" s="24">
        <f t="shared" si="31"/>
        <v>156.4</v>
      </c>
      <c r="X191" s="47">
        <f>X192+X193</f>
        <v>30.099999999999998</v>
      </c>
      <c r="Y191" s="24">
        <f t="shared" si="32"/>
        <v>186.5</v>
      </c>
    </row>
    <row r="192" spans="1:27" x14ac:dyDescent="0.25">
      <c r="A192" s="17" t="s">
        <v>560</v>
      </c>
      <c r="B192" s="21" t="s">
        <v>74</v>
      </c>
      <c r="C192" s="21" t="s">
        <v>1405</v>
      </c>
      <c r="D192" s="21" t="s">
        <v>12</v>
      </c>
      <c r="E192" s="27"/>
      <c r="F192" s="63"/>
      <c r="G192" s="24"/>
      <c r="H192" s="69"/>
      <c r="I192" s="24"/>
      <c r="J192" s="69"/>
      <c r="K192" s="24"/>
      <c r="L192" s="69"/>
      <c r="M192" s="24"/>
      <c r="N192" s="69"/>
      <c r="O192" s="24"/>
      <c r="P192" s="69"/>
      <c r="Q192" s="24"/>
      <c r="R192" s="39"/>
      <c r="S192" s="24"/>
      <c r="T192" s="63"/>
      <c r="U192" s="24"/>
      <c r="V192" s="181">
        <f>111.2+4.7</f>
        <v>115.9</v>
      </c>
      <c r="W192" s="24">
        <f t="shared" si="31"/>
        <v>115.9</v>
      </c>
      <c r="X192" s="39">
        <f>26.3+2.9</f>
        <v>29.2</v>
      </c>
      <c r="Y192" s="24">
        <f t="shared" si="32"/>
        <v>145.1</v>
      </c>
      <c r="Z192" s="61">
        <v>2.9</v>
      </c>
      <c r="AA192" s="189">
        <f t="shared" ref="AA192:AA193" si="53">Y192+Z192</f>
        <v>148</v>
      </c>
    </row>
    <row r="193" spans="1:27" ht="36.75" x14ac:dyDescent="0.25">
      <c r="A193" s="17" t="s">
        <v>561</v>
      </c>
      <c r="B193" s="21" t="s">
        <v>74</v>
      </c>
      <c r="C193" s="21" t="s">
        <v>1405</v>
      </c>
      <c r="D193" s="21" t="s">
        <v>13</v>
      </c>
      <c r="E193" s="27"/>
      <c r="F193" s="63"/>
      <c r="G193" s="24"/>
      <c r="H193" s="69"/>
      <c r="I193" s="24"/>
      <c r="J193" s="69"/>
      <c r="K193" s="24"/>
      <c r="L193" s="69"/>
      <c r="M193" s="24"/>
      <c r="N193" s="69"/>
      <c r="O193" s="24"/>
      <c r="P193" s="69"/>
      <c r="Q193" s="24"/>
      <c r="R193" s="39"/>
      <c r="S193" s="24"/>
      <c r="T193" s="63"/>
      <c r="U193" s="24"/>
      <c r="V193" s="181">
        <f>33.6+6.9</f>
        <v>40.5</v>
      </c>
      <c r="W193" s="24">
        <f t="shared" si="31"/>
        <v>40.5</v>
      </c>
      <c r="X193" s="39">
        <v>0.9</v>
      </c>
      <c r="Y193" s="24">
        <f t="shared" si="32"/>
        <v>41.4</v>
      </c>
      <c r="Z193" s="61">
        <v>0.9</v>
      </c>
      <c r="AA193" s="189">
        <f t="shared" si="53"/>
        <v>42.3</v>
      </c>
    </row>
    <row r="194" spans="1:27" s="6" customFormat="1" x14ac:dyDescent="0.25">
      <c r="A194" s="22" t="s">
        <v>97</v>
      </c>
      <c r="B194" s="23" t="s">
        <v>74</v>
      </c>
      <c r="C194" s="23" t="s">
        <v>98</v>
      </c>
      <c r="D194" s="23" t="s">
        <v>2</v>
      </c>
      <c r="E194" s="24">
        <f>E201</f>
        <v>1232.5999999999999</v>
      </c>
      <c r="F194" s="24">
        <f>F201</f>
        <v>0</v>
      </c>
      <c r="G194" s="24">
        <f t="shared" si="37"/>
        <v>1232.5999999999999</v>
      </c>
      <c r="H194" s="24">
        <f>H201</f>
        <v>0</v>
      </c>
      <c r="I194" s="24">
        <f t="shared" si="38"/>
        <v>1232.5999999999999</v>
      </c>
      <c r="J194" s="24">
        <f>J201</f>
        <v>-51.6</v>
      </c>
      <c r="K194" s="24">
        <f t="shared" si="39"/>
        <v>1181</v>
      </c>
      <c r="L194" s="24">
        <f>L201</f>
        <v>500</v>
      </c>
      <c r="M194" s="24">
        <f t="shared" si="40"/>
        <v>1681</v>
      </c>
      <c r="N194" s="24">
        <f>N201</f>
        <v>-20</v>
      </c>
      <c r="O194" s="24">
        <f t="shared" si="41"/>
        <v>1661</v>
      </c>
      <c r="P194" s="24">
        <f>P201+P195</f>
        <v>1056.8</v>
      </c>
      <c r="Q194" s="24">
        <f t="shared" si="48"/>
        <v>2717.8</v>
      </c>
      <c r="R194" s="24">
        <f>R201+R195</f>
        <v>-137.6</v>
      </c>
      <c r="S194" s="24">
        <f t="shared" si="49"/>
        <v>2580.2000000000003</v>
      </c>
      <c r="T194" s="24">
        <f>T201+T195</f>
        <v>-32.200000000000003</v>
      </c>
      <c r="U194" s="24">
        <f t="shared" si="30"/>
        <v>2548.0000000000005</v>
      </c>
      <c r="V194" s="24">
        <f>V201+V195</f>
        <v>0</v>
      </c>
      <c r="W194" s="24">
        <f t="shared" si="31"/>
        <v>2548.0000000000005</v>
      </c>
      <c r="X194" s="24">
        <f>X201+X195</f>
        <v>-28.5</v>
      </c>
      <c r="Y194" s="24">
        <f t="shared" si="32"/>
        <v>2519.5000000000005</v>
      </c>
      <c r="Z194" s="189"/>
    </row>
    <row r="195" spans="1:27" s="6" customFormat="1" ht="48.75" x14ac:dyDescent="0.25">
      <c r="A195" s="16" t="s">
        <v>906</v>
      </c>
      <c r="B195" s="23" t="s">
        <v>74</v>
      </c>
      <c r="C195" s="23" t="s">
        <v>907</v>
      </c>
      <c r="D195" s="23"/>
      <c r="E195" s="24"/>
      <c r="F195" s="24"/>
      <c r="G195" s="24"/>
      <c r="H195" s="24"/>
      <c r="I195" s="24"/>
      <c r="J195" s="24"/>
      <c r="K195" s="24"/>
      <c r="L195" s="24"/>
      <c r="M195" s="24"/>
      <c r="N195" s="24"/>
      <c r="O195" s="24">
        <f t="shared" si="41"/>
        <v>0</v>
      </c>
      <c r="P195" s="24">
        <f>P200</f>
        <v>1056.8</v>
      </c>
      <c r="Q195" s="24">
        <f t="shared" si="48"/>
        <v>1056.8</v>
      </c>
      <c r="R195" s="24">
        <f>R200</f>
        <v>0</v>
      </c>
      <c r="S195" s="24">
        <f t="shared" si="49"/>
        <v>1056.8</v>
      </c>
      <c r="T195" s="24">
        <f>T200+T196+T197+T198+T199</f>
        <v>0</v>
      </c>
      <c r="U195" s="24">
        <f t="shared" si="30"/>
        <v>1056.8</v>
      </c>
      <c r="V195" s="24">
        <f>V200+V196+V197+V198+V199</f>
        <v>0</v>
      </c>
      <c r="W195" s="24">
        <f t="shared" si="31"/>
        <v>1056.8</v>
      </c>
      <c r="X195" s="24">
        <f>X200+X196+X197+X198+X199</f>
        <v>0</v>
      </c>
      <c r="Y195" s="24">
        <f t="shared" si="32"/>
        <v>1056.8</v>
      </c>
      <c r="Z195" s="189"/>
    </row>
    <row r="196" spans="1:27" s="6" customFormat="1" x14ac:dyDescent="0.25">
      <c r="A196" s="17" t="s">
        <v>564</v>
      </c>
      <c r="B196" s="26" t="s">
        <v>74</v>
      </c>
      <c r="C196" s="26" t="s">
        <v>907</v>
      </c>
      <c r="D196" s="26" t="s">
        <v>86</v>
      </c>
      <c r="E196" s="24"/>
      <c r="F196" s="24"/>
      <c r="G196" s="24"/>
      <c r="H196" s="24"/>
      <c r="I196" s="24"/>
      <c r="J196" s="24"/>
      <c r="K196" s="24"/>
      <c r="L196" s="24"/>
      <c r="M196" s="24"/>
      <c r="N196" s="24"/>
      <c r="O196" s="24"/>
      <c r="P196" s="24"/>
      <c r="Q196" s="24"/>
      <c r="R196" s="24"/>
      <c r="S196" s="24"/>
      <c r="T196" s="125">
        <v>243.6</v>
      </c>
      <c r="U196" s="27">
        <f t="shared" si="30"/>
        <v>243.6</v>
      </c>
      <c r="V196" s="69"/>
      <c r="W196" s="27">
        <f t="shared" si="31"/>
        <v>243.6</v>
      </c>
      <c r="X196" s="69"/>
      <c r="Y196" s="27">
        <f t="shared" si="32"/>
        <v>243.6</v>
      </c>
      <c r="Z196" s="189"/>
      <c r="AA196" s="189">
        <f t="shared" ref="AA196:AA200" si="54">Y196+Z196</f>
        <v>243.6</v>
      </c>
    </row>
    <row r="197" spans="1:27" s="6" customFormat="1" ht="24.75" x14ac:dyDescent="0.25">
      <c r="A197" s="17" t="s">
        <v>565</v>
      </c>
      <c r="B197" s="26" t="s">
        <v>74</v>
      </c>
      <c r="C197" s="26" t="s">
        <v>907</v>
      </c>
      <c r="D197" s="26" t="s">
        <v>89</v>
      </c>
      <c r="E197" s="24"/>
      <c r="F197" s="24"/>
      <c r="G197" s="24"/>
      <c r="H197" s="24"/>
      <c r="I197" s="24"/>
      <c r="J197" s="24"/>
      <c r="K197" s="24"/>
      <c r="L197" s="24"/>
      <c r="M197" s="24"/>
      <c r="N197" s="24"/>
      <c r="O197" s="24"/>
      <c r="P197" s="24"/>
      <c r="Q197" s="24"/>
      <c r="R197" s="24"/>
      <c r="S197" s="24"/>
      <c r="T197" s="125">
        <v>73.599999999999994</v>
      </c>
      <c r="U197" s="27">
        <f t="shared" si="30"/>
        <v>73.599999999999994</v>
      </c>
      <c r="V197" s="69"/>
      <c r="W197" s="27">
        <f t="shared" si="31"/>
        <v>73.599999999999994</v>
      </c>
      <c r="X197" s="69"/>
      <c r="Y197" s="27">
        <f t="shared" si="32"/>
        <v>73.599999999999994</v>
      </c>
      <c r="Z197" s="189"/>
      <c r="AA197" s="189">
        <f t="shared" si="54"/>
        <v>73.599999999999994</v>
      </c>
    </row>
    <row r="198" spans="1:27" s="6" customFormat="1" x14ac:dyDescent="0.25">
      <c r="A198" s="17" t="s">
        <v>560</v>
      </c>
      <c r="B198" s="26" t="s">
        <v>74</v>
      </c>
      <c r="C198" s="26" t="s">
        <v>907</v>
      </c>
      <c r="D198" s="26" t="s">
        <v>12</v>
      </c>
      <c r="E198" s="24"/>
      <c r="F198" s="24"/>
      <c r="G198" s="24"/>
      <c r="H198" s="24"/>
      <c r="I198" s="24"/>
      <c r="J198" s="24"/>
      <c r="K198" s="24"/>
      <c r="L198" s="24"/>
      <c r="M198" s="24"/>
      <c r="N198" s="24"/>
      <c r="O198" s="24"/>
      <c r="P198" s="24"/>
      <c r="Q198" s="24"/>
      <c r="R198" s="24"/>
      <c r="S198" s="24"/>
      <c r="T198" s="125">
        <v>568.1</v>
      </c>
      <c r="U198" s="27">
        <f t="shared" si="30"/>
        <v>568.1</v>
      </c>
      <c r="V198" s="69"/>
      <c r="W198" s="27">
        <f t="shared" si="31"/>
        <v>568.1</v>
      </c>
      <c r="X198" s="69"/>
      <c r="Y198" s="27">
        <f t="shared" si="32"/>
        <v>568.1</v>
      </c>
      <c r="Z198" s="189"/>
      <c r="AA198" s="189">
        <f t="shared" si="54"/>
        <v>568.1</v>
      </c>
    </row>
    <row r="199" spans="1:27" s="6" customFormat="1" ht="36.75" x14ac:dyDescent="0.25">
      <c r="A199" s="17" t="s">
        <v>561</v>
      </c>
      <c r="B199" s="26" t="s">
        <v>74</v>
      </c>
      <c r="C199" s="26" t="s">
        <v>907</v>
      </c>
      <c r="D199" s="26" t="s">
        <v>13</v>
      </c>
      <c r="E199" s="24"/>
      <c r="F199" s="24"/>
      <c r="G199" s="24"/>
      <c r="H199" s="24"/>
      <c r="I199" s="24"/>
      <c r="J199" s="24"/>
      <c r="K199" s="24"/>
      <c r="L199" s="24"/>
      <c r="M199" s="24"/>
      <c r="N199" s="24"/>
      <c r="O199" s="24"/>
      <c r="P199" s="24"/>
      <c r="Q199" s="24"/>
      <c r="R199" s="24"/>
      <c r="S199" s="24"/>
      <c r="T199" s="125">
        <v>171.5</v>
      </c>
      <c r="U199" s="27">
        <f t="shared" si="30"/>
        <v>171.5</v>
      </c>
      <c r="V199" s="69"/>
      <c r="W199" s="27">
        <f t="shared" si="31"/>
        <v>171.5</v>
      </c>
      <c r="X199" s="69"/>
      <c r="Y199" s="27">
        <f t="shared" si="32"/>
        <v>171.5</v>
      </c>
      <c r="Z199" s="189"/>
      <c r="AA199" s="189">
        <f t="shared" si="54"/>
        <v>171.5</v>
      </c>
    </row>
    <row r="200" spans="1:27" s="6" customFormat="1" hidden="1" x14ac:dyDescent="0.25">
      <c r="A200" s="30" t="s">
        <v>66</v>
      </c>
      <c r="B200" s="26" t="s">
        <v>74</v>
      </c>
      <c r="C200" s="26" t="s">
        <v>907</v>
      </c>
      <c r="D200" s="26" t="s">
        <v>42</v>
      </c>
      <c r="E200" s="27"/>
      <c r="F200" s="27"/>
      <c r="G200" s="27"/>
      <c r="H200" s="27"/>
      <c r="I200" s="27"/>
      <c r="J200" s="27"/>
      <c r="K200" s="27"/>
      <c r="L200" s="27"/>
      <c r="M200" s="27"/>
      <c r="N200" s="27"/>
      <c r="O200" s="27">
        <f t="shared" si="41"/>
        <v>0</v>
      </c>
      <c r="P200" s="125">
        <v>1056.8</v>
      </c>
      <c r="Q200" s="27">
        <f t="shared" si="48"/>
        <v>1056.8</v>
      </c>
      <c r="R200" s="69"/>
      <c r="S200" s="27">
        <f t="shared" si="49"/>
        <v>1056.8</v>
      </c>
      <c r="T200" s="125">
        <v>-1056.8</v>
      </c>
      <c r="U200" s="27">
        <f t="shared" si="30"/>
        <v>0</v>
      </c>
      <c r="V200" s="69"/>
      <c r="W200" s="27">
        <f t="shared" si="31"/>
        <v>0</v>
      </c>
      <c r="X200" s="69"/>
      <c r="Y200" s="27">
        <f t="shared" si="32"/>
        <v>0</v>
      </c>
      <c r="Z200" s="189"/>
      <c r="AA200" s="189">
        <f t="shared" si="54"/>
        <v>0</v>
      </c>
    </row>
    <row r="201" spans="1:27" s="6" customFormat="1" ht="60.75" x14ac:dyDescent="0.25">
      <c r="A201" s="22" t="s">
        <v>99</v>
      </c>
      <c r="B201" s="23" t="s">
        <v>74</v>
      </c>
      <c r="C201" s="23" t="s">
        <v>100</v>
      </c>
      <c r="D201" s="23" t="s">
        <v>2</v>
      </c>
      <c r="E201" s="24">
        <f>E202</f>
        <v>1232.5999999999999</v>
      </c>
      <c r="F201" s="24">
        <f>F202</f>
        <v>0</v>
      </c>
      <c r="G201" s="24">
        <f t="shared" si="37"/>
        <v>1232.5999999999999</v>
      </c>
      <c r="H201" s="24">
        <f>H202</f>
        <v>0</v>
      </c>
      <c r="I201" s="24">
        <f t="shared" si="38"/>
        <v>1232.5999999999999</v>
      </c>
      <c r="J201" s="24">
        <f>J202</f>
        <v>-51.6</v>
      </c>
      <c r="K201" s="24">
        <f t="shared" si="39"/>
        <v>1181</v>
      </c>
      <c r="L201" s="47">
        <f>L202</f>
        <v>500</v>
      </c>
      <c r="M201" s="24">
        <f t="shared" si="40"/>
        <v>1681</v>
      </c>
      <c r="N201" s="47">
        <f>N202</f>
        <v>-20</v>
      </c>
      <c r="O201" s="24">
        <f t="shared" si="41"/>
        <v>1661</v>
      </c>
      <c r="P201" s="47">
        <f>P202</f>
        <v>0</v>
      </c>
      <c r="Q201" s="24">
        <f t="shared" si="48"/>
        <v>1661</v>
      </c>
      <c r="R201" s="47">
        <f>R202</f>
        <v>-137.6</v>
      </c>
      <c r="S201" s="24">
        <f t="shared" si="49"/>
        <v>1523.4</v>
      </c>
      <c r="T201" s="47">
        <f>T202</f>
        <v>-32.200000000000003</v>
      </c>
      <c r="U201" s="24">
        <f t="shared" si="30"/>
        <v>1491.2</v>
      </c>
      <c r="V201" s="47">
        <f>V202</f>
        <v>0</v>
      </c>
      <c r="W201" s="24">
        <f t="shared" si="31"/>
        <v>1491.2</v>
      </c>
      <c r="X201" s="47">
        <f>X202</f>
        <v>-28.5</v>
      </c>
      <c r="Y201" s="24">
        <f t="shared" si="32"/>
        <v>1462.7</v>
      </c>
      <c r="Z201" s="189"/>
    </row>
    <row r="202" spans="1:27" x14ac:dyDescent="0.25">
      <c r="A202" s="25" t="s">
        <v>66</v>
      </c>
      <c r="B202" s="26" t="s">
        <v>74</v>
      </c>
      <c r="C202" s="26" t="s">
        <v>100</v>
      </c>
      <c r="D202" s="26" t="s">
        <v>42</v>
      </c>
      <c r="E202" s="27">
        <v>1232.5999999999999</v>
      </c>
      <c r="F202" s="27"/>
      <c r="G202" s="24">
        <f t="shared" si="37"/>
        <v>1232.5999999999999</v>
      </c>
      <c r="H202" s="27"/>
      <c r="I202" s="24">
        <f t="shared" si="38"/>
        <v>1232.5999999999999</v>
      </c>
      <c r="J202" s="63">
        <v>-51.6</v>
      </c>
      <c r="K202" s="24">
        <f t="shared" si="39"/>
        <v>1181</v>
      </c>
      <c r="L202" s="96">
        <v>500</v>
      </c>
      <c r="M202" s="24">
        <f t="shared" si="40"/>
        <v>1681</v>
      </c>
      <c r="N202" s="63">
        <v>-20</v>
      </c>
      <c r="O202" s="24">
        <f t="shared" si="41"/>
        <v>1661</v>
      </c>
      <c r="P202" s="69"/>
      <c r="Q202" s="24">
        <f t="shared" si="48"/>
        <v>1661</v>
      </c>
      <c r="R202" s="39">
        <v>-137.6</v>
      </c>
      <c r="S202" s="24">
        <f t="shared" si="49"/>
        <v>1523.4</v>
      </c>
      <c r="T202" s="63">
        <v>-32.200000000000003</v>
      </c>
      <c r="U202" s="24">
        <f t="shared" si="30"/>
        <v>1491.2</v>
      </c>
      <c r="V202" s="69"/>
      <c r="W202" s="24">
        <f t="shared" si="31"/>
        <v>1491.2</v>
      </c>
      <c r="X202" s="39">
        <v>-28.5</v>
      </c>
      <c r="Y202" s="24">
        <f t="shared" si="32"/>
        <v>1462.7</v>
      </c>
      <c r="Z202" s="61">
        <v>-28.5</v>
      </c>
      <c r="AA202" s="189">
        <f>Y202+Z202</f>
        <v>1434.2</v>
      </c>
    </row>
    <row r="203" spans="1:27" x14ac:dyDescent="0.25">
      <c r="A203" s="16" t="s">
        <v>769</v>
      </c>
      <c r="B203" s="20" t="s">
        <v>74</v>
      </c>
      <c r="C203" s="20" t="s">
        <v>1408</v>
      </c>
      <c r="D203" s="21"/>
      <c r="E203" s="27"/>
      <c r="F203" s="27"/>
      <c r="G203" s="24"/>
      <c r="H203" s="27"/>
      <c r="I203" s="24"/>
      <c r="J203" s="63"/>
      <c r="K203" s="24"/>
      <c r="L203" s="96"/>
      <c r="M203" s="24"/>
      <c r="N203" s="63"/>
      <c r="O203" s="24"/>
      <c r="P203" s="69"/>
      <c r="Q203" s="24"/>
      <c r="R203" s="39"/>
      <c r="S203" s="24"/>
      <c r="T203" s="63"/>
      <c r="U203" s="24"/>
      <c r="V203" s="47">
        <f>V204+V205</f>
        <v>82.6</v>
      </c>
      <c r="W203" s="24">
        <f t="shared" si="31"/>
        <v>82.6</v>
      </c>
      <c r="X203" s="47">
        <f>X204+X205</f>
        <v>0</v>
      </c>
      <c r="Y203" s="24">
        <f t="shared" si="32"/>
        <v>82.6</v>
      </c>
    </row>
    <row r="204" spans="1:27" x14ac:dyDescent="0.25">
      <c r="A204" s="30" t="s">
        <v>564</v>
      </c>
      <c r="B204" s="21" t="s">
        <v>74</v>
      </c>
      <c r="C204" s="21" t="s">
        <v>1408</v>
      </c>
      <c r="D204" s="21" t="s">
        <v>86</v>
      </c>
      <c r="E204" s="27"/>
      <c r="F204" s="27"/>
      <c r="G204" s="24"/>
      <c r="H204" s="27"/>
      <c r="I204" s="24"/>
      <c r="J204" s="63"/>
      <c r="K204" s="24"/>
      <c r="L204" s="96"/>
      <c r="M204" s="24"/>
      <c r="N204" s="63"/>
      <c r="O204" s="24"/>
      <c r="P204" s="69"/>
      <c r="Q204" s="24"/>
      <c r="R204" s="39"/>
      <c r="S204" s="24"/>
      <c r="T204" s="63"/>
      <c r="U204" s="24"/>
      <c r="V204" s="185">
        <v>63.4</v>
      </c>
      <c r="W204" s="24">
        <f t="shared" si="31"/>
        <v>63.4</v>
      </c>
      <c r="X204" s="84"/>
      <c r="Y204" s="24">
        <f t="shared" si="32"/>
        <v>63.4</v>
      </c>
      <c r="AA204" s="189">
        <f t="shared" ref="AA204:AA205" si="55">Y204+Z204</f>
        <v>63.4</v>
      </c>
    </row>
    <row r="205" spans="1:27" ht="24.75" x14ac:dyDescent="0.25">
      <c r="A205" s="30" t="s">
        <v>565</v>
      </c>
      <c r="B205" s="21" t="s">
        <v>74</v>
      </c>
      <c r="C205" s="21" t="s">
        <v>1408</v>
      </c>
      <c r="D205" s="21" t="s">
        <v>89</v>
      </c>
      <c r="E205" s="27"/>
      <c r="F205" s="27"/>
      <c r="G205" s="24"/>
      <c r="H205" s="27"/>
      <c r="I205" s="24"/>
      <c r="J205" s="63"/>
      <c r="K205" s="24"/>
      <c r="L205" s="96"/>
      <c r="M205" s="24"/>
      <c r="N205" s="63"/>
      <c r="O205" s="24"/>
      <c r="P205" s="69"/>
      <c r="Q205" s="24"/>
      <c r="R205" s="39"/>
      <c r="S205" s="24"/>
      <c r="T205" s="63"/>
      <c r="U205" s="24"/>
      <c r="V205" s="185">
        <v>19.2</v>
      </c>
      <c r="W205" s="24">
        <f t="shared" si="31"/>
        <v>19.2</v>
      </c>
      <c r="X205" s="84"/>
      <c r="Y205" s="24">
        <f t="shared" si="32"/>
        <v>19.2</v>
      </c>
      <c r="AA205" s="189">
        <f t="shared" si="55"/>
        <v>19.2</v>
      </c>
    </row>
    <row r="206" spans="1:27" ht="24.75" x14ac:dyDescent="0.25">
      <c r="A206" s="40" t="s">
        <v>793</v>
      </c>
      <c r="B206" s="20" t="s">
        <v>74</v>
      </c>
      <c r="C206" s="20" t="s">
        <v>794</v>
      </c>
      <c r="D206" s="21"/>
      <c r="E206" s="27"/>
      <c r="F206" s="27"/>
      <c r="G206" s="24"/>
      <c r="H206" s="27"/>
      <c r="I206" s="24"/>
      <c r="J206" s="47">
        <f>J207+J208+J209+J211</f>
        <v>4181.5</v>
      </c>
      <c r="K206" s="24">
        <f t="shared" si="39"/>
        <v>4181.5</v>
      </c>
      <c r="L206" s="47">
        <f>L207+L208+L209+L211</f>
        <v>0</v>
      </c>
      <c r="M206" s="24">
        <f t="shared" si="40"/>
        <v>4181.5</v>
      </c>
      <c r="N206" s="47">
        <f>N207+N208+N209+N211</f>
        <v>0</v>
      </c>
      <c r="O206" s="24">
        <f t="shared" si="41"/>
        <v>4181.5</v>
      </c>
      <c r="P206" s="47">
        <f>P207+P208+P209+P211</f>
        <v>0</v>
      </c>
      <c r="Q206" s="24">
        <f t="shared" si="48"/>
        <v>4181.5</v>
      </c>
      <c r="R206" s="47">
        <f>R207+R208+R209+R211</f>
        <v>1350.2</v>
      </c>
      <c r="S206" s="24">
        <f t="shared" si="49"/>
        <v>5531.7</v>
      </c>
      <c r="T206" s="47">
        <f>T207+T208+T209+T211+T210</f>
        <v>0</v>
      </c>
      <c r="U206" s="24">
        <f t="shared" si="30"/>
        <v>5531.7</v>
      </c>
      <c r="V206" s="47">
        <f>V207+V208+V209+V211+V210</f>
        <v>0</v>
      </c>
      <c r="W206" s="24">
        <f t="shared" si="31"/>
        <v>5531.7</v>
      </c>
      <c r="X206" s="47">
        <f>X207+X208+X209+X211+X210</f>
        <v>0</v>
      </c>
      <c r="Y206" s="24">
        <f t="shared" si="32"/>
        <v>5531.7</v>
      </c>
    </row>
    <row r="207" spans="1:27" x14ac:dyDescent="0.25">
      <c r="A207" s="30" t="s">
        <v>564</v>
      </c>
      <c r="B207" s="21" t="s">
        <v>74</v>
      </c>
      <c r="C207" s="21" t="s">
        <v>794</v>
      </c>
      <c r="D207" s="21" t="s">
        <v>86</v>
      </c>
      <c r="E207" s="27"/>
      <c r="F207" s="27"/>
      <c r="G207" s="24"/>
      <c r="H207" s="27"/>
      <c r="I207" s="24"/>
      <c r="J207" s="63">
        <v>3200.5</v>
      </c>
      <c r="K207" s="24">
        <f t="shared" si="39"/>
        <v>3200.5</v>
      </c>
      <c r="L207" s="69"/>
      <c r="M207" s="24">
        <f t="shared" si="40"/>
        <v>3200.5</v>
      </c>
      <c r="N207" s="69"/>
      <c r="O207" s="24">
        <f t="shared" si="41"/>
        <v>3200.5</v>
      </c>
      <c r="P207" s="69"/>
      <c r="Q207" s="24">
        <f t="shared" si="48"/>
        <v>3200.5</v>
      </c>
      <c r="R207" s="39">
        <v>690.9</v>
      </c>
      <c r="S207" s="24">
        <f t="shared" si="49"/>
        <v>3891.4</v>
      </c>
      <c r="T207" s="69"/>
      <c r="U207" s="24">
        <f t="shared" si="30"/>
        <v>3891.4</v>
      </c>
      <c r="V207" s="69"/>
      <c r="W207" s="24">
        <f t="shared" si="31"/>
        <v>3891.4</v>
      </c>
      <c r="X207" s="69"/>
      <c r="Y207" s="24">
        <f t="shared" si="32"/>
        <v>3891.4</v>
      </c>
      <c r="AA207" s="189">
        <f t="shared" ref="AA207:AA211" si="56">Y207+Z207</f>
        <v>3891.4</v>
      </c>
    </row>
    <row r="208" spans="1:27" ht="24.75" x14ac:dyDescent="0.25">
      <c r="A208" s="30" t="s">
        <v>565</v>
      </c>
      <c r="B208" s="21" t="s">
        <v>74</v>
      </c>
      <c r="C208" s="21" t="s">
        <v>794</v>
      </c>
      <c r="D208" s="21" t="s">
        <v>89</v>
      </c>
      <c r="E208" s="27"/>
      <c r="F208" s="27"/>
      <c r="G208" s="24"/>
      <c r="H208" s="27"/>
      <c r="I208" s="24"/>
      <c r="J208" s="63">
        <v>970</v>
      </c>
      <c r="K208" s="24">
        <f t="shared" si="39"/>
        <v>970</v>
      </c>
      <c r="L208" s="69"/>
      <c r="M208" s="24">
        <f t="shared" si="40"/>
        <v>970</v>
      </c>
      <c r="N208" s="69"/>
      <c r="O208" s="24">
        <f t="shared" si="41"/>
        <v>970</v>
      </c>
      <c r="P208" s="69"/>
      <c r="Q208" s="24">
        <f t="shared" si="48"/>
        <v>970</v>
      </c>
      <c r="R208" s="39">
        <f>307+87.3</f>
        <v>394.3</v>
      </c>
      <c r="S208" s="24">
        <f t="shared" si="49"/>
        <v>1364.3</v>
      </c>
      <c r="T208" s="69"/>
      <c r="U208" s="24">
        <f t="shared" si="30"/>
        <v>1364.3</v>
      </c>
      <c r="V208" s="69"/>
      <c r="W208" s="24">
        <f t="shared" si="31"/>
        <v>1364.3</v>
      </c>
      <c r="X208" s="69"/>
      <c r="Y208" s="24">
        <f t="shared" si="32"/>
        <v>1364.3</v>
      </c>
      <c r="AA208" s="189">
        <f t="shared" si="56"/>
        <v>1364.3</v>
      </c>
    </row>
    <row r="209" spans="1:27" x14ac:dyDescent="0.25">
      <c r="A209" s="30" t="s">
        <v>66</v>
      </c>
      <c r="B209" s="21" t="s">
        <v>74</v>
      </c>
      <c r="C209" s="21" t="s">
        <v>794</v>
      </c>
      <c r="D209" s="21" t="s">
        <v>42</v>
      </c>
      <c r="E209" s="27"/>
      <c r="F209" s="27"/>
      <c r="G209" s="24"/>
      <c r="H209" s="27"/>
      <c r="I209" s="24"/>
      <c r="J209" s="63">
        <v>8</v>
      </c>
      <c r="K209" s="24">
        <f t="shared" si="39"/>
        <v>8</v>
      </c>
      <c r="L209" s="69"/>
      <c r="M209" s="24">
        <f t="shared" si="40"/>
        <v>8</v>
      </c>
      <c r="N209" s="69"/>
      <c r="O209" s="24">
        <f t="shared" si="41"/>
        <v>8</v>
      </c>
      <c r="P209" s="69"/>
      <c r="Q209" s="24">
        <f t="shared" si="48"/>
        <v>8</v>
      </c>
      <c r="R209" s="39">
        <f>165+100</f>
        <v>265</v>
      </c>
      <c r="S209" s="24">
        <f t="shared" si="49"/>
        <v>273</v>
      </c>
      <c r="T209" s="63">
        <v>-150</v>
      </c>
      <c r="U209" s="24">
        <f t="shared" si="30"/>
        <v>123</v>
      </c>
      <c r="V209" s="69"/>
      <c r="W209" s="24">
        <f t="shared" si="31"/>
        <v>123</v>
      </c>
      <c r="X209" s="69"/>
      <c r="Y209" s="24">
        <f t="shared" si="32"/>
        <v>123</v>
      </c>
      <c r="AA209" s="189">
        <f t="shared" si="56"/>
        <v>123</v>
      </c>
    </row>
    <row r="210" spans="1:27" x14ac:dyDescent="0.25">
      <c r="A210" s="30" t="s">
        <v>567</v>
      </c>
      <c r="B210" s="21" t="s">
        <v>74</v>
      </c>
      <c r="C210" s="21" t="s">
        <v>794</v>
      </c>
      <c r="D210" s="21" t="s">
        <v>43</v>
      </c>
      <c r="E210" s="27"/>
      <c r="F210" s="27"/>
      <c r="G210" s="24"/>
      <c r="H210" s="27"/>
      <c r="I210" s="24"/>
      <c r="J210" s="63"/>
      <c r="K210" s="24"/>
      <c r="L210" s="69"/>
      <c r="M210" s="24"/>
      <c r="N210" s="69"/>
      <c r="O210" s="24"/>
      <c r="P210" s="69"/>
      <c r="Q210" s="24"/>
      <c r="R210" s="39"/>
      <c r="S210" s="24"/>
      <c r="T210" s="63">
        <v>150</v>
      </c>
      <c r="U210" s="24">
        <f t="shared" si="30"/>
        <v>150</v>
      </c>
      <c r="V210" s="69"/>
      <c r="W210" s="24">
        <f t="shared" si="31"/>
        <v>150</v>
      </c>
      <c r="X210" s="69"/>
      <c r="Y210" s="24">
        <f t="shared" si="32"/>
        <v>150</v>
      </c>
      <c r="AA210" s="189">
        <f t="shared" si="56"/>
        <v>150</v>
      </c>
    </row>
    <row r="211" spans="1:27" x14ac:dyDescent="0.25">
      <c r="A211" s="64" t="s">
        <v>47</v>
      </c>
      <c r="B211" s="21" t="s">
        <v>74</v>
      </c>
      <c r="C211" s="21" t="s">
        <v>794</v>
      </c>
      <c r="D211" s="21" t="s">
        <v>48</v>
      </c>
      <c r="E211" s="27"/>
      <c r="F211" s="27"/>
      <c r="G211" s="24"/>
      <c r="H211" s="27"/>
      <c r="I211" s="24"/>
      <c r="J211" s="63">
        <v>3</v>
      </c>
      <c r="K211" s="24">
        <f t="shared" si="39"/>
        <v>3</v>
      </c>
      <c r="L211" s="69"/>
      <c r="M211" s="24">
        <f t="shared" si="40"/>
        <v>3</v>
      </c>
      <c r="N211" s="69"/>
      <c r="O211" s="24">
        <f t="shared" si="41"/>
        <v>3</v>
      </c>
      <c r="P211" s="69"/>
      <c r="Q211" s="24">
        <f t="shared" si="48"/>
        <v>3</v>
      </c>
      <c r="R211" s="69"/>
      <c r="S211" s="24">
        <f t="shared" si="49"/>
        <v>3</v>
      </c>
      <c r="T211" s="69"/>
      <c r="U211" s="24">
        <f t="shared" si="30"/>
        <v>3</v>
      </c>
      <c r="V211" s="69"/>
      <c r="W211" s="24">
        <f t="shared" si="31"/>
        <v>3</v>
      </c>
      <c r="X211" s="69"/>
      <c r="Y211" s="24">
        <f t="shared" si="32"/>
        <v>3</v>
      </c>
      <c r="AA211" s="189">
        <f t="shared" si="56"/>
        <v>3</v>
      </c>
    </row>
    <row r="212" spans="1:27" s="6" customFormat="1" ht="24.75" x14ac:dyDescent="0.25">
      <c r="A212" s="22" t="s">
        <v>590</v>
      </c>
      <c r="B212" s="23" t="s">
        <v>74</v>
      </c>
      <c r="C212" s="23" t="s">
        <v>32</v>
      </c>
      <c r="D212" s="23" t="s">
        <v>2</v>
      </c>
      <c r="E212" s="24">
        <f>E213+E249</f>
        <v>10320.099999999999</v>
      </c>
      <c r="F212" s="24">
        <f>F213+F249</f>
        <v>-879.99999999999977</v>
      </c>
      <c r="G212" s="24">
        <f t="shared" si="37"/>
        <v>9440.0999999999985</v>
      </c>
      <c r="H212" s="24">
        <f>H213+H249</f>
        <v>0</v>
      </c>
      <c r="I212" s="24">
        <f t="shared" si="38"/>
        <v>9440.0999999999985</v>
      </c>
      <c r="J212" s="24">
        <f>J213+J249</f>
        <v>-268.10000000000002</v>
      </c>
      <c r="K212" s="24">
        <f t="shared" si="39"/>
        <v>9171.9999999999982</v>
      </c>
      <c r="L212" s="47">
        <f>L213+L249</f>
        <v>5833.9</v>
      </c>
      <c r="M212" s="24">
        <f t="shared" si="40"/>
        <v>15005.899999999998</v>
      </c>
      <c r="N212" s="47">
        <f>N213+N249</f>
        <v>-921.39999999999918</v>
      </c>
      <c r="O212" s="24">
        <f t="shared" si="41"/>
        <v>14084.499999999998</v>
      </c>
      <c r="P212" s="47">
        <f>P213+P249</f>
        <v>-4300</v>
      </c>
      <c r="Q212" s="24">
        <f t="shared" si="48"/>
        <v>9784.4999999999982</v>
      </c>
      <c r="R212" s="47">
        <f>R213+R249</f>
        <v>676.4</v>
      </c>
      <c r="S212" s="24">
        <f t="shared" si="49"/>
        <v>10460.899999999998</v>
      </c>
      <c r="T212" s="47">
        <f>T213+T249</f>
        <v>-1915</v>
      </c>
      <c r="U212" s="24">
        <f t="shared" si="30"/>
        <v>8545.8999999999978</v>
      </c>
      <c r="V212" s="47">
        <f>V213+V249</f>
        <v>-2560.6</v>
      </c>
      <c r="W212" s="24">
        <f t="shared" si="31"/>
        <v>5985.2999999999975</v>
      </c>
      <c r="X212" s="47">
        <f>X213+X249</f>
        <v>-15.5</v>
      </c>
      <c r="Y212" s="24">
        <f t="shared" si="32"/>
        <v>5969.7999999999975</v>
      </c>
      <c r="Z212" s="189"/>
    </row>
    <row r="213" spans="1:27" s="6" customFormat="1" x14ac:dyDescent="0.25">
      <c r="A213" s="22" t="s">
        <v>33</v>
      </c>
      <c r="B213" s="23" t="s">
        <v>74</v>
      </c>
      <c r="C213" s="23" t="s">
        <v>34</v>
      </c>
      <c r="D213" s="23" t="s">
        <v>2</v>
      </c>
      <c r="E213" s="24">
        <f>E214+E217+E220+E230</f>
        <v>10310.099999999999</v>
      </c>
      <c r="F213" s="24">
        <f>F214+F217+F220+F230</f>
        <v>-879.99999999999977</v>
      </c>
      <c r="G213" s="24">
        <f t="shared" si="37"/>
        <v>9430.0999999999985</v>
      </c>
      <c r="H213" s="24">
        <f>H214+H217+H220+H230</f>
        <v>0</v>
      </c>
      <c r="I213" s="24">
        <f t="shared" si="38"/>
        <v>9430.0999999999985</v>
      </c>
      <c r="J213" s="24">
        <f>J214+J217+J220+J230</f>
        <v>-268.10000000000002</v>
      </c>
      <c r="K213" s="24">
        <f t="shared" si="39"/>
        <v>9161.9999999999982</v>
      </c>
      <c r="L213" s="24">
        <f>L214+L217+L220+L230</f>
        <v>5833.9</v>
      </c>
      <c r="M213" s="24">
        <f t="shared" si="40"/>
        <v>14995.899999999998</v>
      </c>
      <c r="N213" s="24">
        <f>N214+N217+N220+N230</f>
        <v>-921.39999999999918</v>
      </c>
      <c r="O213" s="24">
        <f t="shared" si="41"/>
        <v>14074.499999999998</v>
      </c>
      <c r="P213" s="24">
        <f>P214+P217+P220+P230</f>
        <v>-4300</v>
      </c>
      <c r="Q213" s="24">
        <f t="shared" si="48"/>
        <v>9774.4999999999982</v>
      </c>
      <c r="R213" s="24">
        <f>R214+R217+R220+R230</f>
        <v>672.8</v>
      </c>
      <c r="S213" s="24">
        <f t="shared" si="49"/>
        <v>10447.299999999997</v>
      </c>
      <c r="T213" s="24">
        <f>T214+T217+T220+T230</f>
        <v>-1915</v>
      </c>
      <c r="U213" s="24">
        <f t="shared" si="30"/>
        <v>8532.2999999999975</v>
      </c>
      <c r="V213" s="24">
        <f>V214+V217+V220+V230</f>
        <v>-2560.6</v>
      </c>
      <c r="W213" s="24">
        <f t="shared" si="31"/>
        <v>5971.6999999999971</v>
      </c>
      <c r="X213" s="24">
        <f>X214+X217+X220+X230</f>
        <v>-15.5</v>
      </c>
      <c r="Y213" s="24">
        <f t="shared" si="32"/>
        <v>5956.1999999999971</v>
      </c>
      <c r="Z213" s="189"/>
    </row>
    <row r="214" spans="1:27" s="6" customFormat="1" ht="48.75" hidden="1" customHeight="1" x14ac:dyDescent="0.25">
      <c r="A214" s="22" t="s">
        <v>622</v>
      </c>
      <c r="B214" s="23" t="s">
        <v>74</v>
      </c>
      <c r="C214" s="23" t="s">
        <v>111</v>
      </c>
      <c r="D214" s="23" t="s">
        <v>2</v>
      </c>
      <c r="E214" s="24">
        <f>E215</f>
        <v>600</v>
      </c>
      <c r="F214" s="24">
        <f>F215</f>
        <v>0</v>
      </c>
      <c r="G214" s="24">
        <f t="shared" si="37"/>
        <v>600</v>
      </c>
      <c r="H214" s="24">
        <f>H215</f>
        <v>0</v>
      </c>
      <c r="I214" s="24">
        <f t="shared" si="38"/>
        <v>600</v>
      </c>
      <c r="J214" s="24">
        <f>J215</f>
        <v>0</v>
      </c>
      <c r="K214" s="24">
        <f t="shared" si="39"/>
        <v>600</v>
      </c>
      <c r="L214" s="24">
        <f>L215</f>
        <v>0</v>
      </c>
      <c r="M214" s="24">
        <f t="shared" si="40"/>
        <v>600</v>
      </c>
      <c r="N214" s="24">
        <f>N215</f>
        <v>-600</v>
      </c>
      <c r="O214" s="24">
        <f t="shared" si="41"/>
        <v>0</v>
      </c>
      <c r="P214" s="24">
        <f>P215</f>
        <v>0</v>
      </c>
      <c r="Q214" s="24">
        <f t="shared" si="48"/>
        <v>0</v>
      </c>
      <c r="R214" s="24">
        <f>R215</f>
        <v>0</v>
      </c>
      <c r="S214" s="24">
        <f t="shared" si="49"/>
        <v>0</v>
      </c>
      <c r="T214" s="24">
        <f>T215</f>
        <v>0</v>
      </c>
      <c r="U214" s="24">
        <f t="shared" si="30"/>
        <v>0</v>
      </c>
      <c r="V214" s="24">
        <f>V215</f>
        <v>0</v>
      </c>
      <c r="W214" s="24">
        <f t="shared" si="31"/>
        <v>0</v>
      </c>
      <c r="X214" s="24">
        <f>X215</f>
        <v>0</v>
      </c>
      <c r="Y214" s="24">
        <f t="shared" si="32"/>
        <v>0</v>
      </c>
      <c r="Z214" s="189"/>
    </row>
    <row r="215" spans="1:27" s="6" customFormat="1" ht="24.75" hidden="1" x14ac:dyDescent="0.25">
      <c r="A215" s="22" t="s">
        <v>112</v>
      </c>
      <c r="B215" s="23" t="s">
        <v>74</v>
      </c>
      <c r="C215" s="23" t="s">
        <v>113</v>
      </c>
      <c r="D215" s="23" t="s">
        <v>2</v>
      </c>
      <c r="E215" s="24">
        <f>E216</f>
        <v>600</v>
      </c>
      <c r="F215" s="24">
        <f>F216</f>
        <v>0</v>
      </c>
      <c r="G215" s="24">
        <f t="shared" si="37"/>
        <v>600</v>
      </c>
      <c r="H215" s="24">
        <f>H216</f>
        <v>0</v>
      </c>
      <c r="I215" s="24">
        <f t="shared" si="38"/>
        <v>600</v>
      </c>
      <c r="J215" s="24">
        <f>J216</f>
        <v>0</v>
      </c>
      <c r="K215" s="24">
        <f t="shared" si="39"/>
        <v>600</v>
      </c>
      <c r="L215" s="24">
        <f>L216</f>
        <v>0</v>
      </c>
      <c r="M215" s="24">
        <f t="shared" si="40"/>
        <v>600</v>
      </c>
      <c r="N215" s="24">
        <f>N216</f>
        <v>-600</v>
      </c>
      <c r="O215" s="24">
        <f t="shared" si="41"/>
        <v>0</v>
      </c>
      <c r="P215" s="24">
        <f>P216</f>
        <v>0</v>
      </c>
      <c r="Q215" s="24">
        <f t="shared" si="48"/>
        <v>0</v>
      </c>
      <c r="R215" s="24">
        <f>R216</f>
        <v>0</v>
      </c>
      <c r="S215" s="24">
        <f t="shared" si="49"/>
        <v>0</v>
      </c>
      <c r="T215" s="24">
        <f>T216</f>
        <v>0</v>
      </c>
      <c r="U215" s="24">
        <f t="shared" si="30"/>
        <v>0</v>
      </c>
      <c r="V215" s="24">
        <f>V216</f>
        <v>0</v>
      </c>
      <c r="W215" s="24">
        <f t="shared" si="31"/>
        <v>0</v>
      </c>
      <c r="X215" s="24">
        <f>X216</f>
        <v>0</v>
      </c>
      <c r="Y215" s="24">
        <f t="shared" si="32"/>
        <v>0</v>
      </c>
      <c r="Z215" s="189"/>
    </row>
    <row r="216" spans="1:27" hidden="1" x14ac:dyDescent="0.25">
      <c r="A216" s="25" t="s">
        <v>66</v>
      </c>
      <c r="B216" s="26" t="s">
        <v>74</v>
      </c>
      <c r="C216" s="26" t="s">
        <v>113</v>
      </c>
      <c r="D216" s="26" t="s">
        <v>42</v>
      </c>
      <c r="E216" s="27">
        <v>600</v>
      </c>
      <c r="F216" s="27"/>
      <c r="G216" s="24">
        <f t="shared" si="37"/>
        <v>600</v>
      </c>
      <c r="H216" s="27"/>
      <c r="I216" s="24">
        <f t="shared" si="38"/>
        <v>600</v>
      </c>
      <c r="J216" s="27"/>
      <c r="K216" s="24">
        <f t="shared" si="39"/>
        <v>600</v>
      </c>
      <c r="L216" s="27"/>
      <c r="M216" s="24">
        <f t="shared" si="40"/>
        <v>600</v>
      </c>
      <c r="N216" s="63">
        <v>-600</v>
      </c>
      <c r="O216" s="24">
        <f t="shared" si="41"/>
        <v>0</v>
      </c>
      <c r="P216" s="69"/>
      <c r="Q216" s="24">
        <f t="shared" si="48"/>
        <v>0</v>
      </c>
      <c r="R216" s="69"/>
      <c r="S216" s="24">
        <f t="shared" si="49"/>
        <v>0</v>
      </c>
      <c r="T216" s="69"/>
      <c r="U216" s="24">
        <f t="shared" si="30"/>
        <v>0</v>
      </c>
      <c r="V216" s="69"/>
      <c r="W216" s="24">
        <f t="shared" si="31"/>
        <v>0</v>
      </c>
      <c r="X216" s="69"/>
      <c r="Y216" s="24">
        <f t="shared" si="32"/>
        <v>0</v>
      </c>
      <c r="AA216" s="189">
        <f>Y216+Z216</f>
        <v>0</v>
      </c>
    </row>
    <row r="217" spans="1:27" s="6" customFormat="1" ht="24.75" hidden="1" x14ac:dyDescent="0.25">
      <c r="A217" s="22" t="s">
        <v>114</v>
      </c>
      <c r="B217" s="23" t="s">
        <v>74</v>
      </c>
      <c r="C217" s="23" t="s">
        <v>115</v>
      </c>
      <c r="D217" s="23" t="s">
        <v>2</v>
      </c>
      <c r="E217" s="24">
        <f>E218</f>
        <v>127.2</v>
      </c>
      <c r="F217" s="24">
        <f>F218</f>
        <v>0</v>
      </c>
      <c r="G217" s="24">
        <f t="shared" si="37"/>
        <v>127.2</v>
      </c>
      <c r="H217" s="24">
        <f>H218</f>
        <v>0</v>
      </c>
      <c r="I217" s="24">
        <f t="shared" si="38"/>
        <v>127.2</v>
      </c>
      <c r="J217" s="24">
        <f>J218</f>
        <v>0</v>
      </c>
      <c r="K217" s="24">
        <f t="shared" si="39"/>
        <v>127.2</v>
      </c>
      <c r="L217" s="24">
        <f>L218</f>
        <v>0</v>
      </c>
      <c r="M217" s="24">
        <f t="shared" si="40"/>
        <v>127.2</v>
      </c>
      <c r="N217" s="24">
        <f>N218</f>
        <v>0</v>
      </c>
      <c r="O217" s="24">
        <f t="shared" si="41"/>
        <v>127.2</v>
      </c>
      <c r="P217" s="24">
        <f>P218</f>
        <v>0</v>
      </c>
      <c r="Q217" s="24">
        <f t="shared" si="48"/>
        <v>127.2</v>
      </c>
      <c r="R217" s="24">
        <f>R218</f>
        <v>-127.2</v>
      </c>
      <c r="S217" s="24">
        <f t="shared" si="49"/>
        <v>0</v>
      </c>
      <c r="T217" s="24">
        <f>T218</f>
        <v>0</v>
      </c>
      <c r="U217" s="24">
        <f t="shared" si="30"/>
        <v>0</v>
      </c>
      <c r="V217" s="24">
        <f>V218</f>
        <v>0</v>
      </c>
      <c r="W217" s="24">
        <f t="shared" si="31"/>
        <v>0</v>
      </c>
      <c r="X217" s="24">
        <f>X218</f>
        <v>0</v>
      </c>
      <c r="Y217" s="24">
        <f t="shared" si="32"/>
        <v>0</v>
      </c>
      <c r="Z217" s="189"/>
    </row>
    <row r="218" spans="1:27" s="6" customFormat="1" hidden="1" x14ac:dyDescent="0.25">
      <c r="A218" s="22" t="s">
        <v>116</v>
      </c>
      <c r="B218" s="23" t="s">
        <v>74</v>
      </c>
      <c r="C218" s="23" t="s">
        <v>117</v>
      </c>
      <c r="D218" s="23" t="s">
        <v>2</v>
      </c>
      <c r="E218" s="24">
        <f>E219</f>
        <v>127.2</v>
      </c>
      <c r="F218" s="24">
        <f>F219</f>
        <v>0</v>
      </c>
      <c r="G218" s="24">
        <f t="shared" si="37"/>
        <v>127.2</v>
      </c>
      <c r="H218" s="24">
        <f>H219</f>
        <v>0</v>
      </c>
      <c r="I218" s="24">
        <f t="shared" si="38"/>
        <v>127.2</v>
      </c>
      <c r="J218" s="24">
        <f>J219</f>
        <v>0</v>
      </c>
      <c r="K218" s="24">
        <f t="shared" si="39"/>
        <v>127.2</v>
      </c>
      <c r="L218" s="24">
        <f>L219</f>
        <v>0</v>
      </c>
      <c r="M218" s="24">
        <f t="shared" si="40"/>
        <v>127.2</v>
      </c>
      <c r="N218" s="24">
        <f>N219</f>
        <v>0</v>
      </c>
      <c r="O218" s="24">
        <f t="shared" si="41"/>
        <v>127.2</v>
      </c>
      <c r="P218" s="24">
        <f>P219</f>
        <v>0</v>
      </c>
      <c r="Q218" s="24">
        <f t="shared" si="48"/>
        <v>127.2</v>
      </c>
      <c r="R218" s="24">
        <f>R219</f>
        <v>-127.2</v>
      </c>
      <c r="S218" s="24">
        <f t="shared" si="49"/>
        <v>0</v>
      </c>
      <c r="T218" s="24">
        <f>T219</f>
        <v>0</v>
      </c>
      <c r="U218" s="24">
        <f t="shared" si="30"/>
        <v>0</v>
      </c>
      <c r="V218" s="24">
        <f>V219</f>
        <v>0</v>
      </c>
      <c r="W218" s="24">
        <f t="shared" si="31"/>
        <v>0</v>
      </c>
      <c r="X218" s="24">
        <f>X219</f>
        <v>0</v>
      </c>
      <c r="Y218" s="24">
        <f t="shared" si="32"/>
        <v>0</v>
      </c>
      <c r="Z218" s="189"/>
    </row>
    <row r="219" spans="1:27" ht="29.25" hidden="1" customHeight="1" x14ac:dyDescent="0.25">
      <c r="A219" s="25" t="s">
        <v>562</v>
      </c>
      <c r="B219" s="26" t="s">
        <v>74</v>
      </c>
      <c r="C219" s="26" t="s">
        <v>117</v>
      </c>
      <c r="D219" s="26" t="s">
        <v>40</v>
      </c>
      <c r="E219" s="27">
        <v>127.2</v>
      </c>
      <c r="F219" s="27"/>
      <c r="G219" s="24">
        <f t="shared" si="37"/>
        <v>127.2</v>
      </c>
      <c r="H219" s="27"/>
      <c r="I219" s="24">
        <f t="shared" si="38"/>
        <v>127.2</v>
      </c>
      <c r="J219" s="27"/>
      <c r="K219" s="24">
        <f t="shared" si="39"/>
        <v>127.2</v>
      </c>
      <c r="L219" s="27"/>
      <c r="M219" s="24">
        <f t="shared" si="40"/>
        <v>127.2</v>
      </c>
      <c r="N219" s="27"/>
      <c r="O219" s="24">
        <f t="shared" si="41"/>
        <v>127.2</v>
      </c>
      <c r="P219" s="27"/>
      <c r="Q219" s="24">
        <f t="shared" si="48"/>
        <v>127.2</v>
      </c>
      <c r="R219" s="39">
        <v>-127.2</v>
      </c>
      <c r="S219" s="24">
        <f t="shared" si="49"/>
        <v>0</v>
      </c>
      <c r="T219" s="69"/>
      <c r="U219" s="24">
        <f t="shared" si="30"/>
        <v>0</v>
      </c>
      <c r="V219" s="69"/>
      <c r="W219" s="24">
        <f t="shared" si="31"/>
        <v>0</v>
      </c>
      <c r="X219" s="69"/>
      <c r="Y219" s="24">
        <f t="shared" si="32"/>
        <v>0</v>
      </c>
      <c r="AA219" s="189">
        <f>Y219+Z219</f>
        <v>0</v>
      </c>
    </row>
    <row r="220" spans="1:27" s="6" customFormat="1" x14ac:dyDescent="0.25">
      <c r="A220" s="22" t="s">
        <v>35</v>
      </c>
      <c r="B220" s="23" t="s">
        <v>74</v>
      </c>
      <c r="C220" s="23" t="s">
        <v>36</v>
      </c>
      <c r="D220" s="23" t="s">
        <v>2</v>
      </c>
      <c r="E220" s="24">
        <f>E227</f>
        <v>4415.6000000000004</v>
      </c>
      <c r="F220" s="24">
        <f>F227</f>
        <v>0</v>
      </c>
      <c r="G220" s="24">
        <f t="shared" si="37"/>
        <v>4415.6000000000004</v>
      </c>
      <c r="H220" s="24">
        <f>H227</f>
        <v>0</v>
      </c>
      <c r="I220" s="24">
        <f t="shared" si="38"/>
        <v>4415.6000000000004</v>
      </c>
      <c r="J220" s="24">
        <f>J227</f>
        <v>0</v>
      </c>
      <c r="K220" s="24">
        <f t="shared" si="39"/>
        <v>4415.6000000000004</v>
      </c>
      <c r="L220" s="24">
        <f>L227</f>
        <v>0</v>
      </c>
      <c r="M220" s="24">
        <f t="shared" si="40"/>
        <v>4415.6000000000004</v>
      </c>
      <c r="N220" s="24">
        <f>N227</f>
        <v>0</v>
      </c>
      <c r="O220" s="24">
        <f t="shared" si="41"/>
        <v>4415.6000000000004</v>
      </c>
      <c r="P220" s="24">
        <f>P227</f>
        <v>0</v>
      </c>
      <c r="Q220" s="24">
        <f t="shared" si="48"/>
        <v>4415.6000000000004</v>
      </c>
      <c r="R220" s="24">
        <f>R227</f>
        <v>0</v>
      </c>
      <c r="S220" s="24">
        <f t="shared" si="49"/>
        <v>4415.6000000000004</v>
      </c>
      <c r="T220" s="24">
        <f>T227</f>
        <v>0</v>
      </c>
      <c r="U220" s="24">
        <f t="shared" si="30"/>
        <v>4415.6000000000004</v>
      </c>
      <c r="V220" s="24">
        <f>V227+V224+V221</f>
        <v>125.9</v>
      </c>
      <c r="W220" s="24">
        <f t="shared" si="31"/>
        <v>4541.5</v>
      </c>
      <c r="X220" s="24">
        <f>X227+X224+X221</f>
        <v>0</v>
      </c>
      <c r="Y220" s="24">
        <f t="shared" si="32"/>
        <v>4541.5</v>
      </c>
      <c r="Z220" s="189"/>
    </row>
    <row r="221" spans="1:27" s="6" customFormat="1" x14ac:dyDescent="0.25">
      <c r="A221" s="16" t="s">
        <v>769</v>
      </c>
      <c r="B221" s="20" t="s">
        <v>74</v>
      </c>
      <c r="C221" s="20" t="s">
        <v>1410</v>
      </c>
      <c r="D221" s="20"/>
      <c r="E221" s="24"/>
      <c r="F221" s="24"/>
      <c r="G221" s="24"/>
      <c r="H221" s="24"/>
      <c r="I221" s="24"/>
      <c r="J221" s="24"/>
      <c r="K221" s="24"/>
      <c r="L221" s="24"/>
      <c r="M221" s="24"/>
      <c r="N221" s="24"/>
      <c r="O221" s="24"/>
      <c r="P221" s="24"/>
      <c r="Q221" s="24"/>
      <c r="R221" s="24"/>
      <c r="S221" s="24"/>
      <c r="T221" s="24"/>
      <c r="U221" s="24"/>
      <c r="V221" s="24">
        <f>V222+V223</f>
        <v>59.9</v>
      </c>
      <c r="W221" s="24">
        <f t="shared" si="31"/>
        <v>59.9</v>
      </c>
      <c r="X221" s="24">
        <f>X222+X223</f>
        <v>0</v>
      </c>
      <c r="Y221" s="24">
        <f t="shared" si="32"/>
        <v>59.9</v>
      </c>
      <c r="Z221" s="189"/>
    </row>
    <row r="222" spans="1:27" s="6" customFormat="1" x14ac:dyDescent="0.25">
      <c r="A222" s="17" t="s">
        <v>564</v>
      </c>
      <c r="B222" s="21" t="s">
        <v>74</v>
      </c>
      <c r="C222" s="21" t="s">
        <v>1410</v>
      </c>
      <c r="D222" s="21" t="s">
        <v>86</v>
      </c>
      <c r="E222" s="24"/>
      <c r="F222" s="24"/>
      <c r="G222" s="24"/>
      <c r="H222" s="24"/>
      <c r="I222" s="24"/>
      <c r="J222" s="24"/>
      <c r="K222" s="24"/>
      <c r="L222" s="24"/>
      <c r="M222" s="24"/>
      <c r="N222" s="24"/>
      <c r="O222" s="24"/>
      <c r="P222" s="24"/>
      <c r="Q222" s="24"/>
      <c r="R222" s="24"/>
      <c r="S222" s="24"/>
      <c r="T222" s="24"/>
      <c r="U222" s="24"/>
      <c r="V222" s="185">
        <v>46</v>
      </c>
      <c r="W222" s="24">
        <f t="shared" si="31"/>
        <v>46</v>
      </c>
      <c r="X222" s="84"/>
      <c r="Y222" s="24">
        <f t="shared" si="32"/>
        <v>46</v>
      </c>
      <c r="Z222" s="189"/>
      <c r="AA222" s="189">
        <f t="shared" ref="AA222:AA223" si="57">Y222+Z222</f>
        <v>46</v>
      </c>
    </row>
    <row r="223" spans="1:27" s="6" customFormat="1" ht="24.75" x14ac:dyDescent="0.25">
      <c r="A223" s="17" t="s">
        <v>565</v>
      </c>
      <c r="B223" s="21" t="s">
        <v>74</v>
      </c>
      <c r="C223" s="21" t="s">
        <v>1410</v>
      </c>
      <c r="D223" s="21" t="s">
        <v>89</v>
      </c>
      <c r="E223" s="24"/>
      <c r="F223" s="24"/>
      <c r="G223" s="24"/>
      <c r="H223" s="24"/>
      <c r="I223" s="24"/>
      <c r="J223" s="24"/>
      <c r="K223" s="24"/>
      <c r="L223" s="24"/>
      <c r="M223" s="24"/>
      <c r="N223" s="24"/>
      <c r="O223" s="24"/>
      <c r="P223" s="24"/>
      <c r="Q223" s="24"/>
      <c r="R223" s="24"/>
      <c r="S223" s="24"/>
      <c r="T223" s="24"/>
      <c r="U223" s="24"/>
      <c r="V223" s="185">
        <v>13.9</v>
      </c>
      <c r="W223" s="24">
        <f t="shared" si="31"/>
        <v>13.9</v>
      </c>
      <c r="X223" s="84"/>
      <c r="Y223" s="24">
        <f t="shared" si="32"/>
        <v>13.9</v>
      </c>
      <c r="Z223" s="189"/>
      <c r="AA223" s="189">
        <f t="shared" si="57"/>
        <v>13.9</v>
      </c>
    </row>
    <row r="224" spans="1:27" s="6" customFormat="1" x14ac:dyDescent="0.25">
      <c r="A224" s="100" t="s">
        <v>841</v>
      </c>
      <c r="B224" s="20" t="s">
        <v>74</v>
      </c>
      <c r="C224" s="20" t="s">
        <v>1400</v>
      </c>
      <c r="D224" s="20"/>
      <c r="E224" s="24"/>
      <c r="F224" s="24"/>
      <c r="G224" s="24"/>
      <c r="H224" s="24"/>
      <c r="I224" s="24"/>
      <c r="J224" s="24"/>
      <c r="K224" s="24"/>
      <c r="L224" s="24"/>
      <c r="M224" s="24"/>
      <c r="N224" s="24"/>
      <c r="O224" s="24"/>
      <c r="P224" s="24"/>
      <c r="Q224" s="24"/>
      <c r="R224" s="24"/>
      <c r="S224" s="24"/>
      <c r="T224" s="24"/>
      <c r="U224" s="24"/>
      <c r="V224" s="18">
        <f>V225+V226</f>
        <v>66</v>
      </c>
      <c r="W224" s="24">
        <f t="shared" si="31"/>
        <v>66</v>
      </c>
      <c r="X224" s="18">
        <f>X225+X226</f>
        <v>0</v>
      </c>
      <c r="Y224" s="24">
        <f t="shared" si="32"/>
        <v>66</v>
      </c>
      <c r="Z224" s="189"/>
    </row>
    <row r="225" spans="1:27" s="6" customFormat="1" x14ac:dyDescent="0.25">
      <c r="A225" s="17" t="s">
        <v>564</v>
      </c>
      <c r="B225" s="21" t="s">
        <v>74</v>
      </c>
      <c r="C225" s="21" t="s">
        <v>1400</v>
      </c>
      <c r="D225" s="21" t="s">
        <v>86</v>
      </c>
      <c r="E225" s="24"/>
      <c r="F225" s="24"/>
      <c r="G225" s="24"/>
      <c r="H225" s="24"/>
      <c r="I225" s="24"/>
      <c r="J225" s="24"/>
      <c r="K225" s="24"/>
      <c r="L225" s="24"/>
      <c r="M225" s="24"/>
      <c r="N225" s="24"/>
      <c r="O225" s="24"/>
      <c r="P225" s="24"/>
      <c r="Q225" s="24"/>
      <c r="R225" s="24"/>
      <c r="S225" s="24"/>
      <c r="T225" s="24"/>
      <c r="U225" s="24"/>
      <c r="V225" s="181">
        <v>50.7</v>
      </c>
      <c r="W225" s="24">
        <f t="shared" si="31"/>
        <v>50.7</v>
      </c>
      <c r="X225" s="69"/>
      <c r="Y225" s="24">
        <f t="shared" si="32"/>
        <v>50.7</v>
      </c>
      <c r="Z225" s="189"/>
      <c r="AA225" s="189">
        <f t="shared" ref="AA225:AA226" si="58">Y225+Z225</f>
        <v>50.7</v>
      </c>
    </row>
    <row r="226" spans="1:27" s="6" customFormat="1" ht="24.75" x14ac:dyDescent="0.25">
      <c r="A226" s="17" t="s">
        <v>565</v>
      </c>
      <c r="B226" s="21" t="s">
        <v>74</v>
      </c>
      <c r="C226" s="21" t="s">
        <v>1400</v>
      </c>
      <c r="D226" s="21" t="s">
        <v>89</v>
      </c>
      <c r="E226" s="24"/>
      <c r="F226" s="24"/>
      <c r="G226" s="24"/>
      <c r="H226" s="24"/>
      <c r="I226" s="24"/>
      <c r="J226" s="24"/>
      <c r="K226" s="24"/>
      <c r="L226" s="24"/>
      <c r="M226" s="24"/>
      <c r="N226" s="24"/>
      <c r="O226" s="24"/>
      <c r="P226" s="24"/>
      <c r="Q226" s="24"/>
      <c r="R226" s="24"/>
      <c r="S226" s="24"/>
      <c r="T226" s="24"/>
      <c r="U226" s="24"/>
      <c r="V226" s="181">
        <v>15.3</v>
      </c>
      <c r="W226" s="24">
        <f t="shared" si="31"/>
        <v>15.3</v>
      </c>
      <c r="X226" s="69"/>
      <c r="Y226" s="24">
        <f t="shared" si="32"/>
        <v>15.3</v>
      </c>
      <c r="Z226" s="189"/>
      <c r="AA226" s="189">
        <f t="shared" si="58"/>
        <v>15.3</v>
      </c>
    </row>
    <row r="227" spans="1:27" s="6" customFormat="1" ht="42" customHeight="1" x14ac:dyDescent="0.25">
      <c r="A227" s="22" t="s">
        <v>37</v>
      </c>
      <c r="B227" s="23" t="s">
        <v>74</v>
      </c>
      <c r="C227" s="23" t="s">
        <v>38</v>
      </c>
      <c r="D227" s="23" t="s">
        <v>2</v>
      </c>
      <c r="E227" s="24">
        <f>E228+E229</f>
        <v>4415.6000000000004</v>
      </c>
      <c r="F227" s="24">
        <f>F228+F229</f>
        <v>0</v>
      </c>
      <c r="G227" s="24">
        <f t="shared" si="37"/>
        <v>4415.6000000000004</v>
      </c>
      <c r="H227" s="24">
        <f>H228+H229</f>
        <v>0</v>
      </c>
      <c r="I227" s="24">
        <f t="shared" si="38"/>
        <v>4415.6000000000004</v>
      </c>
      <c r="J227" s="24">
        <f>J228+J229</f>
        <v>0</v>
      </c>
      <c r="K227" s="24">
        <f t="shared" si="39"/>
        <v>4415.6000000000004</v>
      </c>
      <c r="L227" s="24">
        <f>L228+L229</f>
        <v>0</v>
      </c>
      <c r="M227" s="24">
        <f t="shared" si="40"/>
        <v>4415.6000000000004</v>
      </c>
      <c r="N227" s="24">
        <f>N228+N229</f>
        <v>0</v>
      </c>
      <c r="O227" s="24">
        <f t="shared" si="41"/>
        <v>4415.6000000000004</v>
      </c>
      <c r="P227" s="24">
        <f>P228+P229</f>
        <v>0</v>
      </c>
      <c r="Q227" s="24">
        <f t="shared" si="48"/>
        <v>4415.6000000000004</v>
      </c>
      <c r="R227" s="24">
        <f>R228+R229</f>
        <v>0</v>
      </c>
      <c r="S227" s="24">
        <f t="shared" si="49"/>
        <v>4415.6000000000004</v>
      </c>
      <c r="T227" s="24">
        <f>T228+T229</f>
        <v>0</v>
      </c>
      <c r="U227" s="24">
        <f t="shared" si="30"/>
        <v>4415.6000000000004</v>
      </c>
      <c r="V227" s="24">
        <f>V228+V229</f>
        <v>0</v>
      </c>
      <c r="W227" s="24">
        <f t="shared" si="31"/>
        <v>4415.6000000000004</v>
      </c>
      <c r="X227" s="24">
        <f>X228+X229</f>
        <v>0</v>
      </c>
      <c r="Y227" s="24">
        <f t="shared" si="32"/>
        <v>4415.6000000000004</v>
      </c>
      <c r="Z227" s="189"/>
    </row>
    <row r="228" spans="1:27" x14ac:dyDescent="0.25">
      <c r="A228" s="25" t="s">
        <v>564</v>
      </c>
      <c r="B228" s="26" t="s">
        <v>74</v>
      </c>
      <c r="C228" s="26" t="s">
        <v>38</v>
      </c>
      <c r="D228" s="26" t="s">
        <v>86</v>
      </c>
      <c r="E228" s="27">
        <f>30+3361.6</f>
        <v>3391.6</v>
      </c>
      <c r="F228" s="27"/>
      <c r="G228" s="24">
        <f t="shared" si="37"/>
        <v>3391.6</v>
      </c>
      <c r="H228" s="27"/>
      <c r="I228" s="24">
        <f t="shared" si="38"/>
        <v>3391.6</v>
      </c>
      <c r="J228" s="27"/>
      <c r="K228" s="24">
        <f t="shared" si="39"/>
        <v>3391.6</v>
      </c>
      <c r="L228" s="27"/>
      <c r="M228" s="24">
        <f t="shared" si="40"/>
        <v>3391.6</v>
      </c>
      <c r="N228" s="27"/>
      <c r="O228" s="24">
        <f t="shared" si="41"/>
        <v>3391.6</v>
      </c>
      <c r="P228" s="27"/>
      <c r="Q228" s="24">
        <f t="shared" si="48"/>
        <v>3391.6</v>
      </c>
      <c r="R228" s="27"/>
      <c r="S228" s="24">
        <f t="shared" si="49"/>
        <v>3391.6</v>
      </c>
      <c r="T228" s="69"/>
      <c r="U228" s="24">
        <f t="shared" si="30"/>
        <v>3391.6</v>
      </c>
      <c r="V228" s="69"/>
      <c r="W228" s="24">
        <f t="shared" si="31"/>
        <v>3391.6</v>
      </c>
      <c r="X228" s="69"/>
      <c r="Y228" s="24">
        <f t="shared" si="32"/>
        <v>3391.6</v>
      </c>
      <c r="AA228" s="189">
        <f t="shared" ref="AA228:AA229" si="59">Y228+Z228</f>
        <v>3391.6</v>
      </c>
    </row>
    <row r="229" spans="1:27" ht="24.75" x14ac:dyDescent="0.25">
      <c r="A229" s="25" t="s">
        <v>565</v>
      </c>
      <c r="B229" s="26" t="s">
        <v>74</v>
      </c>
      <c r="C229" s="26" t="s">
        <v>38</v>
      </c>
      <c r="D229" s="26" t="s">
        <v>89</v>
      </c>
      <c r="E229" s="27">
        <v>1024</v>
      </c>
      <c r="F229" s="27"/>
      <c r="G229" s="24">
        <f t="shared" si="37"/>
        <v>1024</v>
      </c>
      <c r="H229" s="27"/>
      <c r="I229" s="24">
        <f t="shared" si="38"/>
        <v>1024</v>
      </c>
      <c r="J229" s="27"/>
      <c r="K229" s="24">
        <f t="shared" si="39"/>
        <v>1024</v>
      </c>
      <c r="L229" s="27"/>
      <c r="M229" s="24">
        <f t="shared" si="40"/>
        <v>1024</v>
      </c>
      <c r="N229" s="27"/>
      <c r="O229" s="24">
        <f t="shared" si="41"/>
        <v>1024</v>
      </c>
      <c r="P229" s="27"/>
      <c r="Q229" s="24">
        <f t="shared" si="48"/>
        <v>1024</v>
      </c>
      <c r="R229" s="27"/>
      <c r="S229" s="24">
        <f t="shared" si="49"/>
        <v>1024</v>
      </c>
      <c r="T229" s="69"/>
      <c r="U229" s="24">
        <f t="shared" si="30"/>
        <v>1024</v>
      </c>
      <c r="V229" s="69"/>
      <c r="W229" s="24">
        <f t="shared" si="31"/>
        <v>1024</v>
      </c>
      <c r="X229" s="69"/>
      <c r="Y229" s="24">
        <f t="shared" si="32"/>
        <v>1024</v>
      </c>
      <c r="AA229" s="189">
        <f t="shared" si="59"/>
        <v>1024</v>
      </c>
    </row>
    <row r="230" spans="1:27" s="6" customFormat="1" x14ac:dyDescent="0.25">
      <c r="A230" s="22" t="s">
        <v>50</v>
      </c>
      <c r="B230" s="23" t="s">
        <v>74</v>
      </c>
      <c r="C230" s="23" t="s">
        <v>51</v>
      </c>
      <c r="D230" s="23" t="s">
        <v>2</v>
      </c>
      <c r="E230" s="24">
        <f>E231+E234+E247</f>
        <v>5167.2999999999993</v>
      </c>
      <c r="F230" s="24">
        <f>F231+F234+F247</f>
        <v>-879.99999999999977</v>
      </c>
      <c r="G230" s="24">
        <f t="shared" si="37"/>
        <v>4287.2999999999993</v>
      </c>
      <c r="H230" s="24">
        <f>H231+H234+H247</f>
        <v>0</v>
      </c>
      <c r="I230" s="24">
        <f t="shared" si="38"/>
        <v>4287.2999999999993</v>
      </c>
      <c r="J230" s="24">
        <f>J231+J234+J247</f>
        <v>-268.10000000000002</v>
      </c>
      <c r="K230" s="24">
        <f t="shared" si="39"/>
        <v>4019.1999999999994</v>
      </c>
      <c r="L230" s="24">
        <f>L231+L234+L247</f>
        <v>5833.9</v>
      </c>
      <c r="M230" s="24">
        <f t="shared" si="40"/>
        <v>9853.0999999999985</v>
      </c>
      <c r="N230" s="24">
        <f>N231+N234+N247+N237+N239</f>
        <v>-321.39999999999918</v>
      </c>
      <c r="O230" s="24">
        <f t="shared" si="41"/>
        <v>9531.6999999999989</v>
      </c>
      <c r="P230" s="24">
        <f>P231+P234+P247+P237+P239</f>
        <v>-4300</v>
      </c>
      <c r="Q230" s="24">
        <f t="shared" si="48"/>
        <v>5231.6999999999989</v>
      </c>
      <c r="R230" s="24">
        <f>R231+R234+R247+R237+R239</f>
        <v>800</v>
      </c>
      <c r="S230" s="24">
        <f t="shared" si="49"/>
        <v>6031.6999999999989</v>
      </c>
      <c r="T230" s="24">
        <f>T231+T234+T247+T237+T239</f>
        <v>-1915</v>
      </c>
      <c r="U230" s="24">
        <f t="shared" si="30"/>
        <v>4116.6999999999989</v>
      </c>
      <c r="V230" s="24">
        <f>V231+V234+V247+V237+V239</f>
        <v>-2686.5</v>
      </c>
      <c r="W230" s="24">
        <f t="shared" si="31"/>
        <v>1430.1999999999989</v>
      </c>
      <c r="X230" s="24">
        <f>X231+X234+X247+X237+X239</f>
        <v>-15.5</v>
      </c>
      <c r="Y230" s="24">
        <f t="shared" si="32"/>
        <v>1414.6999999999989</v>
      </c>
      <c r="Z230" s="189"/>
    </row>
    <row r="231" spans="1:27" s="6" customFormat="1" x14ac:dyDescent="0.25">
      <c r="A231" s="22" t="s">
        <v>52</v>
      </c>
      <c r="B231" s="23" t="s">
        <v>74</v>
      </c>
      <c r="C231" s="23" t="s">
        <v>53</v>
      </c>
      <c r="D231" s="23" t="s">
        <v>2</v>
      </c>
      <c r="E231" s="24">
        <f>E233</f>
        <v>215</v>
      </c>
      <c r="F231" s="24">
        <f>F233</f>
        <v>0</v>
      </c>
      <c r="G231" s="24">
        <f t="shared" si="37"/>
        <v>215</v>
      </c>
      <c r="H231" s="24">
        <f>H233</f>
        <v>0</v>
      </c>
      <c r="I231" s="24">
        <f t="shared" si="38"/>
        <v>215</v>
      </c>
      <c r="J231" s="24">
        <f>J233</f>
        <v>0</v>
      </c>
      <c r="K231" s="24">
        <f t="shared" si="39"/>
        <v>215</v>
      </c>
      <c r="L231" s="24">
        <f>L233+L232</f>
        <v>380.4</v>
      </c>
      <c r="M231" s="24">
        <f t="shared" si="40"/>
        <v>595.4</v>
      </c>
      <c r="N231" s="24">
        <f>N233+N232</f>
        <v>-350.4</v>
      </c>
      <c r="O231" s="24">
        <f t="shared" si="41"/>
        <v>245</v>
      </c>
      <c r="P231" s="24">
        <f>P233+P232</f>
        <v>0</v>
      </c>
      <c r="Q231" s="24">
        <f t="shared" si="48"/>
        <v>245</v>
      </c>
      <c r="R231" s="24">
        <f>R233+R232</f>
        <v>0</v>
      </c>
      <c r="S231" s="24">
        <f t="shared" si="49"/>
        <v>245</v>
      </c>
      <c r="T231" s="24">
        <f>T233+T232</f>
        <v>0</v>
      </c>
      <c r="U231" s="24">
        <f t="shared" si="30"/>
        <v>245</v>
      </c>
      <c r="V231" s="24">
        <f>V233+V232</f>
        <v>0</v>
      </c>
      <c r="W231" s="24">
        <f t="shared" si="31"/>
        <v>245</v>
      </c>
      <c r="X231" s="24">
        <f>X233+X232</f>
        <v>0</v>
      </c>
      <c r="Y231" s="24">
        <f t="shared" si="32"/>
        <v>245</v>
      </c>
      <c r="Z231" s="189"/>
    </row>
    <row r="232" spans="1:27" s="6" customFormat="1" hidden="1" x14ac:dyDescent="0.25">
      <c r="A232" s="25" t="s">
        <v>66</v>
      </c>
      <c r="B232" s="26" t="s">
        <v>74</v>
      </c>
      <c r="C232" s="26" t="s">
        <v>53</v>
      </c>
      <c r="D232" s="26" t="s">
        <v>42</v>
      </c>
      <c r="E232" s="24"/>
      <c r="F232" s="24"/>
      <c r="G232" s="24"/>
      <c r="H232" s="24"/>
      <c r="I232" s="24"/>
      <c r="J232" s="24"/>
      <c r="K232" s="24"/>
      <c r="L232" s="39">
        <v>350.4</v>
      </c>
      <c r="M232" s="24">
        <f t="shared" si="40"/>
        <v>350.4</v>
      </c>
      <c r="N232" s="63">
        <v>-350.4</v>
      </c>
      <c r="O232" s="24">
        <f t="shared" si="41"/>
        <v>0</v>
      </c>
      <c r="P232" s="69"/>
      <c r="Q232" s="24">
        <f t="shared" si="48"/>
        <v>0</v>
      </c>
      <c r="R232" s="69"/>
      <c r="S232" s="24">
        <f t="shared" si="49"/>
        <v>0</v>
      </c>
      <c r="T232" s="69"/>
      <c r="U232" s="24">
        <f t="shared" si="30"/>
        <v>0</v>
      </c>
      <c r="V232" s="69"/>
      <c r="W232" s="24">
        <f t="shared" si="31"/>
        <v>0</v>
      </c>
      <c r="X232" s="39"/>
      <c r="Y232" s="24">
        <f t="shared" si="32"/>
        <v>0</v>
      </c>
      <c r="Z232" s="189"/>
      <c r="AA232" s="189">
        <f t="shared" ref="AA232:AA233" si="60">Y232+Z232</f>
        <v>0</v>
      </c>
    </row>
    <row r="233" spans="1:27" x14ac:dyDescent="0.25">
      <c r="A233" s="25" t="s">
        <v>47</v>
      </c>
      <c r="B233" s="26" t="s">
        <v>74</v>
      </c>
      <c r="C233" s="26" t="s">
        <v>53</v>
      </c>
      <c r="D233" s="26" t="s">
        <v>48</v>
      </c>
      <c r="E233" s="27">
        <v>215</v>
      </c>
      <c r="F233" s="27"/>
      <c r="G233" s="24">
        <f t="shared" si="37"/>
        <v>215</v>
      </c>
      <c r="H233" s="27"/>
      <c r="I233" s="24">
        <f t="shared" si="38"/>
        <v>215</v>
      </c>
      <c r="J233" s="27"/>
      <c r="K233" s="24">
        <f t="shared" si="39"/>
        <v>215</v>
      </c>
      <c r="L233" s="39">
        <v>30</v>
      </c>
      <c r="M233" s="24">
        <f t="shared" si="40"/>
        <v>245</v>
      </c>
      <c r="N233" s="69"/>
      <c r="O233" s="24">
        <f t="shared" si="41"/>
        <v>245</v>
      </c>
      <c r="P233" s="69"/>
      <c r="Q233" s="24">
        <f t="shared" si="48"/>
        <v>245</v>
      </c>
      <c r="R233" s="69"/>
      <c r="S233" s="24">
        <f t="shared" si="49"/>
        <v>245</v>
      </c>
      <c r="T233" s="69"/>
      <c r="U233" s="24">
        <f t="shared" si="30"/>
        <v>245</v>
      </c>
      <c r="V233" s="69"/>
      <c r="W233" s="24">
        <f t="shared" si="31"/>
        <v>245</v>
      </c>
      <c r="X233" s="69"/>
      <c r="Y233" s="24">
        <f t="shared" si="32"/>
        <v>245</v>
      </c>
      <c r="AA233" s="189">
        <f t="shared" si="60"/>
        <v>245</v>
      </c>
    </row>
    <row r="234" spans="1:27" s="6" customFormat="1" x14ac:dyDescent="0.25">
      <c r="A234" s="22" t="s">
        <v>118</v>
      </c>
      <c r="B234" s="23" t="s">
        <v>74</v>
      </c>
      <c r="C234" s="23" t="s">
        <v>120</v>
      </c>
      <c r="D234" s="23" t="s">
        <v>2</v>
      </c>
      <c r="E234" s="24">
        <f>E235+E236</f>
        <v>875.5</v>
      </c>
      <c r="F234" s="24">
        <f>F235+F236</f>
        <v>0</v>
      </c>
      <c r="G234" s="24">
        <f t="shared" si="37"/>
        <v>875.5</v>
      </c>
      <c r="H234" s="24">
        <f>H235+H236</f>
        <v>0</v>
      </c>
      <c r="I234" s="24">
        <f t="shared" si="38"/>
        <v>875.5</v>
      </c>
      <c r="J234" s="24">
        <f>J235+J236</f>
        <v>500</v>
      </c>
      <c r="K234" s="24">
        <f t="shared" si="39"/>
        <v>1375.5</v>
      </c>
      <c r="L234" s="24">
        <f>L235+L236</f>
        <v>-415</v>
      </c>
      <c r="M234" s="24">
        <f t="shared" si="40"/>
        <v>960.5</v>
      </c>
      <c r="N234" s="24">
        <f>N235+N236</f>
        <v>0</v>
      </c>
      <c r="O234" s="24">
        <f t="shared" si="41"/>
        <v>960.5</v>
      </c>
      <c r="P234" s="24">
        <f>P235+P236</f>
        <v>0</v>
      </c>
      <c r="Q234" s="24">
        <f t="shared" si="48"/>
        <v>960.5</v>
      </c>
      <c r="R234" s="24">
        <f>R235+R236</f>
        <v>-129.1</v>
      </c>
      <c r="S234" s="24">
        <f t="shared" si="49"/>
        <v>831.4</v>
      </c>
      <c r="T234" s="24">
        <f>T235+T236</f>
        <v>-112.4</v>
      </c>
      <c r="U234" s="24">
        <f t="shared" si="30"/>
        <v>719</v>
      </c>
      <c r="V234" s="24">
        <f>V235+V236</f>
        <v>-165.9</v>
      </c>
      <c r="W234" s="24">
        <f t="shared" si="31"/>
        <v>553.1</v>
      </c>
      <c r="X234" s="24">
        <f>X235+X236</f>
        <v>-15.5</v>
      </c>
      <c r="Y234" s="24">
        <f t="shared" si="32"/>
        <v>537.6</v>
      </c>
      <c r="Z234" s="189"/>
    </row>
    <row r="235" spans="1:27" x14ac:dyDescent="0.25">
      <c r="A235" s="25" t="s">
        <v>66</v>
      </c>
      <c r="B235" s="26" t="s">
        <v>74</v>
      </c>
      <c r="C235" s="26" t="s">
        <v>120</v>
      </c>
      <c r="D235" s="26" t="s">
        <v>42</v>
      </c>
      <c r="E235" s="27">
        <v>839.5</v>
      </c>
      <c r="F235" s="27"/>
      <c r="G235" s="24">
        <f t="shared" si="37"/>
        <v>839.5</v>
      </c>
      <c r="H235" s="27"/>
      <c r="I235" s="24">
        <f t="shared" si="38"/>
        <v>839.5</v>
      </c>
      <c r="J235" s="63">
        <v>500</v>
      </c>
      <c r="K235" s="24">
        <f t="shared" si="39"/>
        <v>1339.5</v>
      </c>
      <c r="L235" s="39">
        <f>-335-80</f>
        <v>-415</v>
      </c>
      <c r="M235" s="24">
        <f t="shared" si="40"/>
        <v>924.5</v>
      </c>
      <c r="N235" s="69"/>
      <c r="O235" s="24">
        <f t="shared" si="41"/>
        <v>924.5</v>
      </c>
      <c r="P235" s="69"/>
      <c r="Q235" s="24">
        <f t="shared" si="48"/>
        <v>924.5</v>
      </c>
      <c r="R235" s="39">
        <v>-129.1</v>
      </c>
      <c r="S235" s="24">
        <f t="shared" si="49"/>
        <v>795.4</v>
      </c>
      <c r="T235" s="39">
        <f>-43-69.4</f>
        <v>-112.4</v>
      </c>
      <c r="U235" s="24">
        <f t="shared" si="30"/>
        <v>683</v>
      </c>
      <c r="V235" s="39">
        <f>-25.8-140.1</f>
        <v>-165.9</v>
      </c>
      <c r="W235" s="24">
        <f t="shared" si="31"/>
        <v>517.1</v>
      </c>
      <c r="X235" s="39">
        <v>-15.5</v>
      </c>
      <c r="Y235" s="24">
        <f t="shared" si="32"/>
        <v>501.6</v>
      </c>
      <c r="Z235" s="61">
        <v>-15.5</v>
      </c>
      <c r="AA235" s="189">
        <f t="shared" ref="AA235:AA236" si="61">Y235+Z235</f>
        <v>486.1</v>
      </c>
    </row>
    <row r="236" spans="1:27" x14ac:dyDescent="0.25">
      <c r="A236" s="25" t="s">
        <v>570</v>
      </c>
      <c r="B236" s="26" t="s">
        <v>74</v>
      </c>
      <c r="C236" s="26" t="s">
        <v>120</v>
      </c>
      <c r="D236" s="26" t="s">
        <v>121</v>
      </c>
      <c r="E236" s="27">
        <v>36</v>
      </c>
      <c r="F236" s="27"/>
      <c r="G236" s="24">
        <f t="shared" si="37"/>
        <v>36</v>
      </c>
      <c r="H236" s="27"/>
      <c r="I236" s="24">
        <f t="shared" si="38"/>
        <v>36</v>
      </c>
      <c r="J236" s="27"/>
      <c r="K236" s="24">
        <f t="shared" si="39"/>
        <v>36</v>
      </c>
      <c r="L236" s="69"/>
      <c r="M236" s="24">
        <f t="shared" si="40"/>
        <v>36</v>
      </c>
      <c r="N236" s="69"/>
      <c r="O236" s="24">
        <f t="shared" si="41"/>
        <v>36</v>
      </c>
      <c r="P236" s="69"/>
      <c r="Q236" s="24">
        <f t="shared" si="48"/>
        <v>36</v>
      </c>
      <c r="R236" s="69"/>
      <c r="S236" s="24">
        <f t="shared" si="49"/>
        <v>36</v>
      </c>
      <c r="T236" s="69"/>
      <c r="U236" s="24">
        <f t="shared" si="30"/>
        <v>36</v>
      </c>
      <c r="V236" s="69"/>
      <c r="W236" s="24">
        <f t="shared" si="31"/>
        <v>36</v>
      </c>
      <c r="X236" s="69"/>
      <c r="Y236" s="24">
        <f t="shared" si="32"/>
        <v>36</v>
      </c>
      <c r="AA236" s="189">
        <f t="shared" si="61"/>
        <v>36</v>
      </c>
    </row>
    <row r="237" spans="1:27" ht="36.75" hidden="1" x14ac:dyDescent="0.25">
      <c r="A237" s="16" t="s">
        <v>859</v>
      </c>
      <c r="B237" s="20" t="s">
        <v>74</v>
      </c>
      <c r="C237" s="20" t="s">
        <v>861</v>
      </c>
      <c r="D237" s="20" t="s">
        <v>2</v>
      </c>
      <c r="E237" s="27"/>
      <c r="F237" s="27"/>
      <c r="G237" s="24"/>
      <c r="H237" s="27"/>
      <c r="I237" s="24"/>
      <c r="J237" s="27"/>
      <c r="K237" s="24"/>
      <c r="L237" s="69"/>
      <c r="M237" s="24"/>
      <c r="N237" s="85">
        <f>N238</f>
        <v>2000</v>
      </c>
      <c r="O237" s="24">
        <f>M237+N237</f>
        <v>2000</v>
      </c>
      <c r="P237" s="85">
        <f>P238</f>
        <v>-1000</v>
      </c>
      <c r="Q237" s="24">
        <f>O237+P237</f>
        <v>1000</v>
      </c>
      <c r="R237" s="85">
        <f>R238</f>
        <v>0</v>
      </c>
      <c r="S237" s="24">
        <f>Q237+R237</f>
        <v>1000</v>
      </c>
      <c r="T237" s="85">
        <f>T238</f>
        <v>-651.1</v>
      </c>
      <c r="U237" s="24">
        <f>S237+T237</f>
        <v>348.9</v>
      </c>
      <c r="V237" s="85">
        <f>V238</f>
        <v>-348.9</v>
      </c>
      <c r="W237" s="24">
        <f>U237+V237</f>
        <v>0</v>
      </c>
      <c r="X237" s="85">
        <f>X238</f>
        <v>0</v>
      </c>
      <c r="Y237" s="24">
        <f>W237+X237</f>
        <v>0</v>
      </c>
    </row>
    <row r="238" spans="1:27" hidden="1" x14ac:dyDescent="0.25">
      <c r="A238" s="30" t="s">
        <v>66</v>
      </c>
      <c r="B238" s="21" t="s">
        <v>74</v>
      </c>
      <c r="C238" s="21" t="s">
        <v>861</v>
      </c>
      <c r="D238" s="21" t="s">
        <v>42</v>
      </c>
      <c r="E238" s="27"/>
      <c r="F238" s="27"/>
      <c r="G238" s="24"/>
      <c r="H238" s="27"/>
      <c r="I238" s="24"/>
      <c r="J238" s="27"/>
      <c r="K238" s="24"/>
      <c r="L238" s="69"/>
      <c r="M238" s="24"/>
      <c r="N238" s="91">
        <v>2000</v>
      </c>
      <c r="O238" s="24">
        <f t="shared" si="41"/>
        <v>2000</v>
      </c>
      <c r="P238" s="102">
        <v>-1000</v>
      </c>
      <c r="Q238" s="24">
        <f t="shared" ref="Q238:Q341" si="62">O238+P238</f>
        <v>1000</v>
      </c>
      <c r="R238" s="91">
        <f>1000-1000</f>
        <v>0</v>
      </c>
      <c r="S238" s="24">
        <f t="shared" ref="S238:S319" si="63">Q238+R238</f>
        <v>1000</v>
      </c>
      <c r="T238" s="90">
        <v>-651.1</v>
      </c>
      <c r="U238" s="24">
        <f t="shared" ref="U238:U319" si="64">S238+T238</f>
        <v>348.9</v>
      </c>
      <c r="V238" s="102">
        <v>-348.9</v>
      </c>
      <c r="W238" s="24">
        <f t="shared" ref="W238:W319" si="65">U238+V238</f>
        <v>0</v>
      </c>
      <c r="X238" s="84"/>
      <c r="Y238" s="24">
        <f t="shared" ref="Y238:Y319" si="66">W238+X238</f>
        <v>0</v>
      </c>
      <c r="AA238" s="189">
        <f>Y238+Z238</f>
        <v>0</v>
      </c>
    </row>
    <row r="239" spans="1:27" ht="36.75" x14ac:dyDescent="0.25">
      <c r="A239" s="16" t="s">
        <v>860</v>
      </c>
      <c r="B239" s="20" t="s">
        <v>74</v>
      </c>
      <c r="C239" s="20" t="s">
        <v>862</v>
      </c>
      <c r="D239" s="20" t="s">
        <v>2</v>
      </c>
      <c r="E239" s="27"/>
      <c r="F239" s="27"/>
      <c r="G239" s="24"/>
      <c r="H239" s="27"/>
      <c r="I239" s="24"/>
      <c r="J239" s="27"/>
      <c r="K239" s="24"/>
      <c r="L239" s="69"/>
      <c r="M239" s="24"/>
      <c r="N239" s="85">
        <f>N240+N241+N242+N244+N245+N246</f>
        <v>2356.4</v>
      </c>
      <c r="O239" s="24">
        <f t="shared" si="41"/>
        <v>2356.4</v>
      </c>
      <c r="P239" s="85">
        <f>P240+P241+P242+P244+P245+P246</f>
        <v>0</v>
      </c>
      <c r="Q239" s="24">
        <f t="shared" si="62"/>
        <v>2356.4</v>
      </c>
      <c r="R239" s="85">
        <f>R240+R241+R242+R244+R245+R246+R243</f>
        <v>-1568.6</v>
      </c>
      <c r="S239" s="24">
        <f t="shared" si="63"/>
        <v>787.80000000000018</v>
      </c>
      <c r="T239" s="85">
        <f>T240+T241+T242+T244+T245+T246+T243</f>
        <v>0</v>
      </c>
      <c r="U239" s="24">
        <f t="shared" si="64"/>
        <v>787.80000000000018</v>
      </c>
      <c r="V239" s="85">
        <f>V240+V241+V242+V244+V245+V246+V243</f>
        <v>-155.69999999999999</v>
      </c>
      <c r="W239" s="24">
        <f t="shared" si="65"/>
        <v>632.10000000000014</v>
      </c>
      <c r="X239" s="85">
        <f>X240+X241+X242+X244+X245+X246+X243</f>
        <v>0</v>
      </c>
      <c r="Y239" s="24">
        <f t="shared" si="66"/>
        <v>632.10000000000014</v>
      </c>
    </row>
    <row r="240" spans="1:27" ht="24.75" x14ac:dyDescent="0.25">
      <c r="A240" s="25" t="s">
        <v>562</v>
      </c>
      <c r="B240" s="21" t="s">
        <v>74</v>
      </c>
      <c r="C240" s="21" t="s">
        <v>862</v>
      </c>
      <c r="D240" s="21" t="s">
        <v>40</v>
      </c>
      <c r="E240" s="27"/>
      <c r="F240" s="27"/>
      <c r="G240" s="24"/>
      <c r="H240" s="27"/>
      <c r="I240" s="24"/>
      <c r="J240" s="27"/>
      <c r="K240" s="24"/>
      <c r="L240" s="69"/>
      <c r="M240" s="24"/>
      <c r="N240" s="90">
        <v>4</v>
      </c>
      <c r="O240" s="24">
        <f t="shared" si="41"/>
        <v>4</v>
      </c>
      <c r="P240" s="84"/>
      <c r="Q240" s="24">
        <f t="shared" si="62"/>
        <v>4</v>
      </c>
      <c r="R240" s="84"/>
      <c r="S240" s="24">
        <f t="shared" si="63"/>
        <v>4</v>
      </c>
      <c r="T240" s="84"/>
      <c r="U240" s="24">
        <f t="shared" si="64"/>
        <v>4</v>
      </c>
      <c r="V240" s="84"/>
      <c r="W240" s="24">
        <f t="shared" si="65"/>
        <v>4</v>
      </c>
      <c r="X240" s="84"/>
      <c r="Y240" s="24">
        <f t="shared" si="66"/>
        <v>4</v>
      </c>
      <c r="AA240" s="189">
        <f t="shared" ref="AA240:AA246" si="67">Y240+Z240</f>
        <v>4</v>
      </c>
    </row>
    <row r="241" spans="1:27" x14ac:dyDescent="0.25">
      <c r="A241" s="30" t="s">
        <v>66</v>
      </c>
      <c r="B241" s="21" t="s">
        <v>74</v>
      </c>
      <c r="C241" s="21" t="s">
        <v>862</v>
      </c>
      <c r="D241" s="21" t="s">
        <v>42</v>
      </c>
      <c r="E241" s="27"/>
      <c r="F241" s="27"/>
      <c r="G241" s="24"/>
      <c r="H241" s="27"/>
      <c r="I241" s="24"/>
      <c r="J241" s="27"/>
      <c r="K241" s="24"/>
      <c r="L241" s="69"/>
      <c r="M241" s="24"/>
      <c r="N241" s="91">
        <f>2000+75.5</f>
        <v>2075.5</v>
      </c>
      <c r="O241" s="24">
        <f t="shared" si="41"/>
        <v>2075.5</v>
      </c>
      <c r="P241" s="84"/>
      <c r="Q241" s="24">
        <f t="shared" si="62"/>
        <v>2075.5</v>
      </c>
      <c r="R241" s="91">
        <v>-1783.1</v>
      </c>
      <c r="S241" s="24">
        <f t="shared" si="63"/>
        <v>292.40000000000009</v>
      </c>
      <c r="T241" s="84"/>
      <c r="U241" s="24">
        <f t="shared" si="64"/>
        <v>292.40000000000009</v>
      </c>
      <c r="V241" s="102">
        <v>-155.69999999999999</v>
      </c>
      <c r="W241" s="24">
        <f t="shared" si="65"/>
        <v>136.7000000000001</v>
      </c>
      <c r="X241" s="84"/>
      <c r="Y241" s="24">
        <f t="shared" si="66"/>
        <v>136.7000000000001</v>
      </c>
      <c r="AA241" s="189">
        <f t="shared" si="67"/>
        <v>136.7000000000001</v>
      </c>
    </row>
    <row r="242" spans="1:27" x14ac:dyDescent="0.25">
      <c r="A242" s="30" t="s">
        <v>567</v>
      </c>
      <c r="B242" s="21" t="s">
        <v>74</v>
      </c>
      <c r="C242" s="21" t="s">
        <v>862</v>
      </c>
      <c r="D242" s="21" t="s">
        <v>43</v>
      </c>
      <c r="E242" s="27"/>
      <c r="F242" s="27"/>
      <c r="G242" s="24"/>
      <c r="H242" s="27"/>
      <c r="I242" s="24"/>
      <c r="J242" s="27"/>
      <c r="K242" s="24"/>
      <c r="L242" s="69"/>
      <c r="M242" s="24"/>
      <c r="N242" s="118">
        <v>92.5</v>
      </c>
      <c r="O242" s="24">
        <f t="shared" si="41"/>
        <v>92.5</v>
      </c>
      <c r="P242" s="124"/>
      <c r="Q242" s="24">
        <f t="shared" si="62"/>
        <v>92.5</v>
      </c>
      <c r="R242" s="124"/>
      <c r="S242" s="24">
        <f t="shared" si="63"/>
        <v>92.5</v>
      </c>
      <c r="T242" s="124"/>
      <c r="U242" s="24">
        <f t="shared" si="64"/>
        <v>92.5</v>
      </c>
      <c r="V242" s="124"/>
      <c r="W242" s="24">
        <f t="shared" si="65"/>
        <v>92.5</v>
      </c>
      <c r="X242" s="124"/>
      <c r="Y242" s="24">
        <f t="shared" si="66"/>
        <v>92.5</v>
      </c>
      <c r="AA242" s="189">
        <f t="shared" si="67"/>
        <v>92.5</v>
      </c>
    </row>
    <row r="243" spans="1:27" ht="24.75" x14ac:dyDescent="0.25">
      <c r="A243" s="64" t="s">
        <v>678</v>
      </c>
      <c r="B243" s="21" t="s">
        <v>74</v>
      </c>
      <c r="C243" s="21" t="s">
        <v>862</v>
      </c>
      <c r="D243" s="21" t="s">
        <v>680</v>
      </c>
      <c r="E243" s="27"/>
      <c r="F243" s="27"/>
      <c r="G243" s="24"/>
      <c r="H243" s="27"/>
      <c r="I243" s="24"/>
      <c r="J243" s="27"/>
      <c r="K243" s="24"/>
      <c r="L243" s="69"/>
      <c r="M243" s="24"/>
      <c r="N243" s="118"/>
      <c r="O243" s="24"/>
      <c r="P243" s="124"/>
      <c r="Q243" s="24"/>
      <c r="R243" s="39">
        <v>2.5</v>
      </c>
      <c r="S243" s="24">
        <f t="shared" si="63"/>
        <v>2.5</v>
      </c>
      <c r="T243" s="69"/>
      <c r="U243" s="24">
        <f t="shared" si="64"/>
        <v>2.5</v>
      </c>
      <c r="V243" s="69"/>
      <c r="W243" s="24">
        <f t="shared" si="65"/>
        <v>2.5</v>
      </c>
      <c r="X243" s="69"/>
      <c r="Y243" s="24">
        <f t="shared" si="66"/>
        <v>2.5</v>
      </c>
      <c r="AA243" s="189">
        <f t="shared" si="67"/>
        <v>2.5</v>
      </c>
    </row>
    <row r="244" spans="1:27" x14ac:dyDescent="0.25">
      <c r="A244" s="30" t="s">
        <v>578</v>
      </c>
      <c r="B244" s="21" t="s">
        <v>74</v>
      </c>
      <c r="C244" s="21" t="s">
        <v>862</v>
      </c>
      <c r="D244" s="21" t="s">
        <v>44</v>
      </c>
      <c r="E244" s="27"/>
      <c r="F244" s="27"/>
      <c r="G244" s="24"/>
      <c r="H244" s="27"/>
      <c r="I244" s="24"/>
      <c r="J244" s="27"/>
      <c r="K244" s="24"/>
      <c r="L244" s="69"/>
      <c r="M244" s="24"/>
      <c r="N244" s="118">
        <v>180.3</v>
      </c>
      <c r="O244" s="24">
        <f t="shared" si="41"/>
        <v>180.3</v>
      </c>
      <c r="P244" s="124"/>
      <c r="Q244" s="24">
        <f t="shared" si="62"/>
        <v>180.3</v>
      </c>
      <c r="R244" s="39">
        <v>109.7</v>
      </c>
      <c r="S244" s="24">
        <f t="shared" si="63"/>
        <v>290</v>
      </c>
      <c r="T244" s="69"/>
      <c r="U244" s="24">
        <f t="shared" si="64"/>
        <v>290</v>
      </c>
      <c r="V244" s="69"/>
      <c r="W244" s="24">
        <f t="shared" si="65"/>
        <v>290</v>
      </c>
      <c r="X244" s="69"/>
      <c r="Y244" s="24">
        <f t="shared" si="66"/>
        <v>290</v>
      </c>
      <c r="AA244" s="189">
        <f t="shared" si="67"/>
        <v>290</v>
      </c>
    </row>
    <row r="245" spans="1:27" x14ac:dyDescent="0.25">
      <c r="A245" s="30" t="s">
        <v>45</v>
      </c>
      <c r="B245" s="21" t="s">
        <v>74</v>
      </c>
      <c r="C245" s="21" t="s">
        <v>862</v>
      </c>
      <c r="D245" s="21" t="s">
        <v>46</v>
      </c>
      <c r="E245" s="27"/>
      <c r="F245" s="27"/>
      <c r="G245" s="24"/>
      <c r="H245" s="27"/>
      <c r="I245" s="24"/>
      <c r="J245" s="27"/>
      <c r="K245" s="24"/>
      <c r="L245" s="69"/>
      <c r="M245" s="24"/>
      <c r="N245" s="118">
        <v>2.5</v>
      </c>
      <c r="O245" s="24">
        <f t="shared" si="41"/>
        <v>2.5</v>
      </c>
      <c r="P245" s="124"/>
      <c r="Q245" s="24">
        <f t="shared" si="62"/>
        <v>2.5</v>
      </c>
      <c r="R245" s="39">
        <v>70.2</v>
      </c>
      <c r="S245" s="24">
        <f t="shared" si="63"/>
        <v>72.7</v>
      </c>
      <c r="T245" s="69"/>
      <c r="U245" s="24">
        <f t="shared" si="64"/>
        <v>72.7</v>
      </c>
      <c r="V245" s="69"/>
      <c r="W245" s="24">
        <f t="shared" si="65"/>
        <v>72.7</v>
      </c>
      <c r="X245" s="69"/>
      <c r="Y245" s="24">
        <f t="shared" si="66"/>
        <v>72.7</v>
      </c>
      <c r="AA245" s="189">
        <f t="shared" si="67"/>
        <v>72.7</v>
      </c>
    </row>
    <row r="246" spans="1:27" x14ac:dyDescent="0.25">
      <c r="A246" s="30" t="s">
        <v>47</v>
      </c>
      <c r="B246" s="21" t="s">
        <v>74</v>
      </c>
      <c r="C246" s="21" t="s">
        <v>862</v>
      </c>
      <c r="D246" s="21" t="s">
        <v>48</v>
      </c>
      <c r="E246" s="27"/>
      <c r="F246" s="27"/>
      <c r="G246" s="24"/>
      <c r="H246" s="27"/>
      <c r="I246" s="24"/>
      <c r="J246" s="27"/>
      <c r="K246" s="24"/>
      <c r="L246" s="69"/>
      <c r="M246" s="24"/>
      <c r="N246" s="118">
        <v>1.6</v>
      </c>
      <c r="O246" s="24">
        <f t="shared" si="41"/>
        <v>1.6</v>
      </c>
      <c r="P246" s="124"/>
      <c r="Q246" s="24">
        <f t="shared" si="62"/>
        <v>1.6</v>
      </c>
      <c r="R246" s="39">
        <v>32.1</v>
      </c>
      <c r="S246" s="24">
        <f t="shared" si="63"/>
        <v>33.700000000000003</v>
      </c>
      <c r="T246" s="69"/>
      <c r="U246" s="24">
        <f t="shared" si="64"/>
        <v>33.700000000000003</v>
      </c>
      <c r="V246" s="69"/>
      <c r="W246" s="24">
        <f t="shared" si="65"/>
        <v>33.700000000000003</v>
      </c>
      <c r="X246" s="69"/>
      <c r="Y246" s="24">
        <f t="shared" si="66"/>
        <v>33.700000000000003</v>
      </c>
      <c r="AA246" s="189">
        <f t="shared" si="67"/>
        <v>33.700000000000003</v>
      </c>
    </row>
    <row r="247" spans="1:27" hidden="1" x14ac:dyDescent="0.25">
      <c r="A247" s="28" t="s">
        <v>119</v>
      </c>
      <c r="B247" s="20" t="s">
        <v>74</v>
      </c>
      <c r="C247" s="20" t="s">
        <v>609</v>
      </c>
      <c r="D247" s="20" t="s">
        <v>2</v>
      </c>
      <c r="E247" s="18">
        <f>E248</f>
        <v>4076.7999999999993</v>
      </c>
      <c r="F247" s="18">
        <f>F248</f>
        <v>-879.99999999999977</v>
      </c>
      <c r="G247" s="24">
        <f t="shared" si="37"/>
        <v>3196.7999999999993</v>
      </c>
      <c r="H247" s="18">
        <f>H248</f>
        <v>0</v>
      </c>
      <c r="I247" s="24">
        <f t="shared" si="38"/>
        <v>3196.7999999999993</v>
      </c>
      <c r="J247" s="18">
        <f>J248</f>
        <v>-768.1</v>
      </c>
      <c r="K247" s="24">
        <f t="shared" si="39"/>
        <v>2428.6999999999994</v>
      </c>
      <c r="L247" s="47">
        <f>L248</f>
        <v>5868.5</v>
      </c>
      <c r="M247" s="24">
        <f t="shared" si="40"/>
        <v>8297.1999999999989</v>
      </c>
      <c r="N247" s="47">
        <f>N248</f>
        <v>-4327.3999999999996</v>
      </c>
      <c r="O247" s="24">
        <f t="shared" si="41"/>
        <v>3969.7999999999993</v>
      </c>
      <c r="P247" s="47">
        <f>P248</f>
        <v>-3300</v>
      </c>
      <c r="Q247" s="24">
        <f t="shared" si="62"/>
        <v>669.79999999999927</v>
      </c>
      <c r="R247" s="47">
        <f>R248</f>
        <v>2497.6999999999998</v>
      </c>
      <c r="S247" s="24">
        <f t="shared" si="63"/>
        <v>3167.4999999999991</v>
      </c>
      <c r="T247" s="47">
        <f>T248</f>
        <v>-1151.5</v>
      </c>
      <c r="U247" s="24">
        <f t="shared" si="64"/>
        <v>2015.9999999999991</v>
      </c>
      <c r="V247" s="47">
        <f>V248</f>
        <v>-2016</v>
      </c>
      <c r="W247" s="24">
        <f t="shared" si="65"/>
        <v>0</v>
      </c>
      <c r="X247" s="47">
        <f>X248</f>
        <v>0</v>
      </c>
      <c r="Y247" s="24">
        <f t="shared" si="66"/>
        <v>0</v>
      </c>
    </row>
    <row r="248" spans="1:27" hidden="1" x14ac:dyDescent="0.25">
      <c r="A248" s="29" t="s">
        <v>66</v>
      </c>
      <c r="B248" s="21" t="s">
        <v>74</v>
      </c>
      <c r="C248" s="21" t="s">
        <v>609</v>
      </c>
      <c r="D248" s="21" t="s">
        <v>42</v>
      </c>
      <c r="E248" s="19">
        <f>14000-121+461.1+2000-4195.3-8068</f>
        <v>4076.7999999999993</v>
      </c>
      <c r="F248" s="39">
        <f>5957.6-1903.9-43.5-120-13-3932.5-75-749.7</f>
        <v>-879.99999999999977</v>
      </c>
      <c r="G248" s="24">
        <f t="shared" si="37"/>
        <v>3196.7999999999993</v>
      </c>
      <c r="H248" s="69"/>
      <c r="I248" s="24">
        <f t="shared" si="38"/>
        <v>3196.7999999999993</v>
      </c>
      <c r="J248" s="63">
        <v>-768.1</v>
      </c>
      <c r="K248" s="24">
        <f t="shared" si="39"/>
        <v>2428.6999999999994</v>
      </c>
      <c r="L248" s="96">
        <f>8068-2199.5</f>
        <v>5868.5</v>
      </c>
      <c r="M248" s="24">
        <f t="shared" si="40"/>
        <v>8297.1999999999989</v>
      </c>
      <c r="N248" s="91">
        <f>-4000-327.4</f>
        <v>-4327.3999999999996</v>
      </c>
      <c r="O248" s="24">
        <f t="shared" si="41"/>
        <v>3969.7999999999993</v>
      </c>
      <c r="P248" s="102">
        <v>-3300</v>
      </c>
      <c r="Q248" s="24">
        <f t="shared" si="62"/>
        <v>669.79999999999927</v>
      </c>
      <c r="R248" s="91">
        <f>3500-332.9-669.4</f>
        <v>2497.6999999999998</v>
      </c>
      <c r="S248" s="24">
        <f t="shared" si="63"/>
        <v>3167.4999999999991</v>
      </c>
      <c r="T248" s="90">
        <v>-1151.5</v>
      </c>
      <c r="U248" s="24">
        <f t="shared" si="64"/>
        <v>2015.9999999999991</v>
      </c>
      <c r="V248" s="102">
        <v>-2016</v>
      </c>
      <c r="W248" s="24">
        <f t="shared" si="65"/>
        <v>0</v>
      </c>
      <c r="X248" s="84"/>
      <c r="Y248" s="24">
        <f t="shared" si="66"/>
        <v>0</v>
      </c>
      <c r="AA248" s="189">
        <f>Y248+Z248</f>
        <v>0</v>
      </c>
    </row>
    <row r="249" spans="1:27" s="6" customFormat="1" x14ac:dyDescent="0.25">
      <c r="A249" s="22" t="s">
        <v>122</v>
      </c>
      <c r="B249" s="23" t="s">
        <v>74</v>
      </c>
      <c r="C249" s="23" t="s">
        <v>123</v>
      </c>
      <c r="D249" s="23" t="s">
        <v>2</v>
      </c>
      <c r="E249" s="24">
        <f t="shared" ref="E249:X251" si="68">E250</f>
        <v>10</v>
      </c>
      <c r="F249" s="24">
        <f t="shared" si="68"/>
        <v>0</v>
      </c>
      <c r="G249" s="24">
        <f t="shared" si="37"/>
        <v>10</v>
      </c>
      <c r="H249" s="24">
        <f t="shared" si="68"/>
        <v>0</v>
      </c>
      <c r="I249" s="24">
        <f t="shared" si="38"/>
        <v>10</v>
      </c>
      <c r="J249" s="24">
        <f t="shared" si="68"/>
        <v>0</v>
      </c>
      <c r="K249" s="24">
        <f t="shared" si="39"/>
        <v>10</v>
      </c>
      <c r="L249" s="47">
        <f t="shared" si="68"/>
        <v>0</v>
      </c>
      <c r="M249" s="24">
        <f t="shared" si="40"/>
        <v>10</v>
      </c>
      <c r="N249" s="47">
        <f t="shared" si="68"/>
        <v>0</v>
      </c>
      <c r="O249" s="24">
        <f t="shared" si="41"/>
        <v>10</v>
      </c>
      <c r="P249" s="47">
        <f t="shared" si="68"/>
        <v>0</v>
      </c>
      <c r="Q249" s="24">
        <f t="shared" si="62"/>
        <v>10</v>
      </c>
      <c r="R249" s="47">
        <f t="shared" si="68"/>
        <v>3.6</v>
      </c>
      <c r="S249" s="24">
        <f t="shared" si="63"/>
        <v>13.6</v>
      </c>
      <c r="T249" s="47">
        <f t="shared" si="68"/>
        <v>0</v>
      </c>
      <c r="U249" s="24">
        <f t="shared" si="64"/>
        <v>13.6</v>
      </c>
      <c r="V249" s="47">
        <f t="shared" si="68"/>
        <v>0</v>
      </c>
      <c r="W249" s="24">
        <f t="shared" si="65"/>
        <v>13.6</v>
      </c>
      <c r="X249" s="47">
        <f t="shared" si="68"/>
        <v>0</v>
      </c>
      <c r="Y249" s="24">
        <f t="shared" si="66"/>
        <v>13.6</v>
      </c>
      <c r="Z249" s="189"/>
    </row>
    <row r="250" spans="1:27" s="6" customFormat="1" ht="24.75" x14ac:dyDescent="0.25">
      <c r="A250" s="22" t="s">
        <v>124</v>
      </c>
      <c r="B250" s="23" t="s">
        <v>74</v>
      </c>
      <c r="C250" s="23" t="s">
        <v>125</v>
      </c>
      <c r="D250" s="23" t="s">
        <v>2</v>
      </c>
      <c r="E250" s="24">
        <f t="shared" si="68"/>
        <v>10</v>
      </c>
      <c r="F250" s="24">
        <f t="shared" si="68"/>
        <v>0</v>
      </c>
      <c r="G250" s="24">
        <f t="shared" si="37"/>
        <v>10</v>
      </c>
      <c r="H250" s="24">
        <f t="shared" si="68"/>
        <v>0</v>
      </c>
      <c r="I250" s="24">
        <f t="shared" si="38"/>
        <v>10</v>
      </c>
      <c r="J250" s="24">
        <f t="shared" si="68"/>
        <v>0</v>
      </c>
      <c r="K250" s="24">
        <f t="shared" si="39"/>
        <v>10</v>
      </c>
      <c r="L250" s="47">
        <f t="shared" si="68"/>
        <v>0</v>
      </c>
      <c r="M250" s="24">
        <f t="shared" si="40"/>
        <v>10</v>
      </c>
      <c r="N250" s="47">
        <f t="shared" si="68"/>
        <v>0</v>
      </c>
      <c r="O250" s="24">
        <f t="shared" si="41"/>
        <v>10</v>
      </c>
      <c r="P250" s="47">
        <f t="shared" si="68"/>
        <v>0</v>
      </c>
      <c r="Q250" s="24">
        <f t="shared" si="62"/>
        <v>10</v>
      </c>
      <c r="R250" s="47">
        <f t="shared" si="68"/>
        <v>3.6</v>
      </c>
      <c r="S250" s="24">
        <f t="shared" si="63"/>
        <v>13.6</v>
      </c>
      <c r="T250" s="47">
        <f t="shared" si="68"/>
        <v>0</v>
      </c>
      <c r="U250" s="24">
        <f t="shared" si="64"/>
        <v>13.6</v>
      </c>
      <c r="V250" s="47">
        <f t="shared" si="68"/>
        <v>0</v>
      </c>
      <c r="W250" s="24">
        <f t="shared" si="65"/>
        <v>13.6</v>
      </c>
      <c r="X250" s="47">
        <f t="shared" si="68"/>
        <v>0</v>
      </c>
      <c r="Y250" s="24">
        <f t="shared" si="66"/>
        <v>13.6</v>
      </c>
      <c r="Z250" s="189"/>
    </row>
    <row r="251" spans="1:27" s="6" customFormat="1" ht="24.75" x14ac:dyDescent="0.25">
      <c r="A251" s="22" t="s">
        <v>126</v>
      </c>
      <c r="B251" s="23" t="s">
        <v>74</v>
      </c>
      <c r="C251" s="23" t="s">
        <v>127</v>
      </c>
      <c r="D251" s="23" t="s">
        <v>2</v>
      </c>
      <c r="E251" s="24">
        <f t="shared" si="68"/>
        <v>10</v>
      </c>
      <c r="F251" s="24">
        <f t="shared" si="68"/>
        <v>0</v>
      </c>
      <c r="G251" s="24">
        <f t="shared" si="37"/>
        <v>10</v>
      </c>
      <c r="H251" s="24">
        <f t="shared" si="68"/>
        <v>0</v>
      </c>
      <c r="I251" s="24">
        <f t="shared" si="38"/>
        <v>10</v>
      </c>
      <c r="J251" s="24">
        <f t="shared" si="68"/>
        <v>0</v>
      </c>
      <c r="K251" s="24">
        <f t="shared" si="39"/>
        <v>10</v>
      </c>
      <c r="L251" s="47">
        <f t="shared" si="68"/>
        <v>0</v>
      </c>
      <c r="M251" s="24">
        <f t="shared" si="40"/>
        <v>10</v>
      </c>
      <c r="N251" s="47">
        <f t="shared" si="68"/>
        <v>0</v>
      </c>
      <c r="O251" s="24">
        <f t="shared" si="41"/>
        <v>10</v>
      </c>
      <c r="P251" s="47">
        <f t="shared" si="68"/>
        <v>0</v>
      </c>
      <c r="Q251" s="24">
        <f t="shared" si="62"/>
        <v>10</v>
      </c>
      <c r="R251" s="47">
        <f t="shared" si="68"/>
        <v>3.6</v>
      </c>
      <c r="S251" s="24">
        <f t="shared" si="63"/>
        <v>13.6</v>
      </c>
      <c r="T251" s="47">
        <f t="shared" si="68"/>
        <v>0</v>
      </c>
      <c r="U251" s="24">
        <f t="shared" si="64"/>
        <v>13.6</v>
      </c>
      <c r="V251" s="47">
        <f t="shared" si="68"/>
        <v>0</v>
      </c>
      <c r="W251" s="24">
        <f t="shared" si="65"/>
        <v>13.6</v>
      </c>
      <c r="X251" s="47">
        <f t="shared" si="68"/>
        <v>0</v>
      </c>
      <c r="Y251" s="24">
        <f t="shared" si="66"/>
        <v>13.6</v>
      </c>
      <c r="Z251" s="189"/>
    </row>
    <row r="252" spans="1:27" x14ac:dyDescent="0.25">
      <c r="A252" s="25" t="s">
        <v>66</v>
      </c>
      <c r="B252" s="26" t="s">
        <v>74</v>
      </c>
      <c r="C252" s="26" t="s">
        <v>127</v>
      </c>
      <c r="D252" s="26" t="s">
        <v>42</v>
      </c>
      <c r="E252" s="27">
        <v>10</v>
      </c>
      <c r="F252" s="27"/>
      <c r="G252" s="24">
        <f t="shared" si="37"/>
        <v>10</v>
      </c>
      <c r="H252" s="27"/>
      <c r="I252" s="24">
        <f t="shared" si="38"/>
        <v>10</v>
      </c>
      <c r="J252" s="27"/>
      <c r="K252" s="24">
        <f t="shared" si="39"/>
        <v>10</v>
      </c>
      <c r="L252" s="69"/>
      <c r="M252" s="24">
        <f t="shared" si="40"/>
        <v>10</v>
      </c>
      <c r="N252" s="69"/>
      <c r="O252" s="24">
        <f t="shared" si="41"/>
        <v>10</v>
      </c>
      <c r="P252" s="69"/>
      <c r="Q252" s="24">
        <f t="shared" si="62"/>
        <v>10</v>
      </c>
      <c r="R252" s="39">
        <v>3.6</v>
      </c>
      <c r="S252" s="24">
        <f t="shared" si="63"/>
        <v>13.6</v>
      </c>
      <c r="T252" s="69"/>
      <c r="U252" s="24">
        <f t="shared" si="64"/>
        <v>13.6</v>
      </c>
      <c r="V252" s="69"/>
      <c r="W252" s="24">
        <f t="shared" si="65"/>
        <v>13.6</v>
      </c>
      <c r="X252" s="69"/>
      <c r="Y252" s="24">
        <f t="shared" si="66"/>
        <v>13.6</v>
      </c>
      <c r="AA252" s="189">
        <f>Y252+Z252</f>
        <v>13.6</v>
      </c>
    </row>
    <row r="253" spans="1:27" s="6" customFormat="1" x14ac:dyDescent="0.25">
      <c r="A253" s="22" t="s">
        <v>8</v>
      </c>
      <c r="B253" s="23" t="s">
        <v>74</v>
      </c>
      <c r="C253" s="23" t="s">
        <v>9</v>
      </c>
      <c r="D253" s="23" t="s">
        <v>2</v>
      </c>
      <c r="E253" s="24">
        <f>E258</f>
        <v>27</v>
      </c>
      <c r="F253" s="24">
        <f>F258</f>
        <v>75</v>
      </c>
      <c r="G253" s="24">
        <f t="shared" si="37"/>
        <v>102</v>
      </c>
      <c r="H253" s="24">
        <f>H258</f>
        <v>0</v>
      </c>
      <c r="I253" s="24">
        <f t="shared" si="38"/>
        <v>102</v>
      </c>
      <c r="J253" s="24">
        <f>J258</f>
        <v>5.2</v>
      </c>
      <c r="K253" s="24">
        <f t="shared" si="39"/>
        <v>107.2</v>
      </c>
      <c r="L253" s="47">
        <f>L258</f>
        <v>6680.2</v>
      </c>
      <c r="M253" s="24">
        <f t="shared" si="40"/>
        <v>6787.4</v>
      </c>
      <c r="N253" s="47">
        <f>N258+N257</f>
        <v>6862.9000000000005</v>
      </c>
      <c r="O253" s="24">
        <f t="shared" si="41"/>
        <v>13650.3</v>
      </c>
      <c r="P253" s="47">
        <f>P258+P257</f>
        <v>0</v>
      </c>
      <c r="Q253" s="24">
        <f t="shared" si="62"/>
        <v>13650.3</v>
      </c>
      <c r="R253" s="47">
        <f>R258+R257+R254</f>
        <v>-5137.1000000000004</v>
      </c>
      <c r="S253" s="24">
        <f t="shared" si="63"/>
        <v>8513.1999999999989</v>
      </c>
      <c r="T253" s="47">
        <f>T258+T257+T254</f>
        <v>251.2</v>
      </c>
      <c r="U253" s="24">
        <f t="shared" si="64"/>
        <v>8764.4</v>
      </c>
      <c r="V253" s="47">
        <f>V258+V257+V254</f>
        <v>-657.1</v>
      </c>
      <c r="W253" s="24">
        <f t="shared" si="65"/>
        <v>8107.2999999999993</v>
      </c>
      <c r="X253" s="47">
        <f>X258+X257+X254</f>
        <v>2122.6999999999998</v>
      </c>
      <c r="Y253" s="24">
        <f t="shared" si="66"/>
        <v>10230</v>
      </c>
      <c r="Z253" s="189"/>
    </row>
    <row r="254" spans="1:27" s="6" customFormat="1" ht="24.75" x14ac:dyDescent="0.25">
      <c r="A254" s="22" t="s">
        <v>1234</v>
      </c>
      <c r="B254" s="20" t="s">
        <v>74</v>
      </c>
      <c r="C254" s="23" t="s">
        <v>1235</v>
      </c>
      <c r="D254" s="23"/>
      <c r="E254" s="24"/>
      <c r="F254" s="24"/>
      <c r="G254" s="24"/>
      <c r="H254" s="24"/>
      <c r="I254" s="24"/>
      <c r="J254" s="24"/>
      <c r="K254" s="24"/>
      <c r="L254" s="47"/>
      <c r="M254" s="24"/>
      <c r="N254" s="47"/>
      <c r="O254" s="24"/>
      <c r="P254" s="47"/>
      <c r="Q254" s="24"/>
      <c r="R254" s="47">
        <f>R255</f>
        <v>158.70000000000005</v>
      </c>
      <c r="S254" s="24">
        <f t="shared" si="63"/>
        <v>158.70000000000005</v>
      </c>
      <c r="T254" s="47">
        <f>T255</f>
        <v>0</v>
      </c>
      <c r="U254" s="24">
        <f t="shared" si="64"/>
        <v>158.70000000000005</v>
      </c>
      <c r="V254" s="47">
        <f>V255</f>
        <v>0</v>
      </c>
      <c r="W254" s="24">
        <f t="shared" si="65"/>
        <v>158.70000000000005</v>
      </c>
      <c r="X254" s="47">
        <f>X255</f>
        <v>0</v>
      </c>
      <c r="Y254" s="24">
        <f t="shared" si="66"/>
        <v>158.70000000000005</v>
      </c>
      <c r="Z254" s="189"/>
    </row>
    <row r="255" spans="1:27" s="6" customFormat="1" x14ac:dyDescent="0.25">
      <c r="A255" s="25" t="s">
        <v>66</v>
      </c>
      <c r="B255" s="21" t="s">
        <v>74</v>
      </c>
      <c r="C255" s="26" t="s">
        <v>1235</v>
      </c>
      <c r="D255" s="26" t="s">
        <v>42</v>
      </c>
      <c r="E255" s="24"/>
      <c r="F255" s="24"/>
      <c r="G255" s="24"/>
      <c r="H255" s="24"/>
      <c r="I255" s="24"/>
      <c r="J255" s="24"/>
      <c r="K255" s="24"/>
      <c r="L255" s="47"/>
      <c r="M255" s="24"/>
      <c r="N255" s="47"/>
      <c r="O255" s="24"/>
      <c r="P255" s="47"/>
      <c r="Q255" s="24"/>
      <c r="R255" s="43">
        <f>1586.8-1428.1</f>
        <v>158.70000000000005</v>
      </c>
      <c r="S255" s="24">
        <f t="shared" si="63"/>
        <v>158.70000000000005</v>
      </c>
      <c r="T255" s="69"/>
      <c r="U255" s="24">
        <f t="shared" si="64"/>
        <v>158.70000000000005</v>
      </c>
      <c r="V255" s="69"/>
      <c r="W255" s="24">
        <f t="shared" si="65"/>
        <v>158.70000000000005</v>
      </c>
      <c r="X255" s="69"/>
      <c r="Y255" s="24">
        <f t="shared" si="66"/>
        <v>158.70000000000005</v>
      </c>
      <c r="Z255" s="189"/>
      <c r="AA255" s="189">
        <f>Y255+Z255</f>
        <v>158.70000000000005</v>
      </c>
    </row>
    <row r="256" spans="1:27" s="6" customFormat="1" hidden="1" x14ac:dyDescent="0.25">
      <c r="A256" s="16" t="s">
        <v>769</v>
      </c>
      <c r="B256" s="20" t="s">
        <v>74</v>
      </c>
      <c r="C256" s="20" t="s">
        <v>855</v>
      </c>
      <c r="D256" s="20"/>
      <c r="E256" s="24"/>
      <c r="F256" s="24"/>
      <c r="G256" s="24"/>
      <c r="H256" s="24"/>
      <c r="I256" s="24"/>
      <c r="J256" s="24"/>
      <c r="K256" s="24"/>
      <c r="L256" s="47"/>
      <c r="M256" s="24"/>
      <c r="N256" s="47">
        <f>N257</f>
        <v>6677.6</v>
      </c>
      <c r="O256" s="24">
        <f t="shared" si="41"/>
        <v>6677.6</v>
      </c>
      <c r="P256" s="47">
        <f>P257</f>
        <v>0</v>
      </c>
      <c r="Q256" s="24">
        <f t="shared" si="62"/>
        <v>6677.6</v>
      </c>
      <c r="R256" s="47">
        <f>R257</f>
        <v>-5697.5</v>
      </c>
      <c r="S256" s="24">
        <f t="shared" si="63"/>
        <v>980.10000000000036</v>
      </c>
      <c r="T256" s="47">
        <f>T257</f>
        <v>0</v>
      </c>
      <c r="U256" s="24">
        <f t="shared" si="64"/>
        <v>980.10000000000036</v>
      </c>
      <c r="V256" s="47">
        <f>V257</f>
        <v>-980.1</v>
      </c>
      <c r="W256" s="24">
        <f t="shared" si="65"/>
        <v>0</v>
      </c>
      <c r="X256" s="47">
        <f>X257</f>
        <v>0</v>
      </c>
      <c r="Y256" s="24">
        <f t="shared" si="66"/>
        <v>0</v>
      </c>
      <c r="Z256" s="189"/>
    </row>
    <row r="257" spans="1:27" s="6" customFormat="1" hidden="1" x14ac:dyDescent="0.25">
      <c r="A257" s="30" t="s">
        <v>66</v>
      </c>
      <c r="B257" s="21" t="s">
        <v>74</v>
      </c>
      <c r="C257" s="21" t="s">
        <v>855</v>
      </c>
      <c r="D257" s="21" t="s">
        <v>42</v>
      </c>
      <c r="E257" s="24"/>
      <c r="F257" s="24"/>
      <c r="G257" s="24"/>
      <c r="H257" s="24"/>
      <c r="I257" s="24"/>
      <c r="J257" s="24"/>
      <c r="K257" s="24"/>
      <c r="L257" s="47"/>
      <c r="M257" s="24"/>
      <c r="N257" s="43">
        <v>6677.6</v>
      </c>
      <c r="O257" s="24">
        <f t="shared" ref="O257" si="69">M257+N257</f>
        <v>6677.6</v>
      </c>
      <c r="P257" s="69"/>
      <c r="Q257" s="24">
        <f t="shared" si="62"/>
        <v>6677.6</v>
      </c>
      <c r="R257" s="43">
        <v>-5697.5</v>
      </c>
      <c r="S257" s="24">
        <f t="shared" si="63"/>
        <v>980.10000000000036</v>
      </c>
      <c r="T257" s="69"/>
      <c r="U257" s="24">
        <f t="shared" si="64"/>
        <v>980.10000000000036</v>
      </c>
      <c r="V257" s="185">
        <v>-980.1</v>
      </c>
      <c r="W257" s="24">
        <f t="shared" si="65"/>
        <v>0</v>
      </c>
      <c r="X257" s="84"/>
      <c r="Y257" s="24">
        <f t="shared" si="66"/>
        <v>0</v>
      </c>
      <c r="Z257" s="189"/>
      <c r="AA257" s="189">
        <f>Y257+Z257</f>
        <v>0</v>
      </c>
    </row>
    <row r="258" spans="1:27" s="6" customFormat="1" ht="24" customHeight="1" x14ac:dyDescent="0.25">
      <c r="A258" s="22" t="s">
        <v>101</v>
      </c>
      <c r="B258" s="23" t="s">
        <v>74</v>
      </c>
      <c r="C258" s="23" t="s">
        <v>102</v>
      </c>
      <c r="D258" s="23" t="s">
        <v>2</v>
      </c>
      <c r="E258" s="24">
        <f t="shared" ref="E258:X259" si="70">E259</f>
        <v>27</v>
      </c>
      <c r="F258" s="24">
        <f>F259+F261</f>
        <v>75</v>
      </c>
      <c r="G258" s="24">
        <f t="shared" ref="G258:G778" si="71">E258+F258</f>
        <v>102</v>
      </c>
      <c r="H258" s="24">
        <f>H259+H261</f>
        <v>0</v>
      </c>
      <c r="I258" s="24">
        <f t="shared" ref="I258:I778" si="72">G258+H258</f>
        <v>102</v>
      </c>
      <c r="J258" s="24">
        <f>J259+J261</f>
        <v>5.2</v>
      </c>
      <c r="K258" s="24">
        <f t="shared" ref="K258:K778" si="73">I258+J258</f>
        <v>107.2</v>
      </c>
      <c r="L258" s="47">
        <f>L259+L261</f>
        <v>6680.2</v>
      </c>
      <c r="M258" s="24">
        <f t="shared" ref="M258:M778" si="74">K258+L258</f>
        <v>6787.4</v>
      </c>
      <c r="N258" s="47">
        <f>N259+N261</f>
        <v>185.3</v>
      </c>
      <c r="O258" s="24">
        <f t="shared" ref="O258:O778" si="75">M258+N258</f>
        <v>6972.7</v>
      </c>
      <c r="P258" s="47">
        <f>P259+P261</f>
        <v>0</v>
      </c>
      <c r="Q258" s="24">
        <f t="shared" si="62"/>
        <v>6972.7</v>
      </c>
      <c r="R258" s="47">
        <f>R259+R261</f>
        <v>401.7</v>
      </c>
      <c r="S258" s="24">
        <f t="shared" si="63"/>
        <v>7374.4</v>
      </c>
      <c r="T258" s="47">
        <f>T259+T261</f>
        <v>251.2</v>
      </c>
      <c r="U258" s="24">
        <f t="shared" si="64"/>
        <v>7625.5999999999995</v>
      </c>
      <c r="V258" s="47">
        <f>V259+V261</f>
        <v>323</v>
      </c>
      <c r="W258" s="24">
        <f t="shared" si="65"/>
        <v>7948.5999999999995</v>
      </c>
      <c r="X258" s="47">
        <f>X259+X261</f>
        <v>2122.6999999999998</v>
      </c>
      <c r="Y258" s="24">
        <f t="shared" si="66"/>
        <v>10071.299999999999</v>
      </c>
      <c r="Z258" s="189"/>
    </row>
    <row r="259" spans="1:27" s="6" customFormat="1" ht="25.5" customHeight="1" x14ac:dyDescent="0.25">
      <c r="A259" s="22" t="s">
        <v>103</v>
      </c>
      <c r="B259" s="23" t="s">
        <v>74</v>
      </c>
      <c r="C259" s="23" t="s">
        <v>104</v>
      </c>
      <c r="D259" s="23" t="s">
        <v>2</v>
      </c>
      <c r="E259" s="24">
        <f t="shared" si="70"/>
        <v>27</v>
      </c>
      <c r="F259" s="24">
        <f t="shared" si="70"/>
        <v>0</v>
      </c>
      <c r="G259" s="24">
        <f t="shared" si="71"/>
        <v>27</v>
      </c>
      <c r="H259" s="24">
        <f t="shared" si="70"/>
        <v>0</v>
      </c>
      <c r="I259" s="24">
        <f t="shared" si="72"/>
        <v>27</v>
      </c>
      <c r="J259" s="24">
        <f t="shared" si="70"/>
        <v>0</v>
      </c>
      <c r="K259" s="24">
        <f t="shared" si="73"/>
        <v>27</v>
      </c>
      <c r="L259" s="47">
        <f t="shared" si="70"/>
        <v>0</v>
      </c>
      <c r="M259" s="24">
        <f t="shared" si="74"/>
        <v>27</v>
      </c>
      <c r="N259" s="47">
        <f t="shared" si="70"/>
        <v>0</v>
      </c>
      <c r="O259" s="24">
        <f t="shared" si="75"/>
        <v>27</v>
      </c>
      <c r="P259" s="47">
        <f t="shared" si="70"/>
        <v>0</v>
      </c>
      <c r="Q259" s="24">
        <f t="shared" si="62"/>
        <v>27</v>
      </c>
      <c r="R259" s="47">
        <f t="shared" si="70"/>
        <v>0</v>
      </c>
      <c r="S259" s="24">
        <f t="shared" si="63"/>
        <v>27</v>
      </c>
      <c r="T259" s="47">
        <f t="shared" si="70"/>
        <v>0</v>
      </c>
      <c r="U259" s="24">
        <f t="shared" si="64"/>
        <v>27</v>
      </c>
      <c r="V259" s="47">
        <f t="shared" si="70"/>
        <v>0</v>
      </c>
      <c r="W259" s="24">
        <f t="shared" si="65"/>
        <v>27</v>
      </c>
      <c r="X259" s="47">
        <f t="shared" si="70"/>
        <v>0</v>
      </c>
      <c r="Y259" s="24">
        <f t="shared" si="66"/>
        <v>27</v>
      </c>
      <c r="Z259" s="189"/>
    </row>
    <row r="260" spans="1:27" x14ac:dyDescent="0.25">
      <c r="A260" s="25" t="s">
        <v>66</v>
      </c>
      <c r="B260" s="26" t="s">
        <v>74</v>
      </c>
      <c r="C260" s="26" t="s">
        <v>104</v>
      </c>
      <c r="D260" s="26" t="s">
        <v>42</v>
      </c>
      <c r="E260" s="27">
        <v>27</v>
      </c>
      <c r="F260" s="27"/>
      <c r="G260" s="24">
        <f t="shared" si="71"/>
        <v>27</v>
      </c>
      <c r="H260" s="27"/>
      <c r="I260" s="24">
        <f t="shared" si="72"/>
        <v>27</v>
      </c>
      <c r="J260" s="27"/>
      <c r="K260" s="24">
        <f t="shared" si="73"/>
        <v>27</v>
      </c>
      <c r="L260" s="69"/>
      <c r="M260" s="24">
        <f t="shared" si="74"/>
        <v>27</v>
      </c>
      <c r="N260" s="69"/>
      <c r="O260" s="24">
        <f t="shared" si="75"/>
        <v>27</v>
      </c>
      <c r="P260" s="69"/>
      <c r="Q260" s="24">
        <f t="shared" si="62"/>
        <v>27</v>
      </c>
      <c r="R260" s="69"/>
      <c r="S260" s="24">
        <f t="shared" si="63"/>
        <v>27</v>
      </c>
      <c r="T260" s="69"/>
      <c r="U260" s="24">
        <f t="shared" si="64"/>
        <v>27</v>
      </c>
      <c r="V260" s="69"/>
      <c r="W260" s="24">
        <f t="shared" si="65"/>
        <v>27</v>
      </c>
      <c r="X260" s="69"/>
      <c r="Y260" s="24">
        <f t="shared" si="66"/>
        <v>27</v>
      </c>
      <c r="AA260" s="189">
        <f>Y260+Z260</f>
        <v>27</v>
      </c>
    </row>
    <row r="261" spans="1:27" ht="24.75" x14ac:dyDescent="0.25">
      <c r="A261" s="22" t="s">
        <v>677</v>
      </c>
      <c r="B261" s="20" t="s">
        <v>74</v>
      </c>
      <c r="C261" s="41" t="s">
        <v>679</v>
      </c>
      <c r="D261" s="21"/>
      <c r="E261" s="27"/>
      <c r="F261" s="18">
        <f>F262</f>
        <v>75</v>
      </c>
      <c r="G261" s="24">
        <f t="shared" si="71"/>
        <v>75</v>
      </c>
      <c r="H261" s="18">
        <f>H262</f>
        <v>0</v>
      </c>
      <c r="I261" s="24">
        <f t="shared" si="72"/>
        <v>75</v>
      </c>
      <c r="J261" s="18">
        <f>J262</f>
        <v>5.2</v>
      </c>
      <c r="K261" s="24">
        <f t="shared" si="73"/>
        <v>80.2</v>
      </c>
      <c r="L261" s="47">
        <f>L262</f>
        <v>6680.2</v>
      </c>
      <c r="M261" s="24">
        <f t="shared" si="74"/>
        <v>6760.4</v>
      </c>
      <c r="N261" s="47">
        <f>N262</f>
        <v>185.3</v>
      </c>
      <c r="O261" s="24">
        <f t="shared" si="75"/>
        <v>6945.7</v>
      </c>
      <c r="P261" s="47">
        <f>P262</f>
        <v>0</v>
      </c>
      <c r="Q261" s="24">
        <f t="shared" si="62"/>
        <v>6945.7</v>
      </c>
      <c r="R261" s="47">
        <f>R262</f>
        <v>401.7</v>
      </c>
      <c r="S261" s="24">
        <f t="shared" si="63"/>
        <v>7347.4</v>
      </c>
      <c r="T261" s="47">
        <f>T262</f>
        <v>251.2</v>
      </c>
      <c r="U261" s="24">
        <f t="shared" si="64"/>
        <v>7598.5999999999995</v>
      </c>
      <c r="V261" s="47">
        <f>V262</f>
        <v>323</v>
      </c>
      <c r="W261" s="24">
        <f t="shared" si="65"/>
        <v>7921.5999999999995</v>
      </c>
      <c r="X261" s="47">
        <f>X262</f>
        <v>2122.6999999999998</v>
      </c>
      <c r="Y261" s="24">
        <f t="shared" si="66"/>
        <v>10044.299999999999</v>
      </c>
    </row>
    <row r="262" spans="1:27" ht="24.75" x14ac:dyDescent="0.25">
      <c r="A262" s="64" t="s">
        <v>678</v>
      </c>
      <c r="B262" s="21" t="s">
        <v>74</v>
      </c>
      <c r="C262" s="42" t="s">
        <v>679</v>
      </c>
      <c r="D262" s="65" t="s">
        <v>680</v>
      </c>
      <c r="E262" s="27"/>
      <c r="F262" s="63">
        <v>75</v>
      </c>
      <c r="G262" s="24">
        <f t="shared" si="71"/>
        <v>75</v>
      </c>
      <c r="H262" s="69"/>
      <c r="I262" s="24">
        <f t="shared" si="72"/>
        <v>75</v>
      </c>
      <c r="J262" s="63">
        <v>5.2</v>
      </c>
      <c r="K262" s="24">
        <f t="shared" si="73"/>
        <v>80.2</v>
      </c>
      <c r="L262" s="96">
        <f>5952.8+727.4</f>
        <v>6680.2</v>
      </c>
      <c r="M262" s="24">
        <f t="shared" si="74"/>
        <v>6760.4</v>
      </c>
      <c r="N262" s="63">
        <v>185.3</v>
      </c>
      <c r="O262" s="24">
        <f t="shared" si="75"/>
        <v>6945.7</v>
      </c>
      <c r="P262" s="69"/>
      <c r="Q262" s="24">
        <f t="shared" si="62"/>
        <v>6945.7</v>
      </c>
      <c r="R262" s="39">
        <v>401.7</v>
      </c>
      <c r="S262" s="24">
        <f t="shared" si="63"/>
        <v>7347.4</v>
      </c>
      <c r="T262" s="63">
        <v>251.2</v>
      </c>
      <c r="U262" s="24">
        <f t="shared" si="64"/>
        <v>7598.5999999999995</v>
      </c>
      <c r="V262" s="94">
        <v>323</v>
      </c>
      <c r="W262" s="24">
        <f t="shared" si="65"/>
        <v>7921.5999999999995</v>
      </c>
      <c r="X262" s="39">
        <v>2122.6999999999998</v>
      </c>
      <c r="Y262" s="24">
        <f t="shared" si="66"/>
        <v>10044.299999999999</v>
      </c>
      <c r="Z262" s="61">
        <f>2074.7+48</f>
        <v>2122.6999999999998</v>
      </c>
      <c r="AA262" s="189">
        <f>Y262+Z262</f>
        <v>12167</v>
      </c>
    </row>
    <row r="263" spans="1:27" s="6" customFormat="1" x14ac:dyDescent="0.25">
      <c r="A263" s="34" t="s">
        <v>128</v>
      </c>
      <c r="B263" s="35" t="s">
        <v>129</v>
      </c>
      <c r="C263" s="35" t="s">
        <v>2</v>
      </c>
      <c r="D263" s="35" t="s">
        <v>2</v>
      </c>
      <c r="E263" s="36">
        <f t="shared" ref="E263:X265" si="76">E264</f>
        <v>4422.1000000000004</v>
      </c>
      <c r="F263" s="36">
        <f t="shared" si="76"/>
        <v>0</v>
      </c>
      <c r="G263" s="36">
        <f t="shared" si="71"/>
        <v>4422.1000000000004</v>
      </c>
      <c r="H263" s="36">
        <f t="shared" si="76"/>
        <v>0</v>
      </c>
      <c r="I263" s="36">
        <f t="shared" si="72"/>
        <v>4422.1000000000004</v>
      </c>
      <c r="J263" s="36">
        <f t="shared" si="76"/>
        <v>0</v>
      </c>
      <c r="K263" s="36">
        <f t="shared" si="73"/>
        <v>4422.1000000000004</v>
      </c>
      <c r="L263" s="36">
        <f t="shared" si="76"/>
        <v>0</v>
      </c>
      <c r="M263" s="36">
        <f t="shared" si="74"/>
        <v>4422.1000000000004</v>
      </c>
      <c r="N263" s="36">
        <f t="shared" si="76"/>
        <v>0</v>
      </c>
      <c r="O263" s="36">
        <f t="shared" si="75"/>
        <v>4422.1000000000004</v>
      </c>
      <c r="P263" s="36">
        <f t="shared" si="76"/>
        <v>0</v>
      </c>
      <c r="Q263" s="36">
        <f t="shared" si="62"/>
        <v>4422.1000000000004</v>
      </c>
      <c r="R263" s="36">
        <f t="shared" si="76"/>
        <v>0</v>
      </c>
      <c r="S263" s="36">
        <f t="shared" si="63"/>
        <v>4422.1000000000004</v>
      </c>
      <c r="T263" s="36">
        <f t="shared" si="76"/>
        <v>0</v>
      </c>
      <c r="U263" s="36">
        <f t="shared" si="64"/>
        <v>4422.1000000000004</v>
      </c>
      <c r="V263" s="36">
        <f t="shared" si="76"/>
        <v>0</v>
      </c>
      <c r="W263" s="36">
        <f t="shared" si="65"/>
        <v>4422.1000000000004</v>
      </c>
      <c r="X263" s="36">
        <f t="shared" si="76"/>
        <v>-380.2</v>
      </c>
      <c r="Y263" s="36">
        <f t="shared" si="66"/>
        <v>4041.9000000000005</v>
      </c>
      <c r="Z263" s="189"/>
    </row>
    <row r="264" spans="1:27" s="6" customFormat="1" x14ac:dyDescent="0.25">
      <c r="A264" s="22" t="s">
        <v>130</v>
      </c>
      <c r="B264" s="23" t="s">
        <v>131</v>
      </c>
      <c r="C264" s="23" t="s">
        <v>2</v>
      </c>
      <c r="D264" s="23" t="s">
        <v>2</v>
      </c>
      <c r="E264" s="24">
        <f t="shared" si="76"/>
        <v>4422.1000000000004</v>
      </c>
      <c r="F264" s="24">
        <f t="shared" si="76"/>
        <v>0</v>
      </c>
      <c r="G264" s="24">
        <f t="shared" si="71"/>
        <v>4422.1000000000004</v>
      </c>
      <c r="H264" s="24">
        <f t="shared" si="76"/>
        <v>0</v>
      </c>
      <c r="I264" s="24">
        <f t="shared" si="72"/>
        <v>4422.1000000000004</v>
      </c>
      <c r="J264" s="24">
        <f t="shared" si="76"/>
        <v>0</v>
      </c>
      <c r="K264" s="24">
        <f t="shared" si="73"/>
        <v>4422.1000000000004</v>
      </c>
      <c r="L264" s="24">
        <f t="shared" si="76"/>
        <v>0</v>
      </c>
      <c r="M264" s="24">
        <f t="shared" si="74"/>
        <v>4422.1000000000004</v>
      </c>
      <c r="N264" s="24">
        <f t="shared" si="76"/>
        <v>0</v>
      </c>
      <c r="O264" s="24">
        <f t="shared" si="75"/>
        <v>4422.1000000000004</v>
      </c>
      <c r="P264" s="24">
        <f t="shared" si="76"/>
        <v>0</v>
      </c>
      <c r="Q264" s="24">
        <f t="shared" si="62"/>
        <v>4422.1000000000004</v>
      </c>
      <c r="R264" s="24">
        <f t="shared" si="76"/>
        <v>0</v>
      </c>
      <c r="S264" s="24">
        <f t="shared" si="63"/>
        <v>4422.1000000000004</v>
      </c>
      <c r="T264" s="24">
        <f t="shared" si="76"/>
        <v>0</v>
      </c>
      <c r="U264" s="24">
        <f t="shared" si="64"/>
        <v>4422.1000000000004</v>
      </c>
      <c r="V264" s="24">
        <f t="shared" si="76"/>
        <v>0</v>
      </c>
      <c r="W264" s="24">
        <f t="shared" si="65"/>
        <v>4422.1000000000004</v>
      </c>
      <c r="X264" s="24">
        <f t="shared" si="76"/>
        <v>-380.2</v>
      </c>
      <c r="Y264" s="24">
        <f t="shared" si="66"/>
        <v>4041.9000000000005</v>
      </c>
      <c r="Z264" s="189"/>
    </row>
    <row r="265" spans="1:27" s="6" customFormat="1" x14ac:dyDescent="0.25">
      <c r="A265" s="22" t="s">
        <v>8</v>
      </c>
      <c r="B265" s="23" t="s">
        <v>131</v>
      </c>
      <c r="C265" s="23" t="s">
        <v>9</v>
      </c>
      <c r="D265" s="23" t="s">
        <v>2</v>
      </c>
      <c r="E265" s="24">
        <f t="shared" si="76"/>
        <v>4422.1000000000004</v>
      </c>
      <c r="F265" s="24">
        <f t="shared" si="76"/>
        <v>0</v>
      </c>
      <c r="G265" s="24">
        <f t="shared" si="71"/>
        <v>4422.1000000000004</v>
      </c>
      <c r="H265" s="24">
        <f t="shared" si="76"/>
        <v>0</v>
      </c>
      <c r="I265" s="24">
        <f t="shared" si="72"/>
        <v>4422.1000000000004</v>
      </c>
      <c r="J265" s="24">
        <f t="shared" si="76"/>
        <v>0</v>
      </c>
      <c r="K265" s="24">
        <f t="shared" si="73"/>
        <v>4422.1000000000004</v>
      </c>
      <c r="L265" s="24">
        <f t="shared" si="76"/>
        <v>0</v>
      </c>
      <c r="M265" s="24">
        <f t="shared" si="74"/>
        <v>4422.1000000000004</v>
      </c>
      <c r="N265" s="24">
        <f t="shared" si="76"/>
        <v>0</v>
      </c>
      <c r="O265" s="24">
        <f t="shared" si="75"/>
        <v>4422.1000000000004</v>
      </c>
      <c r="P265" s="24">
        <f t="shared" si="76"/>
        <v>0</v>
      </c>
      <c r="Q265" s="24">
        <f t="shared" si="62"/>
        <v>4422.1000000000004</v>
      </c>
      <c r="R265" s="24">
        <f t="shared" si="76"/>
        <v>0</v>
      </c>
      <c r="S265" s="24">
        <f t="shared" si="63"/>
        <v>4422.1000000000004</v>
      </c>
      <c r="T265" s="24">
        <f t="shared" si="76"/>
        <v>0</v>
      </c>
      <c r="U265" s="24">
        <f t="shared" si="64"/>
        <v>4422.1000000000004</v>
      </c>
      <c r="V265" s="24">
        <f t="shared" si="76"/>
        <v>0</v>
      </c>
      <c r="W265" s="24">
        <f t="shared" si="65"/>
        <v>4422.1000000000004</v>
      </c>
      <c r="X265" s="24">
        <f t="shared" si="76"/>
        <v>-380.2</v>
      </c>
      <c r="Y265" s="24">
        <f t="shared" si="66"/>
        <v>4041.9000000000005</v>
      </c>
      <c r="Z265" s="189"/>
    </row>
    <row r="266" spans="1:27" s="6" customFormat="1" ht="24.75" x14ac:dyDescent="0.25">
      <c r="A266" s="22" t="s">
        <v>132</v>
      </c>
      <c r="B266" s="23" t="s">
        <v>131</v>
      </c>
      <c r="C266" s="23" t="s">
        <v>133</v>
      </c>
      <c r="D266" s="23" t="s">
        <v>2</v>
      </c>
      <c r="E266" s="24">
        <f>E268+E269+E271</f>
        <v>4422.1000000000004</v>
      </c>
      <c r="F266" s="24">
        <f>F268+F269+F271</f>
        <v>0</v>
      </c>
      <c r="G266" s="24">
        <f t="shared" si="71"/>
        <v>4422.1000000000004</v>
      </c>
      <c r="H266" s="24">
        <f>H268+H269+H271</f>
        <v>0</v>
      </c>
      <c r="I266" s="24">
        <f t="shared" si="72"/>
        <v>4422.1000000000004</v>
      </c>
      <c r="J266" s="24">
        <f>J268+J269+J271</f>
        <v>0</v>
      </c>
      <c r="K266" s="24">
        <f t="shared" si="73"/>
        <v>4422.1000000000004</v>
      </c>
      <c r="L266" s="24">
        <f>L268+L269+L271</f>
        <v>0</v>
      </c>
      <c r="M266" s="24">
        <f t="shared" si="74"/>
        <v>4422.1000000000004</v>
      </c>
      <c r="N266" s="24">
        <f>N268+N269+N271+N267</f>
        <v>0</v>
      </c>
      <c r="O266" s="24">
        <f t="shared" si="75"/>
        <v>4422.1000000000004</v>
      </c>
      <c r="P266" s="24">
        <f>P268+P269+P271+P267</f>
        <v>0</v>
      </c>
      <c r="Q266" s="24">
        <f t="shared" si="62"/>
        <v>4422.1000000000004</v>
      </c>
      <c r="R266" s="24">
        <f>R268+R269+R271+R267</f>
        <v>0</v>
      </c>
      <c r="S266" s="24">
        <f t="shared" si="63"/>
        <v>4422.1000000000004</v>
      </c>
      <c r="T266" s="24">
        <f>T268+T269+T271+T267+T270</f>
        <v>0</v>
      </c>
      <c r="U266" s="24">
        <f t="shared" si="64"/>
        <v>4422.1000000000004</v>
      </c>
      <c r="V266" s="24">
        <f>V268+V269+V271+V267+V270</f>
        <v>0</v>
      </c>
      <c r="W266" s="24">
        <f t="shared" si="65"/>
        <v>4422.1000000000004</v>
      </c>
      <c r="X266" s="24">
        <f>X268+X269+X271+X267+X270</f>
        <v>-380.2</v>
      </c>
      <c r="Y266" s="24">
        <f t="shared" si="66"/>
        <v>4041.9000000000005</v>
      </c>
      <c r="Z266" s="189"/>
    </row>
    <row r="267" spans="1:27" s="6" customFormat="1" x14ac:dyDescent="0.25">
      <c r="A267" s="30" t="s">
        <v>87</v>
      </c>
      <c r="B267" s="26" t="s">
        <v>131</v>
      </c>
      <c r="C267" s="26" t="s">
        <v>133</v>
      </c>
      <c r="D267" s="26" t="s">
        <v>39</v>
      </c>
      <c r="E267" s="24"/>
      <c r="F267" s="24"/>
      <c r="G267" s="24"/>
      <c r="H267" s="24"/>
      <c r="I267" s="24"/>
      <c r="J267" s="24"/>
      <c r="K267" s="24"/>
      <c r="L267" s="24"/>
      <c r="M267" s="24"/>
      <c r="N267" s="122">
        <v>10</v>
      </c>
      <c r="O267" s="24">
        <f t="shared" si="75"/>
        <v>10</v>
      </c>
      <c r="P267" s="47"/>
      <c r="Q267" s="24">
        <f t="shared" si="62"/>
        <v>10</v>
      </c>
      <c r="R267" s="47"/>
      <c r="S267" s="24">
        <f t="shared" si="63"/>
        <v>10</v>
      </c>
      <c r="T267" s="47"/>
      <c r="U267" s="24">
        <f t="shared" si="64"/>
        <v>10</v>
      </c>
      <c r="V267" s="47"/>
      <c r="W267" s="24">
        <f t="shared" si="65"/>
        <v>10</v>
      </c>
      <c r="X267" s="47"/>
      <c r="Y267" s="24">
        <f t="shared" si="66"/>
        <v>10</v>
      </c>
      <c r="Z267" s="189"/>
      <c r="AA267" s="189">
        <f t="shared" ref="AA267:AA271" si="77">Y267+Z267</f>
        <v>10</v>
      </c>
    </row>
    <row r="268" spans="1:27" x14ac:dyDescent="0.25">
      <c r="A268" s="25" t="s">
        <v>560</v>
      </c>
      <c r="B268" s="26" t="s">
        <v>131</v>
      </c>
      <c r="C268" s="26" t="s">
        <v>133</v>
      </c>
      <c r="D268" s="26" t="s">
        <v>12</v>
      </c>
      <c r="E268" s="27">
        <v>3197</v>
      </c>
      <c r="F268" s="27"/>
      <c r="G268" s="24">
        <f t="shared" si="71"/>
        <v>3197</v>
      </c>
      <c r="H268" s="27"/>
      <c r="I268" s="24">
        <f t="shared" si="72"/>
        <v>3197</v>
      </c>
      <c r="J268" s="27"/>
      <c r="K268" s="24">
        <f t="shared" si="73"/>
        <v>3197</v>
      </c>
      <c r="L268" s="27"/>
      <c r="M268" s="24">
        <f t="shared" si="74"/>
        <v>3197</v>
      </c>
      <c r="N268" s="27"/>
      <c r="O268" s="24">
        <f t="shared" si="75"/>
        <v>3197</v>
      </c>
      <c r="P268" s="27"/>
      <c r="Q268" s="24">
        <f t="shared" si="62"/>
        <v>3197</v>
      </c>
      <c r="R268" s="27"/>
      <c r="S268" s="24">
        <f t="shared" si="63"/>
        <v>3197</v>
      </c>
      <c r="T268" s="69"/>
      <c r="U268" s="24">
        <f t="shared" si="64"/>
        <v>3197</v>
      </c>
      <c r="V268" s="69"/>
      <c r="W268" s="24">
        <f t="shared" si="65"/>
        <v>3197</v>
      </c>
      <c r="X268" s="43">
        <v>-292</v>
      </c>
      <c r="Y268" s="24">
        <f t="shared" si="66"/>
        <v>2905</v>
      </c>
      <c r="AA268" s="189">
        <f t="shared" si="77"/>
        <v>2905</v>
      </c>
    </row>
    <row r="269" spans="1:27" ht="27" customHeight="1" x14ac:dyDescent="0.25">
      <c r="A269" s="25" t="s">
        <v>561</v>
      </c>
      <c r="B269" s="26" t="s">
        <v>131</v>
      </c>
      <c r="C269" s="26" t="s">
        <v>133</v>
      </c>
      <c r="D269" s="26" t="s">
        <v>13</v>
      </c>
      <c r="E269" s="27">
        <v>960</v>
      </c>
      <c r="F269" s="27"/>
      <c r="G269" s="24">
        <f t="shared" si="71"/>
        <v>960</v>
      </c>
      <c r="H269" s="27"/>
      <c r="I269" s="24">
        <f t="shared" si="72"/>
        <v>960</v>
      </c>
      <c r="J269" s="27"/>
      <c r="K269" s="24">
        <f t="shared" si="73"/>
        <v>960</v>
      </c>
      <c r="L269" s="27"/>
      <c r="M269" s="24">
        <f t="shared" si="74"/>
        <v>960</v>
      </c>
      <c r="N269" s="27"/>
      <c r="O269" s="24">
        <f t="shared" si="75"/>
        <v>960</v>
      </c>
      <c r="P269" s="27"/>
      <c r="Q269" s="24">
        <f t="shared" si="62"/>
        <v>960</v>
      </c>
      <c r="R269" s="27"/>
      <c r="S269" s="24">
        <f t="shared" si="63"/>
        <v>960</v>
      </c>
      <c r="T269" s="69"/>
      <c r="U269" s="24">
        <f t="shared" si="64"/>
        <v>960</v>
      </c>
      <c r="V269" s="69"/>
      <c r="W269" s="24">
        <f t="shared" si="65"/>
        <v>960</v>
      </c>
      <c r="X269" s="43">
        <v>-88.2</v>
      </c>
      <c r="Y269" s="24">
        <f t="shared" si="66"/>
        <v>871.8</v>
      </c>
      <c r="AA269" s="189">
        <f t="shared" si="77"/>
        <v>871.8</v>
      </c>
    </row>
    <row r="270" spans="1:27" ht="27" customHeight="1" x14ac:dyDescent="0.25">
      <c r="A270" s="62" t="s">
        <v>562</v>
      </c>
      <c r="B270" s="26" t="s">
        <v>131</v>
      </c>
      <c r="C270" s="26" t="s">
        <v>133</v>
      </c>
      <c r="D270" s="26" t="s">
        <v>40</v>
      </c>
      <c r="E270" s="27"/>
      <c r="F270" s="27"/>
      <c r="G270" s="24"/>
      <c r="H270" s="27"/>
      <c r="I270" s="24"/>
      <c r="J270" s="27"/>
      <c r="K270" s="24"/>
      <c r="L270" s="27"/>
      <c r="M270" s="24"/>
      <c r="N270" s="27"/>
      <c r="O270" s="24"/>
      <c r="P270" s="27"/>
      <c r="Q270" s="24"/>
      <c r="R270" s="27"/>
      <c r="S270" s="24"/>
      <c r="T270" s="125">
        <v>50</v>
      </c>
      <c r="U270" s="24">
        <f t="shared" si="64"/>
        <v>50</v>
      </c>
      <c r="V270" s="69"/>
      <c r="W270" s="24">
        <f t="shared" si="65"/>
        <v>50</v>
      </c>
      <c r="X270" s="43">
        <v>104.5</v>
      </c>
      <c r="Y270" s="24">
        <f t="shared" si="66"/>
        <v>154.5</v>
      </c>
      <c r="AA270" s="189">
        <f t="shared" si="77"/>
        <v>154.5</v>
      </c>
    </row>
    <row r="271" spans="1:27" x14ac:dyDescent="0.25">
      <c r="A271" s="25" t="s">
        <v>66</v>
      </c>
      <c r="B271" s="26" t="s">
        <v>131</v>
      </c>
      <c r="C271" s="26" t="s">
        <v>133</v>
      </c>
      <c r="D271" s="26" t="s">
        <v>42</v>
      </c>
      <c r="E271" s="27">
        <v>265.10000000000002</v>
      </c>
      <c r="F271" s="27"/>
      <c r="G271" s="24">
        <f t="shared" si="71"/>
        <v>265.10000000000002</v>
      </c>
      <c r="H271" s="27"/>
      <c r="I271" s="24">
        <f t="shared" si="72"/>
        <v>265.10000000000002</v>
      </c>
      <c r="J271" s="27"/>
      <c r="K271" s="24">
        <f t="shared" si="73"/>
        <v>265.10000000000002</v>
      </c>
      <c r="L271" s="27"/>
      <c r="M271" s="24">
        <f t="shared" si="74"/>
        <v>265.10000000000002</v>
      </c>
      <c r="N271" s="120">
        <v>-10</v>
      </c>
      <c r="O271" s="24">
        <f t="shared" si="75"/>
        <v>255.10000000000002</v>
      </c>
      <c r="P271" s="69"/>
      <c r="Q271" s="24">
        <f t="shared" si="62"/>
        <v>255.10000000000002</v>
      </c>
      <c r="R271" s="69"/>
      <c r="S271" s="24">
        <f t="shared" si="63"/>
        <v>255.10000000000002</v>
      </c>
      <c r="T271" s="125">
        <v>-50</v>
      </c>
      <c r="U271" s="24">
        <f t="shared" si="64"/>
        <v>205.10000000000002</v>
      </c>
      <c r="V271" s="69"/>
      <c r="W271" s="24">
        <f t="shared" si="65"/>
        <v>205.10000000000002</v>
      </c>
      <c r="X271" s="43">
        <v>-104.5</v>
      </c>
      <c r="Y271" s="24">
        <f t="shared" si="66"/>
        <v>100.60000000000002</v>
      </c>
      <c r="AA271" s="189">
        <f t="shared" si="77"/>
        <v>100.60000000000002</v>
      </c>
    </row>
    <row r="272" spans="1:27" s="6" customFormat="1" x14ac:dyDescent="0.25">
      <c r="A272" s="34" t="s">
        <v>134</v>
      </c>
      <c r="B272" s="35" t="s">
        <v>135</v>
      </c>
      <c r="C272" s="35" t="s">
        <v>2</v>
      </c>
      <c r="D272" s="35" t="s">
        <v>2</v>
      </c>
      <c r="E272" s="36">
        <f>E273+E288+E311</f>
        <v>30254.1</v>
      </c>
      <c r="F272" s="36">
        <f>F273+F288+F311</f>
        <v>0</v>
      </c>
      <c r="G272" s="36">
        <f t="shared" si="71"/>
        <v>30254.1</v>
      </c>
      <c r="H272" s="36">
        <f>H273+H288+H311</f>
        <v>0</v>
      </c>
      <c r="I272" s="36">
        <f t="shared" si="72"/>
        <v>30254.1</v>
      </c>
      <c r="J272" s="36">
        <f>J273+J288+J311</f>
        <v>10</v>
      </c>
      <c r="K272" s="36">
        <f t="shared" si="73"/>
        <v>30264.1</v>
      </c>
      <c r="L272" s="36">
        <f>L273+L288+L311</f>
        <v>825.4</v>
      </c>
      <c r="M272" s="36">
        <f t="shared" si="74"/>
        <v>31089.5</v>
      </c>
      <c r="N272" s="36">
        <f>N273+N288+N311</f>
        <v>1726.8</v>
      </c>
      <c r="O272" s="36">
        <f t="shared" si="75"/>
        <v>32816.300000000003</v>
      </c>
      <c r="P272" s="36">
        <f>P273+P288+P311</f>
        <v>684.7</v>
      </c>
      <c r="Q272" s="36">
        <f t="shared" si="62"/>
        <v>33501</v>
      </c>
      <c r="R272" s="36">
        <f>R273+R288+R311</f>
        <v>-68.7</v>
      </c>
      <c r="S272" s="36">
        <f t="shared" si="63"/>
        <v>33432.300000000003</v>
      </c>
      <c r="T272" s="36">
        <f>T273+T288+T311</f>
        <v>245.5</v>
      </c>
      <c r="U272" s="36">
        <f t="shared" si="64"/>
        <v>33677.800000000003</v>
      </c>
      <c r="V272" s="36">
        <f>V273+V288+V311</f>
        <v>618.30000000000007</v>
      </c>
      <c r="W272" s="36">
        <f t="shared" si="65"/>
        <v>34296.100000000006</v>
      </c>
      <c r="X272" s="36">
        <f>X273+X288+X311</f>
        <v>-655.29999999999995</v>
      </c>
      <c r="Y272" s="36">
        <f t="shared" si="66"/>
        <v>33640.800000000003</v>
      </c>
      <c r="Z272" s="189"/>
    </row>
    <row r="273" spans="1:27" s="6" customFormat="1" x14ac:dyDescent="0.25">
      <c r="A273" s="22" t="s">
        <v>136</v>
      </c>
      <c r="B273" s="23" t="s">
        <v>137</v>
      </c>
      <c r="C273" s="23" t="s">
        <v>2</v>
      </c>
      <c r="D273" s="23" t="s">
        <v>2</v>
      </c>
      <c r="E273" s="24">
        <f>E278+E284</f>
        <v>280.3</v>
      </c>
      <c r="F273" s="24">
        <f>F278+F284</f>
        <v>0</v>
      </c>
      <c r="G273" s="24">
        <f t="shared" si="71"/>
        <v>280.3</v>
      </c>
      <c r="H273" s="24">
        <f>H278+H284</f>
        <v>0</v>
      </c>
      <c r="I273" s="24">
        <f t="shared" si="72"/>
        <v>280.3</v>
      </c>
      <c r="J273" s="24">
        <f>J278+J284+J274</f>
        <v>10</v>
      </c>
      <c r="K273" s="24">
        <f t="shared" si="73"/>
        <v>290.3</v>
      </c>
      <c r="L273" s="24">
        <f>L278+L284+L274</f>
        <v>0</v>
      </c>
      <c r="M273" s="24">
        <f t="shared" si="74"/>
        <v>290.3</v>
      </c>
      <c r="N273" s="24">
        <f>N278+N284+N274</f>
        <v>0</v>
      </c>
      <c r="O273" s="24">
        <f t="shared" si="75"/>
        <v>290.3</v>
      </c>
      <c r="P273" s="24">
        <f>P278+P284+P274</f>
        <v>0</v>
      </c>
      <c r="Q273" s="24">
        <f t="shared" si="62"/>
        <v>290.3</v>
      </c>
      <c r="R273" s="24">
        <f>R278+R284+R274</f>
        <v>0</v>
      </c>
      <c r="S273" s="24">
        <f t="shared" si="63"/>
        <v>290.3</v>
      </c>
      <c r="T273" s="24">
        <f>T278+T284+T274</f>
        <v>0</v>
      </c>
      <c r="U273" s="24">
        <f t="shared" si="64"/>
        <v>290.3</v>
      </c>
      <c r="V273" s="24">
        <f>V278+V284+V274</f>
        <v>-50</v>
      </c>
      <c r="W273" s="24">
        <f t="shared" si="65"/>
        <v>240.3</v>
      </c>
      <c r="X273" s="24">
        <f>X278+X284+X274</f>
        <v>-139.30000000000001</v>
      </c>
      <c r="Y273" s="24">
        <f t="shared" si="66"/>
        <v>101</v>
      </c>
      <c r="Z273" s="189"/>
    </row>
    <row r="274" spans="1:27" s="6" customFormat="1" ht="24.75" x14ac:dyDescent="0.25">
      <c r="A274" s="45" t="s">
        <v>621</v>
      </c>
      <c r="B274" s="20" t="s">
        <v>137</v>
      </c>
      <c r="C274" s="54" t="s">
        <v>60</v>
      </c>
      <c r="D274" s="20"/>
      <c r="E274" s="24"/>
      <c r="F274" s="24"/>
      <c r="G274" s="24"/>
      <c r="H274" s="24"/>
      <c r="I274" s="24"/>
      <c r="J274" s="18">
        <f>J275</f>
        <v>10</v>
      </c>
      <c r="K274" s="24">
        <f t="shared" si="73"/>
        <v>10</v>
      </c>
      <c r="L274" s="18">
        <f>L275</f>
        <v>0</v>
      </c>
      <c r="M274" s="24">
        <f t="shared" si="74"/>
        <v>10</v>
      </c>
      <c r="N274" s="18">
        <f>N275</f>
        <v>0</v>
      </c>
      <c r="O274" s="24">
        <f t="shared" si="75"/>
        <v>10</v>
      </c>
      <c r="P274" s="18">
        <f>P275</f>
        <v>0</v>
      </c>
      <c r="Q274" s="24">
        <f t="shared" si="62"/>
        <v>10</v>
      </c>
      <c r="R274" s="18">
        <f>R275</f>
        <v>0</v>
      </c>
      <c r="S274" s="24">
        <f t="shared" si="63"/>
        <v>10</v>
      </c>
      <c r="T274" s="18">
        <f>T275</f>
        <v>0</v>
      </c>
      <c r="U274" s="24">
        <f t="shared" si="64"/>
        <v>10</v>
      </c>
      <c r="V274" s="18">
        <f>V275</f>
        <v>0</v>
      </c>
      <c r="W274" s="24">
        <f t="shared" si="65"/>
        <v>10</v>
      </c>
      <c r="X274" s="18">
        <f>X275</f>
        <v>0</v>
      </c>
      <c r="Y274" s="24">
        <f t="shared" si="66"/>
        <v>10</v>
      </c>
      <c r="Z274" s="189"/>
    </row>
    <row r="275" spans="1:27" s="6" customFormat="1" x14ac:dyDescent="0.25">
      <c r="A275" s="22" t="s">
        <v>69</v>
      </c>
      <c r="B275" s="20" t="s">
        <v>137</v>
      </c>
      <c r="C275" s="20" t="s">
        <v>70</v>
      </c>
      <c r="D275" s="20"/>
      <c r="E275" s="24"/>
      <c r="F275" s="24"/>
      <c r="G275" s="24"/>
      <c r="H275" s="24"/>
      <c r="I275" s="24"/>
      <c r="J275" s="18">
        <f>J276</f>
        <v>10</v>
      </c>
      <c r="K275" s="24">
        <f t="shared" si="73"/>
        <v>10</v>
      </c>
      <c r="L275" s="18">
        <f>L276</f>
        <v>0</v>
      </c>
      <c r="M275" s="24">
        <f t="shared" si="74"/>
        <v>10</v>
      </c>
      <c r="N275" s="18">
        <f>N276</f>
        <v>0</v>
      </c>
      <c r="O275" s="24">
        <f t="shared" si="75"/>
        <v>10</v>
      </c>
      <c r="P275" s="18">
        <f>P276</f>
        <v>0</v>
      </c>
      <c r="Q275" s="24">
        <f t="shared" si="62"/>
        <v>10</v>
      </c>
      <c r="R275" s="18">
        <f>R276</f>
        <v>0</v>
      </c>
      <c r="S275" s="24">
        <f t="shared" si="63"/>
        <v>10</v>
      </c>
      <c r="T275" s="18">
        <f>T276</f>
        <v>0</v>
      </c>
      <c r="U275" s="24">
        <f t="shared" si="64"/>
        <v>10</v>
      </c>
      <c r="V275" s="18">
        <f>V276</f>
        <v>0</v>
      </c>
      <c r="W275" s="24">
        <f t="shared" si="65"/>
        <v>10</v>
      </c>
      <c r="X275" s="18">
        <f>X276</f>
        <v>0</v>
      </c>
      <c r="Y275" s="24">
        <f t="shared" si="66"/>
        <v>10</v>
      </c>
      <c r="Z275" s="189"/>
    </row>
    <row r="276" spans="1:27" s="6" customFormat="1" x14ac:dyDescent="0.25">
      <c r="A276" s="22" t="s">
        <v>67</v>
      </c>
      <c r="B276" s="20" t="s">
        <v>137</v>
      </c>
      <c r="C276" s="20" t="s">
        <v>71</v>
      </c>
      <c r="D276" s="20"/>
      <c r="E276" s="24"/>
      <c r="F276" s="24"/>
      <c r="G276" s="24"/>
      <c r="H276" s="24"/>
      <c r="I276" s="24"/>
      <c r="J276" s="18">
        <f>J277</f>
        <v>10</v>
      </c>
      <c r="K276" s="24">
        <f t="shared" si="73"/>
        <v>10</v>
      </c>
      <c r="L276" s="18">
        <f>L277</f>
        <v>0</v>
      </c>
      <c r="M276" s="24">
        <f t="shared" si="74"/>
        <v>10</v>
      </c>
      <c r="N276" s="18">
        <f>N277</f>
        <v>0</v>
      </c>
      <c r="O276" s="24">
        <f t="shared" si="75"/>
        <v>10</v>
      </c>
      <c r="P276" s="18">
        <f>P277</f>
        <v>0</v>
      </c>
      <c r="Q276" s="24">
        <f t="shared" si="62"/>
        <v>10</v>
      </c>
      <c r="R276" s="18">
        <f>R277</f>
        <v>0</v>
      </c>
      <c r="S276" s="24">
        <f t="shared" si="63"/>
        <v>10</v>
      </c>
      <c r="T276" s="18">
        <f>T277</f>
        <v>0</v>
      </c>
      <c r="U276" s="24">
        <f t="shared" si="64"/>
        <v>10</v>
      </c>
      <c r="V276" s="18">
        <f>V277</f>
        <v>0</v>
      </c>
      <c r="W276" s="24">
        <f t="shared" si="65"/>
        <v>10</v>
      </c>
      <c r="X276" s="18">
        <f>X277</f>
        <v>0</v>
      </c>
      <c r="Y276" s="24">
        <f t="shared" si="66"/>
        <v>10</v>
      </c>
      <c r="Z276" s="189"/>
    </row>
    <row r="277" spans="1:27" s="6" customFormat="1" x14ac:dyDescent="0.25">
      <c r="A277" s="30" t="s">
        <v>66</v>
      </c>
      <c r="B277" s="21" t="s">
        <v>137</v>
      </c>
      <c r="C277" s="21" t="s">
        <v>71</v>
      </c>
      <c r="D277" s="21" t="s">
        <v>42</v>
      </c>
      <c r="E277" s="24"/>
      <c r="F277" s="24"/>
      <c r="G277" s="24"/>
      <c r="H277" s="24"/>
      <c r="I277" s="24"/>
      <c r="J277" s="63">
        <v>10</v>
      </c>
      <c r="K277" s="24">
        <f t="shared" si="73"/>
        <v>10</v>
      </c>
      <c r="L277" s="69"/>
      <c r="M277" s="24">
        <f t="shared" si="74"/>
        <v>10</v>
      </c>
      <c r="N277" s="69"/>
      <c r="O277" s="24">
        <f t="shared" si="75"/>
        <v>10</v>
      </c>
      <c r="P277" s="69"/>
      <c r="Q277" s="24">
        <f t="shared" si="62"/>
        <v>10</v>
      </c>
      <c r="R277" s="69"/>
      <c r="S277" s="24">
        <f t="shared" si="63"/>
        <v>10</v>
      </c>
      <c r="T277" s="69"/>
      <c r="U277" s="24">
        <f t="shared" si="64"/>
        <v>10</v>
      </c>
      <c r="V277" s="69"/>
      <c r="W277" s="24">
        <f t="shared" si="65"/>
        <v>10</v>
      </c>
      <c r="X277" s="69"/>
      <c r="Y277" s="24">
        <f t="shared" si="66"/>
        <v>10</v>
      </c>
      <c r="Z277" s="189"/>
      <c r="AA277" s="189">
        <f>Y277+Z277</f>
        <v>10</v>
      </c>
    </row>
    <row r="278" spans="1:27" s="6" customFormat="1" ht="24.75" x14ac:dyDescent="0.25">
      <c r="A278" s="22" t="s">
        <v>591</v>
      </c>
      <c r="B278" s="23" t="s">
        <v>137</v>
      </c>
      <c r="C278" s="23" t="s">
        <v>138</v>
      </c>
      <c r="D278" s="23" t="s">
        <v>2</v>
      </c>
      <c r="E278" s="24">
        <f t="shared" ref="E278:X280" si="78">E279</f>
        <v>278.3</v>
      </c>
      <c r="F278" s="24">
        <f t="shared" si="78"/>
        <v>0</v>
      </c>
      <c r="G278" s="24">
        <f t="shared" si="71"/>
        <v>278.3</v>
      </c>
      <c r="H278" s="24">
        <f t="shared" si="78"/>
        <v>0</v>
      </c>
      <c r="I278" s="24">
        <f t="shared" si="72"/>
        <v>278.3</v>
      </c>
      <c r="J278" s="24">
        <f t="shared" si="78"/>
        <v>0</v>
      </c>
      <c r="K278" s="24">
        <f t="shared" si="73"/>
        <v>278.3</v>
      </c>
      <c r="L278" s="24">
        <f t="shared" si="78"/>
        <v>0</v>
      </c>
      <c r="M278" s="24">
        <f t="shared" si="74"/>
        <v>278.3</v>
      </c>
      <c r="N278" s="24">
        <f t="shared" si="78"/>
        <v>0</v>
      </c>
      <c r="O278" s="24">
        <f t="shared" si="75"/>
        <v>278.3</v>
      </c>
      <c r="P278" s="24">
        <f t="shared" si="78"/>
        <v>0</v>
      </c>
      <c r="Q278" s="24">
        <f t="shared" si="62"/>
        <v>278.3</v>
      </c>
      <c r="R278" s="24">
        <f t="shared" si="78"/>
        <v>0</v>
      </c>
      <c r="S278" s="24">
        <f t="shared" si="63"/>
        <v>278.3</v>
      </c>
      <c r="T278" s="24">
        <f t="shared" si="78"/>
        <v>0</v>
      </c>
      <c r="U278" s="24">
        <f t="shared" si="64"/>
        <v>278.3</v>
      </c>
      <c r="V278" s="24">
        <f t="shared" si="78"/>
        <v>-50</v>
      </c>
      <c r="W278" s="24">
        <f t="shared" si="65"/>
        <v>228.3</v>
      </c>
      <c r="X278" s="24">
        <f t="shared" si="78"/>
        <v>-139.30000000000001</v>
      </c>
      <c r="Y278" s="24">
        <f t="shared" si="66"/>
        <v>89</v>
      </c>
      <c r="Z278" s="189"/>
    </row>
    <row r="279" spans="1:27" s="6" customFormat="1" ht="24.75" x14ac:dyDescent="0.25">
      <c r="A279" s="22" t="s">
        <v>592</v>
      </c>
      <c r="B279" s="23" t="s">
        <v>137</v>
      </c>
      <c r="C279" s="23" t="s">
        <v>139</v>
      </c>
      <c r="D279" s="23" t="s">
        <v>2</v>
      </c>
      <c r="E279" s="24">
        <f t="shared" si="78"/>
        <v>278.3</v>
      </c>
      <c r="F279" s="24">
        <f t="shared" si="78"/>
        <v>0</v>
      </c>
      <c r="G279" s="24">
        <f t="shared" si="71"/>
        <v>278.3</v>
      </c>
      <c r="H279" s="24">
        <f t="shared" si="78"/>
        <v>0</v>
      </c>
      <c r="I279" s="24">
        <f t="shared" si="72"/>
        <v>278.3</v>
      </c>
      <c r="J279" s="24">
        <f t="shared" si="78"/>
        <v>0</v>
      </c>
      <c r="K279" s="24">
        <f t="shared" si="73"/>
        <v>278.3</v>
      </c>
      <c r="L279" s="24">
        <f t="shared" si="78"/>
        <v>0</v>
      </c>
      <c r="M279" s="24">
        <f t="shared" si="74"/>
        <v>278.3</v>
      </c>
      <c r="N279" s="24">
        <f t="shared" si="78"/>
        <v>0</v>
      </c>
      <c r="O279" s="24">
        <f t="shared" si="75"/>
        <v>278.3</v>
      </c>
      <c r="P279" s="24">
        <f t="shared" si="78"/>
        <v>0</v>
      </c>
      <c r="Q279" s="24">
        <f t="shared" si="62"/>
        <v>278.3</v>
      </c>
      <c r="R279" s="24">
        <f t="shared" si="78"/>
        <v>0</v>
      </c>
      <c r="S279" s="24">
        <f t="shared" si="63"/>
        <v>278.3</v>
      </c>
      <c r="T279" s="24">
        <f t="shared" si="78"/>
        <v>0</v>
      </c>
      <c r="U279" s="24">
        <f t="shared" si="64"/>
        <v>278.3</v>
      </c>
      <c r="V279" s="24">
        <f t="shared" si="78"/>
        <v>-50</v>
      </c>
      <c r="W279" s="24">
        <f t="shared" si="65"/>
        <v>228.3</v>
      </c>
      <c r="X279" s="24">
        <f t="shared" si="78"/>
        <v>-139.30000000000001</v>
      </c>
      <c r="Y279" s="24">
        <f t="shared" si="66"/>
        <v>89</v>
      </c>
      <c r="Z279" s="189"/>
    </row>
    <row r="280" spans="1:27" s="6" customFormat="1" ht="36.75" x14ac:dyDescent="0.25">
      <c r="A280" s="22" t="s">
        <v>140</v>
      </c>
      <c r="B280" s="23" t="s">
        <v>137</v>
      </c>
      <c r="C280" s="23" t="s">
        <v>141</v>
      </c>
      <c r="D280" s="23" t="s">
        <v>2</v>
      </c>
      <c r="E280" s="24">
        <f t="shared" si="78"/>
        <v>278.3</v>
      </c>
      <c r="F280" s="24">
        <f t="shared" si="78"/>
        <v>0</v>
      </c>
      <c r="G280" s="24">
        <f t="shared" si="71"/>
        <v>278.3</v>
      </c>
      <c r="H280" s="24">
        <f t="shared" si="78"/>
        <v>0</v>
      </c>
      <c r="I280" s="24">
        <f t="shared" si="72"/>
        <v>278.3</v>
      </c>
      <c r="J280" s="24">
        <f t="shared" si="78"/>
        <v>0</v>
      </c>
      <c r="K280" s="24">
        <f t="shared" si="73"/>
        <v>278.3</v>
      </c>
      <c r="L280" s="24">
        <f t="shared" si="78"/>
        <v>0</v>
      </c>
      <c r="M280" s="24">
        <f t="shared" si="74"/>
        <v>278.3</v>
      </c>
      <c r="N280" s="24">
        <f t="shared" si="78"/>
        <v>0</v>
      </c>
      <c r="O280" s="24">
        <f t="shared" si="75"/>
        <v>278.3</v>
      </c>
      <c r="P280" s="24">
        <f t="shared" si="78"/>
        <v>0</v>
      </c>
      <c r="Q280" s="24">
        <f t="shared" si="62"/>
        <v>278.3</v>
      </c>
      <c r="R280" s="24">
        <f t="shared" si="78"/>
        <v>0</v>
      </c>
      <c r="S280" s="24">
        <f t="shared" si="63"/>
        <v>278.3</v>
      </c>
      <c r="T280" s="24">
        <f t="shared" si="78"/>
        <v>0</v>
      </c>
      <c r="U280" s="24">
        <f t="shared" si="64"/>
        <v>278.3</v>
      </c>
      <c r="V280" s="24">
        <f t="shared" si="78"/>
        <v>-50</v>
      </c>
      <c r="W280" s="24">
        <f t="shared" si="65"/>
        <v>228.3</v>
      </c>
      <c r="X280" s="24">
        <f t="shared" si="78"/>
        <v>-139.30000000000001</v>
      </c>
      <c r="Y280" s="24">
        <f t="shared" si="66"/>
        <v>89</v>
      </c>
      <c r="Z280" s="189"/>
    </row>
    <row r="281" spans="1:27" s="6" customFormat="1" ht="24.75" x14ac:dyDescent="0.25">
      <c r="A281" s="22" t="s">
        <v>142</v>
      </c>
      <c r="B281" s="23" t="s">
        <v>137</v>
      </c>
      <c r="C281" s="23" t="s">
        <v>143</v>
      </c>
      <c r="D281" s="23" t="s">
        <v>2</v>
      </c>
      <c r="E281" s="24">
        <f>E282+E283</f>
        <v>278.3</v>
      </c>
      <c r="F281" s="24">
        <f>F282+F283</f>
        <v>0</v>
      </c>
      <c r="G281" s="24">
        <f t="shared" si="71"/>
        <v>278.3</v>
      </c>
      <c r="H281" s="24">
        <f>H282+H283</f>
        <v>0</v>
      </c>
      <c r="I281" s="24">
        <f t="shared" si="72"/>
        <v>278.3</v>
      </c>
      <c r="J281" s="24">
        <f>J282+J283</f>
        <v>0</v>
      </c>
      <c r="K281" s="24">
        <f t="shared" si="73"/>
        <v>278.3</v>
      </c>
      <c r="L281" s="24">
        <f>L282+L283</f>
        <v>0</v>
      </c>
      <c r="M281" s="24">
        <f t="shared" si="74"/>
        <v>278.3</v>
      </c>
      <c r="N281" s="24">
        <f>N282+N283</f>
        <v>0</v>
      </c>
      <c r="O281" s="24">
        <f t="shared" si="75"/>
        <v>278.3</v>
      </c>
      <c r="P281" s="24">
        <f>P282+P283</f>
        <v>0</v>
      </c>
      <c r="Q281" s="24">
        <f t="shared" si="62"/>
        <v>278.3</v>
      </c>
      <c r="R281" s="24">
        <f>R282+R283</f>
        <v>0</v>
      </c>
      <c r="S281" s="24">
        <f t="shared" si="63"/>
        <v>278.3</v>
      </c>
      <c r="T281" s="24">
        <f>T282+T283</f>
        <v>0</v>
      </c>
      <c r="U281" s="24">
        <f t="shared" si="64"/>
        <v>278.3</v>
      </c>
      <c r="V281" s="24">
        <f>V282+V283</f>
        <v>-50</v>
      </c>
      <c r="W281" s="24">
        <f t="shared" si="65"/>
        <v>228.3</v>
      </c>
      <c r="X281" s="24">
        <f>X282+X283</f>
        <v>-139.30000000000001</v>
      </c>
      <c r="Y281" s="24">
        <f t="shared" si="66"/>
        <v>89</v>
      </c>
      <c r="Z281" s="189"/>
    </row>
    <row r="282" spans="1:27" ht="24.75" x14ac:dyDescent="0.25">
      <c r="A282" s="25" t="s">
        <v>562</v>
      </c>
      <c r="B282" s="26" t="s">
        <v>137</v>
      </c>
      <c r="C282" s="26" t="s">
        <v>143</v>
      </c>
      <c r="D282" s="26" t="s">
        <v>40</v>
      </c>
      <c r="E282" s="27">
        <v>4.5</v>
      </c>
      <c r="F282" s="27"/>
      <c r="G282" s="24">
        <f t="shared" si="71"/>
        <v>4.5</v>
      </c>
      <c r="H282" s="27"/>
      <c r="I282" s="24">
        <f t="shared" si="72"/>
        <v>4.5</v>
      </c>
      <c r="J282" s="27"/>
      <c r="K282" s="24">
        <f t="shared" si="73"/>
        <v>4.5</v>
      </c>
      <c r="L282" s="107">
        <v>4.5</v>
      </c>
      <c r="M282" s="24">
        <f t="shared" si="74"/>
        <v>9</v>
      </c>
      <c r="N282" s="69"/>
      <c r="O282" s="24">
        <f t="shared" si="75"/>
        <v>9</v>
      </c>
      <c r="P282" s="69"/>
      <c r="Q282" s="24">
        <f t="shared" si="62"/>
        <v>9</v>
      </c>
      <c r="R282" s="69"/>
      <c r="S282" s="24">
        <f t="shared" si="63"/>
        <v>9</v>
      </c>
      <c r="T282" s="63">
        <v>4.5</v>
      </c>
      <c r="U282" s="24">
        <f t="shared" si="64"/>
        <v>13.5</v>
      </c>
      <c r="V282" s="69"/>
      <c r="W282" s="24">
        <f t="shared" si="65"/>
        <v>13.5</v>
      </c>
      <c r="X282" s="69"/>
      <c r="Y282" s="24">
        <f t="shared" si="66"/>
        <v>13.5</v>
      </c>
      <c r="AA282" s="189">
        <f t="shared" ref="AA282:AA283" si="79">Y282+Z282</f>
        <v>13.5</v>
      </c>
    </row>
    <row r="283" spans="1:27" x14ac:dyDescent="0.25">
      <c r="A283" s="25" t="s">
        <v>66</v>
      </c>
      <c r="B283" s="26" t="s">
        <v>137</v>
      </c>
      <c r="C283" s="26" t="s">
        <v>143</v>
      </c>
      <c r="D283" s="26" t="s">
        <v>42</v>
      </c>
      <c r="E283" s="27">
        <v>273.8</v>
      </c>
      <c r="F283" s="27"/>
      <c r="G283" s="24">
        <f t="shared" si="71"/>
        <v>273.8</v>
      </c>
      <c r="H283" s="27"/>
      <c r="I283" s="24">
        <f t="shared" si="72"/>
        <v>273.8</v>
      </c>
      <c r="J283" s="27"/>
      <c r="K283" s="24">
        <f t="shared" si="73"/>
        <v>273.8</v>
      </c>
      <c r="L283" s="107">
        <v>-4.5</v>
      </c>
      <c r="M283" s="24">
        <f t="shared" si="74"/>
        <v>269.3</v>
      </c>
      <c r="N283" s="69"/>
      <c r="O283" s="24">
        <f t="shared" si="75"/>
        <v>269.3</v>
      </c>
      <c r="P283" s="69"/>
      <c r="Q283" s="24">
        <f t="shared" si="62"/>
        <v>269.3</v>
      </c>
      <c r="R283" s="69"/>
      <c r="S283" s="24">
        <f t="shared" si="63"/>
        <v>269.3</v>
      </c>
      <c r="T283" s="63">
        <v>-4.5</v>
      </c>
      <c r="U283" s="24">
        <f t="shared" si="64"/>
        <v>264.8</v>
      </c>
      <c r="V283" s="39">
        <v>-50</v>
      </c>
      <c r="W283" s="24">
        <f t="shared" si="65"/>
        <v>214.8</v>
      </c>
      <c r="X283" s="39">
        <v>-139.30000000000001</v>
      </c>
      <c r="Y283" s="24">
        <f t="shared" si="66"/>
        <v>75.5</v>
      </c>
      <c r="Z283" s="61">
        <v>-139.30000000000001</v>
      </c>
      <c r="AA283" s="189">
        <f t="shared" si="79"/>
        <v>-63.800000000000011</v>
      </c>
    </row>
    <row r="284" spans="1:27" s="6" customFormat="1" ht="28.5" customHeight="1" x14ac:dyDescent="0.25">
      <c r="A284" s="22" t="s">
        <v>626</v>
      </c>
      <c r="B284" s="23" t="s">
        <v>137</v>
      </c>
      <c r="C284" s="23" t="s">
        <v>144</v>
      </c>
      <c r="D284" s="23" t="s">
        <v>2</v>
      </c>
      <c r="E284" s="24">
        <f t="shared" ref="E284:X286" si="80">E285</f>
        <v>2</v>
      </c>
      <c r="F284" s="24">
        <f t="shared" si="80"/>
        <v>0</v>
      </c>
      <c r="G284" s="24">
        <f t="shared" si="71"/>
        <v>2</v>
      </c>
      <c r="H284" s="24">
        <f t="shared" si="80"/>
        <v>0</v>
      </c>
      <c r="I284" s="24">
        <f t="shared" si="72"/>
        <v>2</v>
      </c>
      <c r="J284" s="24">
        <f t="shared" si="80"/>
        <v>0</v>
      </c>
      <c r="K284" s="24">
        <f t="shared" si="73"/>
        <v>2</v>
      </c>
      <c r="L284" s="24">
        <f t="shared" si="80"/>
        <v>0</v>
      </c>
      <c r="M284" s="24">
        <f t="shared" si="74"/>
        <v>2</v>
      </c>
      <c r="N284" s="24">
        <f t="shared" si="80"/>
        <v>0</v>
      </c>
      <c r="O284" s="24">
        <f t="shared" si="75"/>
        <v>2</v>
      </c>
      <c r="P284" s="24">
        <f t="shared" si="80"/>
        <v>0</v>
      </c>
      <c r="Q284" s="24">
        <f t="shared" si="62"/>
        <v>2</v>
      </c>
      <c r="R284" s="24">
        <f t="shared" si="80"/>
        <v>0</v>
      </c>
      <c r="S284" s="24">
        <f t="shared" si="63"/>
        <v>2</v>
      </c>
      <c r="T284" s="24">
        <f t="shared" si="80"/>
        <v>0</v>
      </c>
      <c r="U284" s="24">
        <f t="shared" si="64"/>
        <v>2</v>
      </c>
      <c r="V284" s="24">
        <f t="shared" si="80"/>
        <v>0</v>
      </c>
      <c r="W284" s="24">
        <f t="shared" si="65"/>
        <v>2</v>
      </c>
      <c r="X284" s="24">
        <f t="shared" si="80"/>
        <v>0</v>
      </c>
      <c r="Y284" s="24">
        <f t="shared" si="66"/>
        <v>2</v>
      </c>
      <c r="Z284" s="189"/>
    </row>
    <row r="285" spans="1:27" s="6" customFormat="1" ht="24.75" x14ac:dyDescent="0.25">
      <c r="A285" s="22" t="s">
        <v>145</v>
      </c>
      <c r="B285" s="23" t="s">
        <v>137</v>
      </c>
      <c r="C285" s="23" t="s">
        <v>146</v>
      </c>
      <c r="D285" s="23" t="s">
        <v>2</v>
      </c>
      <c r="E285" s="24">
        <f t="shared" si="80"/>
        <v>2</v>
      </c>
      <c r="F285" s="24">
        <f t="shared" si="80"/>
        <v>0</v>
      </c>
      <c r="G285" s="24">
        <f t="shared" si="71"/>
        <v>2</v>
      </c>
      <c r="H285" s="24">
        <f t="shared" si="80"/>
        <v>0</v>
      </c>
      <c r="I285" s="24">
        <f t="shared" si="72"/>
        <v>2</v>
      </c>
      <c r="J285" s="24">
        <f t="shared" si="80"/>
        <v>0</v>
      </c>
      <c r="K285" s="24">
        <f t="shared" si="73"/>
        <v>2</v>
      </c>
      <c r="L285" s="24">
        <f t="shared" si="80"/>
        <v>0</v>
      </c>
      <c r="M285" s="24">
        <f t="shared" si="74"/>
        <v>2</v>
      </c>
      <c r="N285" s="24">
        <f t="shared" si="80"/>
        <v>0</v>
      </c>
      <c r="O285" s="24">
        <f t="shared" si="75"/>
        <v>2</v>
      </c>
      <c r="P285" s="24">
        <f t="shared" si="80"/>
        <v>0</v>
      </c>
      <c r="Q285" s="24">
        <f t="shared" si="62"/>
        <v>2</v>
      </c>
      <c r="R285" s="24">
        <f t="shared" si="80"/>
        <v>0</v>
      </c>
      <c r="S285" s="24">
        <f t="shared" si="63"/>
        <v>2</v>
      </c>
      <c r="T285" s="24">
        <f t="shared" si="80"/>
        <v>0</v>
      </c>
      <c r="U285" s="24">
        <f t="shared" si="64"/>
        <v>2</v>
      </c>
      <c r="V285" s="24">
        <f t="shared" si="80"/>
        <v>0</v>
      </c>
      <c r="W285" s="24">
        <f t="shared" si="65"/>
        <v>2</v>
      </c>
      <c r="X285" s="24">
        <f t="shared" si="80"/>
        <v>0</v>
      </c>
      <c r="Y285" s="24">
        <f t="shared" si="66"/>
        <v>2</v>
      </c>
      <c r="Z285" s="189"/>
    </row>
    <row r="286" spans="1:27" s="6" customFormat="1" ht="24.75" x14ac:dyDescent="0.25">
      <c r="A286" s="22" t="s">
        <v>142</v>
      </c>
      <c r="B286" s="23" t="s">
        <v>137</v>
      </c>
      <c r="C286" s="23" t="s">
        <v>147</v>
      </c>
      <c r="D286" s="23" t="s">
        <v>2</v>
      </c>
      <c r="E286" s="24">
        <f t="shared" si="80"/>
        <v>2</v>
      </c>
      <c r="F286" s="24">
        <f t="shared" si="80"/>
        <v>0</v>
      </c>
      <c r="G286" s="24">
        <f t="shared" si="71"/>
        <v>2</v>
      </c>
      <c r="H286" s="24">
        <f t="shared" si="80"/>
        <v>0</v>
      </c>
      <c r="I286" s="24">
        <f t="shared" si="72"/>
        <v>2</v>
      </c>
      <c r="J286" s="24">
        <f t="shared" si="80"/>
        <v>0</v>
      </c>
      <c r="K286" s="24">
        <f t="shared" si="73"/>
        <v>2</v>
      </c>
      <c r="L286" s="24">
        <f t="shared" si="80"/>
        <v>0</v>
      </c>
      <c r="M286" s="24">
        <f t="shared" si="74"/>
        <v>2</v>
      </c>
      <c r="N286" s="24">
        <f t="shared" si="80"/>
        <v>0</v>
      </c>
      <c r="O286" s="24">
        <f t="shared" si="75"/>
        <v>2</v>
      </c>
      <c r="P286" s="24">
        <f t="shared" si="80"/>
        <v>0</v>
      </c>
      <c r="Q286" s="24">
        <f t="shared" si="62"/>
        <v>2</v>
      </c>
      <c r="R286" s="24">
        <f t="shared" si="80"/>
        <v>0</v>
      </c>
      <c r="S286" s="24">
        <f t="shared" si="63"/>
        <v>2</v>
      </c>
      <c r="T286" s="24">
        <f t="shared" si="80"/>
        <v>0</v>
      </c>
      <c r="U286" s="24">
        <f t="shared" si="64"/>
        <v>2</v>
      </c>
      <c r="V286" s="24">
        <f t="shared" si="80"/>
        <v>0</v>
      </c>
      <c r="W286" s="24">
        <f t="shared" si="65"/>
        <v>2</v>
      </c>
      <c r="X286" s="24">
        <f t="shared" si="80"/>
        <v>0</v>
      </c>
      <c r="Y286" s="24">
        <f t="shared" si="66"/>
        <v>2</v>
      </c>
      <c r="Z286" s="189"/>
    </row>
    <row r="287" spans="1:27" x14ac:dyDescent="0.25">
      <c r="A287" s="25" t="s">
        <v>66</v>
      </c>
      <c r="B287" s="26" t="s">
        <v>137</v>
      </c>
      <c r="C287" s="26" t="s">
        <v>147</v>
      </c>
      <c r="D287" s="26" t="s">
        <v>42</v>
      </c>
      <c r="E287" s="27">
        <v>2</v>
      </c>
      <c r="F287" s="27"/>
      <c r="G287" s="24">
        <f t="shared" si="71"/>
        <v>2</v>
      </c>
      <c r="H287" s="27"/>
      <c r="I287" s="24">
        <f t="shared" si="72"/>
        <v>2</v>
      </c>
      <c r="J287" s="27"/>
      <c r="K287" s="24">
        <f t="shared" si="73"/>
        <v>2</v>
      </c>
      <c r="L287" s="27"/>
      <c r="M287" s="24">
        <f t="shared" si="74"/>
        <v>2</v>
      </c>
      <c r="N287" s="27"/>
      <c r="O287" s="24">
        <f t="shared" si="75"/>
        <v>2</v>
      </c>
      <c r="P287" s="27"/>
      <c r="Q287" s="24">
        <f t="shared" si="62"/>
        <v>2</v>
      </c>
      <c r="R287" s="27"/>
      <c r="S287" s="24">
        <f t="shared" si="63"/>
        <v>2</v>
      </c>
      <c r="T287" s="69"/>
      <c r="U287" s="24">
        <f t="shared" si="64"/>
        <v>2</v>
      </c>
      <c r="V287" s="69"/>
      <c r="W287" s="24">
        <f t="shared" si="65"/>
        <v>2</v>
      </c>
      <c r="X287" s="69"/>
      <c r="Y287" s="24">
        <f t="shared" si="66"/>
        <v>2</v>
      </c>
      <c r="AA287" s="189">
        <f>Y287+Z287</f>
        <v>2</v>
      </c>
    </row>
    <row r="288" spans="1:27" s="6" customFormat="1" ht="24.75" x14ac:dyDescent="0.25">
      <c r="A288" s="22" t="s">
        <v>148</v>
      </c>
      <c r="B288" s="23" t="s">
        <v>149</v>
      </c>
      <c r="C288" s="23" t="s">
        <v>2</v>
      </c>
      <c r="D288" s="23" t="s">
        <v>2</v>
      </c>
      <c r="E288" s="24">
        <f>E289</f>
        <v>25597.4</v>
      </c>
      <c r="F288" s="24">
        <f>F289</f>
        <v>0</v>
      </c>
      <c r="G288" s="24">
        <f t="shared" si="71"/>
        <v>25597.4</v>
      </c>
      <c r="H288" s="24">
        <f>H289</f>
        <v>0</v>
      </c>
      <c r="I288" s="24">
        <f t="shared" si="72"/>
        <v>25597.4</v>
      </c>
      <c r="J288" s="24">
        <f>J289</f>
        <v>0</v>
      </c>
      <c r="K288" s="24">
        <f t="shared" si="73"/>
        <v>25597.4</v>
      </c>
      <c r="L288" s="24">
        <f>L289</f>
        <v>825.4</v>
      </c>
      <c r="M288" s="24">
        <f t="shared" si="74"/>
        <v>26422.800000000003</v>
      </c>
      <c r="N288" s="24">
        <f>N289</f>
        <v>1381.1</v>
      </c>
      <c r="O288" s="24">
        <f t="shared" si="75"/>
        <v>27803.9</v>
      </c>
      <c r="P288" s="24">
        <f>P289</f>
        <v>0</v>
      </c>
      <c r="Q288" s="24">
        <f t="shared" si="62"/>
        <v>27803.9</v>
      </c>
      <c r="R288" s="24">
        <f>R289</f>
        <v>0</v>
      </c>
      <c r="S288" s="24">
        <f t="shared" si="63"/>
        <v>27803.9</v>
      </c>
      <c r="T288" s="24">
        <f>T289</f>
        <v>-7.5</v>
      </c>
      <c r="U288" s="24">
        <f t="shared" si="64"/>
        <v>27796.400000000001</v>
      </c>
      <c r="V288" s="24">
        <f>V289</f>
        <v>558.30000000000007</v>
      </c>
      <c r="W288" s="24">
        <f t="shared" si="65"/>
        <v>28354.7</v>
      </c>
      <c r="X288" s="24">
        <f>X289</f>
        <v>-256.59999999999997</v>
      </c>
      <c r="Y288" s="24">
        <f t="shared" si="66"/>
        <v>28098.100000000002</v>
      </c>
      <c r="Z288" s="189"/>
    </row>
    <row r="289" spans="1:27" s="6" customFormat="1" ht="24.75" x14ac:dyDescent="0.25">
      <c r="A289" s="22" t="s">
        <v>591</v>
      </c>
      <c r="B289" s="23" t="s">
        <v>149</v>
      </c>
      <c r="C289" s="23" t="s">
        <v>138</v>
      </c>
      <c r="D289" s="23" t="s">
        <v>2</v>
      </c>
      <c r="E289" s="24">
        <f>E290</f>
        <v>25597.4</v>
      </c>
      <c r="F289" s="24">
        <f>F290</f>
        <v>0</v>
      </c>
      <c r="G289" s="24">
        <f t="shared" si="71"/>
        <v>25597.4</v>
      </c>
      <c r="H289" s="24">
        <f>H290</f>
        <v>0</v>
      </c>
      <c r="I289" s="24">
        <f t="shared" si="72"/>
        <v>25597.4</v>
      </c>
      <c r="J289" s="24">
        <f>J290</f>
        <v>0</v>
      </c>
      <c r="K289" s="24">
        <f t="shared" si="73"/>
        <v>25597.4</v>
      </c>
      <c r="L289" s="24">
        <f>L290</f>
        <v>825.4</v>
      </c>
      <c r="M289" s="24">
        <f t="shared" si="74"/>
        <v>26422.800000000003</v>
      </c>
      <c r="N289" s="24">
        <f>N290</f>
        <v>1381.1</v>
      </c>
      <c r="O289" s="24">
        <f t="shared" si="75"/>
        <v>27803.9</v>
      </c>
      <c r="P289" s="24">
        <f>P290</f>
        <v>0</v>
      </c>
      <c r="Q289" s="24">
        <f t="shared" si="62"/>
        <v>27803.9</v>
      </c>
      <c r="R289" s="24">
        <f>R290</f>
        <v>0</v>
      </c>
      <c r="S289" s="24">
        <f t="shared" si="63"/>
        <v>27803.9</v>
      </c>
      <c r="T289" s="24">
        <f>T290</f>
        <v>-7.5</v>
      </c>
      <c r="U289" s="24">
        <f t="shared" si="64"/>
        <v>27796.400000000001</v>
      </c>
      <c r="V289" s="24">
        <f>V290</f>
        <v>558.30000000000007</v>
      </c>
      <c r="W289" s="24">
        <f t="shared" si="65"/>
        <v>28354.7</v>
      </c>
      <c r="X289" s="24">
        <f>X290</f>
        <v>-256.59999999999997</v>
      </c>
      <c r="Y289" s="24">
        <f t="shared" si="66"/>
        <v>28098.100000000002</v>
      </c>
      <c r="Z289" s="189"/>
    </row>
    <row r="290" spans="1:27" s="6" customFormat="1" ht="24.75" x14ac:dyDescent="0.25">
      <c r="A290" s="22" t="s">
        <v>623</v>
      </c>
      <c r="B290" s="23" t="s">
        <v>149</v>
      </c>
      <c r="C290" s="23" t="s">
        <v>139</v>
      </c>
      <c r="D290" s="23" t="s">
        <v>2</v>
      </c>
      <c r="E290" s="24">
        <f>E291+E296</f>
        <v>25597.4</v>
      </c>
      <c r="F290" s="24">
        <f>F291+F296</f>
        <v>0</v>
      </c>
      <c r="G290" s="24">
        <f t="shared" si="71"/>
        <v>25597.4</v>
      </c>
      <c r="H290" s="24">
        <f>H291+H296</f>
        <v>0</v>
      </c>
      <c r="I290" s="24">
        <f t="shared" si="72"/>
        <v>25597.4</v>
      </c>
      <c r="J290" s="24">
        <f>J291+J296</f>
        <v>0</v>
      </c>
      <c r="K290" s="24">
        <f t="shared" si="73"/>
        <v>25597.4</v>
      </c>
      <c r="L290" s="24">
        <f>L291+L296</f>
        <v>825.4</v>
      </c>
      <c r="M290" s="24">
        <f t="shared" si="74"/>
        <v>26422.800000000003</v>
      </c>
      <c r="N290" s="24">
        <f>N291+N296</f>
        <v>1381.1</v>
      </c>
      <c r="O290" s="24">
        <f t="shared" si="75"/>
        <v>27803.9</v>
      </c>
      <c r="P290" s="24">
        <f>P291+P296</f>
        <v>0</v>
      </c>
      <c r="Q290" s="24">
        <f t="shared" si="62"/>
        <v>27803.9</v>
      </c>
      <c r="R290" s="24">
        <f>R291+R296</f>
        <v>0</v>
      </c>
      <c r="S290" s="24">
        <f t="shared" si="63"/>
        <v>27803.9</v>
      </c>
      <c r="T290" s="24">
        <f>T291+T296</f>
        <v>-7.5</v>
      </c>
      <c r="U290" s="24">
        <f t="shared" si="64"/>
        <v>27796.400000000001</v>
      </c>
      <c r="V290" s="24">
        <f>V291+V296</f>
        <v>558.30000000000007</v>
      </c>
      <c r="W290" s="24">
        <f t="shared" si="65"/>
        <v>28354.7</v>
      </c>
      <c r="X290" s="24">
        <f>X291+X296</f>
        <v>-256.59999999999997</v>
      </c>
      <c r="Y290" s="24">
        <f t="shared" si="66"/>
        <v>28098.100000000002</v>
      </c>
      <c r="Z290" s="189"/>
    </row>
    <row r="291" spans="1:27" s="6" customFormat="1" ht="36.75" x14ac:dyDescent="0.25">
      <c r="A291" s="22" t="s">
        <v>150</v>
      </c>
      <c r="B291" s="23" t="s">
        <v>149</v>
      </c>
      <c r="C291" s="23" t="s">
        <v>151</v>
      </c>
      <c r="D291" s="23" t="s">
        <v>2</v>
      </c>
      <c r="E291" s="24">
        <f>E292</f>
        <v>6259.1</v>
      </c>
      <c r="F291" s="24">
        <f>F292</f>
        <v>0</v>
      </c>
      <c r="G291" s="24">
        <f t="shared" si="71"/>
        <v>6259.1</v>
      </c>
      <c r="H291" s="24">
        <f>H292</f>
        <v>0</v>
      </c>
      <c r="I291" s="24">
        <f t="shared" si="72"/>
        <v>6259.1</v>
      </c>
      <c r="J291" s="24">
        <f>J292</f>
        <v>0</v>
      </c>
      <c r="K291" s="24">
        <f t="shared" si="73"/>
        <v>6259.1</v>
      </c>
      <c r="L291" s="24">
        <f>L292</f>
        <v>5</v>
      </c>
      <c r="M291" s="24">
        <f t="shared" si="74"/>
        <v>6264.1</v>
      </c>
      <c r="N291" s="24">
        <f>N292</f>
        <v>1381.1</v>
      </c>
      <c r="O291" s="24">
        <f t="shared" si="75"/>
        <v>7645.2000000000007</v>
      </c>
      <c r="P291" s="24">
        <f>P292</f>
        <v>0</v>
      </c>
      <c r="Q291" s="24">
        <f t="shared" si="62"/>
        <v>7645.2000000000007</v>
      </c>
      <c r="R291" s="24">
        <f>R292</f>
        <v>1.7999999999999989</v>
      </c>
      <c r="S291" s="24">
        <f t="shared" si="63"/>
        <v>7647.0000000000009</v>
      </c>
      <c r="T291" s="24">
        <f>T292</f>
        <v>90.7</v>
      </c>
      <c r="U291" s="24">
        <f t="shared" si="64"/>
        <v>7737.7000000000007</v>
      </c>
      <c r="V291" s="24">
        <f>V292</f>
        <v>-332.9</v>
      </c>
      <c r="W291" s="24">
        <f t="shared" si="65"/>
        <v>7404.8000000000011</v>
      </c>
      <c r="X291" s="24">
        <f>X292</f>
        <v>-173.29999999999998</v>
      </c>
      <c r="Y291" s="24">
        <f t="shared" si="66"/>
        <v>7231.5000000000009</v>
      </c>
      <c r="Z291" s="189"/>
    </row>
    <row r="292" spans="1:27" s="6" customFormat="1" x14ac:dyDescent="0.25">
      <c r="A292" s="22" t="s">
        <v>152</v>
      </c>
      <c r="B292" s="23" t="s">
        <v>149</v>
      </c>
      <c r="C292" s="23" t="s">
        <v>153</v>
      </c>
      <c r="D292" s="23" t="s">
        <v>2</v>
      </c>
      <c r="E292" s="24">
        <f>E293+E294+E295</f>
        <v>6259.1</v>
      </c>
      <c r="F292" s="24">
        <f>F293+F294+F295</f>
        <v>0</v>
      </c>
      <c r="G292" s="24">
        <f t="shared" si="71"/>
        <v>6259.1</v>
      </c>
      <c r="H292" s="24">
        <f>H293+H294+H295</f>
        <v>0</v>
      </c>
      <c r="I292" s="24">
        <f t="shared" si="72"/>
        <v>6259.1</v>
      </c>
      <c r="J292" s="24">
        <f>J293+J294+J295</f>
        <v>0</v>
      </c>
      <c r="K292" s="24">
        <f t="shared" si="73"/>
        <v>6259.1</v>
      </c>
      <c r="L292" s="24">
        <f>L293+L294+L295</f>
        <v>5</v>
      </c>
      <c r="M292" s="24">
        <f t="shared" si="74"/>
        <v>6264.1</v>
      </c>
      <c r="N292" s="24">
        <f>N293+N294+N295</f>
        <v>1381.1</v>
      </c>
      <c r="O292" s="24">
        <f t="shared" si="75"/>
        <v>7645.2000000000007</v>
      </c>
      <c r="P292" s="24">
        <f>P293+P294+P295</f>
        <v>0</v>
      </c>
      <c r="Q292" s="24">
        <f t="shared" si="62"/>
        <v>7645.2000000000007</v>
      </c>
      <c r="R292" s="24">
        <f>R293+R294+R295</f>
        <v>1.7999999999999989</v>
      </c>
      <c r="S292" s="24">
        <f t="shared" si="63"/>
        <v>7647.0000000000009</v>
      </c>
      <c r="T292" s="24">
        <f>T293+T294+T295</f>
        <v>90.7</v>
      </c>
      <c r="U292" s="24">
        <f t="shared" si="64"/>
        <v>7737.7000000000007</v>
      </c>
      <c r="V292" s="183">
        <f>V293+V294+V295</f>
        <v>-332.9</v>
      </c>
      <c r="W292" s="24">
        <f t="shared" si="65"/>
        <v>7404.8000000000011</v>
      </c>
      <c r="X292" s="183">
        <f>X293+X294+X295</f>
        <v>-173.29999999999998</v>
      </c>
      <c r="Y292" s="24">
        <f t="shared" si="66"/>
        <v>7231.5000000000009</v>
      </c>
      <c r="Z292" s="189"/>
    </row>
    <row r="293" spans="1:27" x14ac:dyDescent="0.25">
      <c r="A293" s="25" t="s">
        <v>66</v>
      </c>
      <c r="B293" s="26" t="s">
        <v>149</v>
      </c>
      <c r="C293" s="26" t="s">
        <v>153</v>
      </c>
      <c r="D293" s="26" t="s">
        <v>42</v>
      </c>
      <c r="E293" s="27">
        <f>5050.2+650</f>
        <v>5700.2</v>
      </c>
      <c r="F293" s="27"/>
      <c r="G293" s="24">
        <f t="shared" si="71"/>
        <v>5700.2</v>
      </c>
      <c r="H293" s="27"/>
      <c r="I293" s="24">
        <f t="shared" si="72"/>
        <v>5700.2</v>
      </c>
      <c r="J293" s="27"/>
      <c r="K293" s="24">
        <f t="shared" si="73"/>
        <v>5700.2</v>
      </c>
      <c r="L293" s="107">
        <v>5</v>
      </c>
      <c r="M293" s="24">
        <f t="shared" si="74"/>
        <v>5705.2</v>
      </c>
      <c r="N293" s="86">
        <f>1241.8+789.3-650</f>
        <v>1381.1</v>
      </c>
      <c r="O293" s="24">
        <f t="shared" si="75"/>
        <v>7086.2999999999993</v>
      </c>
      <c r="P293" s="69"/>
      <c r="Q293" s="24">
        <f t="shared" si="62"/>
        <v>7086.2999999999993</v>
      </c>
      <c r="R293" s="39">
        <v>-14.9</v>
      </c>
      <c r="S293" s="24">
        <f t="shared" si="63"/>
        <v>7071.4</v>
      </c>
      <c r="T293" s="39">
        <f>90.7-5</f>
        <v>85.7</v>
      </c>
      <c r="U293" s="24">
        <f t="shared" si="64"/>
        <v>7157.0999999999995</v>
      </c>
      <c r="V293" s="39">
        <f>55-28.9-347-5.1</f>
        <v>-326</v>
      </c>
      <c r="W293" s="24">
        <f t="shared" si="65"/>
        <v>6831.0999999999995</v>
      </c>
      <c r="X293" s="109">
        <f>347-143.1-350.9</f>
        <v>-146.99999999999997</v>
      </c>
      <c r="Y293" s="24">
        <f t="shared" si="66"/>
        <v>6684.0999999999995</v>
      </c>
      <c r="Z293" s="61">
        <v>-350.9</v>
      </c>
      <c r="AA293" s="189">
        <f t="shared" ref="AA293:AA295" si="81">Y293+Z293</f>
        <v>6333.2</v>
      </c>
    </row>
    <row r="294" spans="1:27" x14ac:dyDescent="0.25">
      <c r="A294" s="25" t="s">
        <v>567</v>
      </c>
      <c r="B294" s="26" t="s">
        <v>149</v>
      </c>
      <c r="C294" s="26" t="s">
        <v>153</v>
      </c>
      <c r="D294" s="26" t="s">
        <v>43</v>
      </c>
      <c r="E294" s="27">
        <v>435.8</v>
      </c>
      <c r="F294" s="27"/>
      <c r="G294" s="24">
        <f t="shared" si="71"/>
        <v>435.8</v>
      </c>
      <c r="H294" s="27"/>
      <c r="I294" s="24">
        <f t="shared" si="72"/>
        <v>435.8</v>
      </c>
      <c r="J294" s="27"/>
      <c r="K294" s="24">
        <f t="shared" si="73"/>
        <v>435.8</v>
      </c>
      <c r="L294" s="27"/>
      <c r="M294" s="24">
        <f t="shared" si="74"/>
        <v>435.8</v>
      </c>
      <c r="N294" s="27"/>
      <c r="O294" s="24">
        <f t="shared" si="75"/>
        <v>435.8</v>
      </c>
      <c r="P294" s="27"/>
      <c r="Q294" s="24">
        <f t="shared" si="62"/>
        <v>435.8</v>
      </c>
      <c r="R294" s="39">
        <v>16.7</v>
      </c>
      <c r="S294" s="24">
        <f t="shared" si="63"/>
        <v>452.5</v>
      </c>
      <c r="T294" s="69"/>
      <c r="U294" s="24">
        <f t="shared" si="64"/>
        <v>452.5</v>
      </c>
      <c r="V294" s="69"/>
      <c r="W294" s="24">
        <f t="shared" si="65"/>
        <v>452.5</v>
      </c>
      <c r="X294" s="69"/>
      <c r="Y294" s="24">
        <f t="shared" si="66"/>
        <v>452.5</v>
      </c>
      <c r="AA294" s="189">
        <f t="shared" si="81"/>
        <v>452.5</v>
      </c>
    </row>
    <row r="295" spans="1:27" x14ac:dyDescent="0.25">
      <c r="A295" s="25" t="s">
        <v>571</v>
      </c>
      <c r="B295" s="26" t="s">
        <v>149</v>
      </c>
      <c r="C295" s="26" t="s">
        <v>153</v>
      </c>
      <c r="D295" s="26" t="s">
        <v>154</v>
      </c>
      <c r="E295" s="27">
        <v>123.1</v>
      </c>
      <c r="F295" s="27"/>
      <c r="G295" s="24">
        <f t="shared" si="71"/>
        <v>123.1</v>
      </c>
      <c r="H295" s="27"/>
      <c r="I295" s="24">
        <f t="shared" si="72"/>
        <v>123.1</v>
      </c>
      <c r="J295" s="27"/>
      <c r="K295" s="24">
        <f t="shared" si="73"/>
        <v>123.1</v>
      </c>
      <c r="L295" s="27"/>
      <c r="M295" s="24">
        <f t="shared" si="74"/>
        <v>123.1</v>
      </c>
      <c r="N295" s="27"/>
      <c r="O295" s="24">
        <f t="shared" si="75"/>
        <v>123.1</v>
      </c>
      <c r="P295" s="27"/>
      <c r="Q295" s="24">
        <f t="shared" si="62"/>
        <v>123.1</v>
      </c>
      <c r="R295" s="27"/>
      <c r="S295" s="24">
        <f t="shared" si="63"/>
        <v>123.1</v>
      </c>
      <c r="T295" s="63">
        <v>5</v>
      </c>
      <c r="U295" s="24">
        <f t="shared" si="64"/>
        <v>128.1</v>
      </c>
      <c r="V295" s="39">
        <f>-12+5.1</f>
        <v>-6.9</v>
      </c>
      <c r="W295" s="24">
        <f t="shared" si="65"/>
        <v>121.19999999999999</v>
      </c>
      <c r="X295" s="39">
        <v>-26.3</v>
      </c>
      <c r="Y295" s="24">
        <f t="shared" si="66"/>
        <v>94.899999999999991</v>
      </c>
      <c r="Z295" s="61">
        <v>-26.3</v>
      </c>
      <c r="AA295" s="189">
        <f t="shared" si="81"/>
        <v>68.599999999999994</v>
      </c>
    </row>
    <row r="296" spans="1:27" s="6" customFormat="1" ht="24.75" x14ac:dyDescent="0.25">
      <c r="A296" s="22" t="s">
        <v>155</v>
      </c>
      <c r="B296" s="23" t="s">
        <v>149</v>
      </c>
      <c r="C296" s="23" t="s">
        <v>156</v>
      </c>
      <c r="D296" s="23" t="s">
        <v>2</v>
      </c>
      <c r="E296" s="24">
        <f>E297+E303</f>
        <v>19338.3</v>
      </c>
      <c r="F296" s="24">
        <f>F297+F303</f>
        <v>0</v>
      </c>
      <c r="G296" s="24">
        <f t="shared" si="71"/>
        <v>19338.3</v>
      </c>
      <c r="H296" s="24">
        <f>H297+H303</f>
        <v>0</v>
      </c>
      <c r="I296" s="24">
        <f t="shared" si="72"/>
        <v>19338.3</v>
      </c>
      <c r="J296" s="24">
        <f>J297+J303</f>
        <v>0</v>
      </c>
      <c r="K296" s="24">
        <f t="shared" si="73"/>
        <v>19338.3</v>
      </c>
      <c r="L296" s="24">
        <f>L297+L303+L299</f>
        <v>820.4</v>
      </c>
      <c r="M296" s="24">
        <f t="shared" si="74"/>
        <v>20158.7</v>
      </c>
      <c r="N296" s="24">
        <f>N297+N303+N299</f>
        <v>0</v>
      </c>
      <c r="O296" s="24">
        <f t="shared" si="75"/>
        <v>20158.7</v>
      </c>
      <c r="P296" s="24">
        <f>P297+P303+P299</f>
        <v>0</v>
      </c>
      <c r="Q296" s="24">
        <f t="shared" si="62"/>
        <v>20158.7</v>
      </c>
      <c r="R296" s="24">
        <f>R297+R303+R299</f>
        <v>-1.8</v>
      </c>
      <c r="S296" s="24">
        <f t="shared" si="63"/>
        <v>20156.900000000001</v>
      </c>
      <c r="T296" s="24">
        <f>T297+T303+T299</f>
        <v>-98.2</v>
      </c>
      <c r="U296" s="24">
        <f t="shared" si="64"/>
        <v>20058.7</v>
      </c>
      <c r="V296" s="24">
        <f>V297+V303+V299</f>
        <v>891.2</v>
      </c>
      <c r="W296" s="24">
        <f t="shared" si="65"/>
        <v>20949.900000000001</v>
      </c>
      <c r="X296" s="24">
        <f>X297+X303+X299</f>
        <v>-83.3</v>
      </c>
      <c r="Y296" s="24">
        <f t="shared" si="66"/>
        <v>20866.600000000002</v>
      </c>
      <c r="Z296" s="189"/>
    </row>
    <row r="297" spans="1:27" s="6" customFormat="1" ht="24.75" hidden="1" x14ac:dyDescent="0.25">
      <c r="A297" s="22" t="s">
        <v>158</v>
      </c>
      <c r="B297" s="23" t="s">
        <v>149</v>
      </c>
      <c r="C297" s="23" t="s">
        <v>159</v>
      </c>
      <c r="D297" s="23" t="s">
        <v>2</v>
      </c>
      <c r="E297" s="24">
        <f>E298</f>
        <v>100</v>
      </c>
      <c r="F297" s="24">
        <f>F298</f>
        <v>0</v>
      </c>
      <c r="G297" s="24">
        <f t="shared" si="71"/>
        <v>100</v>
      </c>
      <c r="H297" s="24">
        <f>H298</f>
        <v>0</v>
      </c>
      <c r="I297" s="24">
        <f t="shared" si="72"/>
        <v>100</v>
      </c>
      <c r="J297" s="24">
        <f>J298</f>
        <v>0</v>
      </c>
      <c r="K297" s="24">
        <f t="shared" si="73"/>
        <v>100</v>
      </c>
      <c r="L297" s="24">
        <f>L298</f>
        <v>0</v>
      </c>
      <c r="M297" s="24">
        <f t="shared" si="74"/>
        <v>100</v>
      </c>
      <c r="N297" s="24">
        <f>N298</f>
        <v>0</v>
      </c>
      <c r="O297" s="24">
        <f t="shared" si="75"/>
        <v>100</v>
      </c>
      <c r="P297" s="24">
        <f>P298</f>
        <v>0</v>
      </c>
      <c r="Q297" s="24">
        <f t="shared" si="62"/>
        <v>100</v>
      </c>
      <c r="R297" s="24">
        <f>R298</f>
        <v>-1.8</v>
      </c>
      <c r="S297" s="24">
        <f t="shared" si="63"/>
        <v>98.2</v>
      </c>
      <c r="T297" s="24">
        <f>T298</f>
        <v>-98.2</v>
      </c>
      <c r="U297" s="24">
        <f t="shared" si="64"/>
        <v>0</v>
      </c>
      <c r="V297" s="24">
        <f>V298</f>
        <v>0</v>
      </c>
      <c r="W297" s="24">
        <f t="shared" si="65"/>
        <v>0</v>
      </c>
      <c r="X297" s="24">
        <f>X298</f>
        <v>0</v>
      </c>
      <c r="Y297" s="24">
        <f t="shared" si="66"/>
        <v>0</v>
      </c>
      <c r="Z297" s="189"/>
    </row>
    <row r="298" spans="1:27" hidden="1" x14ac:dyDescent="0.25">
      <c r="A298" s="25" t="s">
        <v>66</v>
      </c>
      <c r="B298" s="26" t="s">
        <v>149</v>
      </c>
      <c r="C298" s="26" t="s">
        <v>159</v>
      </c>
      <c r="D298" s="26" t="s">
        <v>42</v>
      </c>
      <c r="E298" s="27">
        <v>100</v>
      </c>
      <c r="F298" s="27"/>
      <c r="G298" s="24">
        <f t="shared" si="71"/>
        <v>100</v>
      </c>
      <c r="H298" s="27"/>
      <c r="I298" s="24">
        <f t="shared" si="72"/>
        <v>100</v>
      </c>
      <c r="J298" s="27"/>
      <c r="K298" s="24">
        <f t="shared" si="73"/>
        <v>100</v>
      </c>
      <c r="L298" s="27"/>
      <c r="M298" s="24">
        <f t="shared" si="74"/>
        <v>100</v>
      </c>
      <c r="N298" s="27"/>
      <c r="O298" s="24">
        <f t="shared" si="75"/>
        <v>100</v>
      </c>
      <c r="P298" s="27"/>
      <c r="Q298" s="24">
        <f t="shared" si="62"/>
        <v>100</v>
      </c>
      <c r="R298" s="39">
        <v>-1.8</v>
      </c>
      <c r="S298" s="24">
        <f t="shared" si="63"/>
        <v>98.2</v>
      </c>
      <c r="T298" s="39">
        <v>-98.2</v>
      </c>
      <c r="U298" s="24">
        <f t="shared" si="64"/>
        <v>0</v>
      </c>
      <c r="V298" s="69"/>
      <c r="W298" s="24">
        <f t="shared" si="65"/>
        <v>0</v>
      </c>
      <c r="X298" s="69"/>
      <c r="Y298" s="24">
        <f t="shared" si="66"/>
        <v>0</v>
      </c>
      <c r="AA298" s="189">
        <f>Y298+Z298</f>
        <v>0</v>
      </c>
    </row>
    <row r="299" spans="1:27" ht="24.75" x14ac:dyDescent="0.25">
      <c r="A299" s="40" t="s">
        <v>801</v>
      </c>
      <c r="B299" s="23" t="s">
        <v>149</v>
      </c>
      <c r="C299" s="41" t="s">
        <v>800</v>
      </c>
      <c r="D299" s="26"/>
      <c r="E299" s="27"/>
      <c r="F299" s="27"/>
      <c r="G299" s="24"/>
      <c r="H299" s="27"/>
      <c r="I299" s="24"/>
      <c r="J299" s="27"/>
      <c r="K299" s="24"/>
      <c r="L299" s="18">
        <f>L300+L301+L302</f>
        <v>820.4</v>
      </c>
      <c r="M299" s="24">
        <f t="shared" si="74"/>
        <v>820.4</v>
      </c>
      <c r="N299" s="18">
        <f>N300+N301+N302</f>
        <v>0</v>
      </c>
      <c r="O299" s="24">
        <f t="shared" si="75"/>
        <v>820.4</v>
      </c>
      <c r="P299" s="18">
        <f>P300+P301+P302</f>
        <v>0</v>
      </c>
      <c r="Q299" s="24">
        <f t="shared" si="62"/>
        <v>820.4</v>
      </c>
      <c r="R299" s="18">
        <f>R300+R301+R302</f>
        <v>0</v>
      </c>
      <c r="S299" s="24">
        <f t="shared" si="63"/>
        <v>820.4</v>
      </c>
      <c r="T299" s="18">
        <f>T300+T301+T302</f>
        <v>0</v>
      </c>
      <c r="U299" s="24">
        <f t="shared" si="64"/>
        <v>820.4</v>
      </c>
      <c r="V299" s="18">
        <f>V300+V301+V302</f>
        <v>0</v>
      </c>
      <c r="W299" s="24">
        <f t="shared" si="65"/>
        <v>820.4</v>
      </c>
      <c r="X299" s="18">
        <f>X300+X301+X302</f>
        <v>0</v>
      </c>
      <c r="Y299" s="24">
        <f t="shared" si="66"/>
        <v>820.4</v>
      </c>
    </row>
    <row r="300" spans="1:27" x14ac:dyDescent="0.25">
      <c r="A300" s="25" t="s">
        <v>564</v>
      </c>
      <c r="B300" s="26" t="s">
        <v>149</v>
      </c>
      <c r="C300" s="42" t="s">
        <v>800</v>
      </c>
      <c r="D300" s="26" t="s">
        <v>86</v>
      </c>
      <c r="E300" s="27"/>
      <c r="F300" s="27"/>
      <c r="G300" s="24"/>
      <c r="H300" s="27"/>
      <c r="I300" s="24"/>
      <c r="J300" s="27"/>
      <c r="K300" s="24"/>
      <c r="L300" s="39">
        <v>409.6</v>
      </c>
      <c r="M300" s="24">
        <f t="shared" si="74"/>
        <v>409.6</v>
      </c>
      <c r="N300" s="69"/>
      <c r="O300" s="24">
        <f t="shared" si="75"/>
        <v>409.6</v>
      </c>
      <c r="P300" s="69"/>
      <c r="Q300" s="24">
        <f t="shared" si="62"/>
        <v>409.6</v>
      </c>
      <c r="R300" s="69"/>
      <c r="S300" s="24">
        <f t="shared" si="63"/>
        <v>409.6</v>
      </c>
      <c r="T300" s="69"/>
      <c r="U300" s="24">
        <f t="shared" si="64"/>
        <v>409.6</v>
      </c>
      <c r="V300" s="69"/>
      <c r="W300" s="24">
        <f t="shared" si="65"/>
        <v>409.6</v>
      </c>
      <c r="X300" s="69"/>
      <c r="Y300" s="24">
        <f t="shared" si="66"/>
        <v>409.6</v>
      </c>
      <c r="AA300" s="189">
        <f t="shared" ref="AA300:AA302" si="82">Y300+Z300</f>
        <v>409.6</v>
      </c>
    </row>
    <row r="301" spans="1:27" ht="24.75" x14ac:dyDescent="0.25">
      <c r="A301" s="25" t="s">
        <v>565</v>
      </c>
      <c r="B301" s="26" t="s">
        <v>149</v>
      </c>
      <c r="C301" s="42" t="s">
        <v>800</v>
      </c>
      <c r="D301" s="26" t="s">
        <v>89</v>
      </c>
      <c r="E301" s="27"/>
      <c r="F301" s="27"/>
      <c r="G301" s="24"/>
      <c r="H301" s="27"/>
      <c r="I301" s="24"/>
      <c r="J301" s="27"/>
      <c r="K301" s="24"/>
      <c r="L301" s="39">
        <v>123.8</v>
      </c>
      <c r="M301" s="24">
        <f t="shared" si="74"/>
        <v>123.8</v>
      </c>
      <c r="N301" s="69"/>
      <c r="O301" s="24">
        <f t="shared" si="75"/>
        <v>123.8</v>
      </c>
      <c r="P301" s="69"/>
      <c r="Q301" s="24">
        <f t="shared" si="62"/>
        <v>123.8</v>
      </c>
      <c r="R301" s="69"/>
      <c r="S301" s="24">
        <f t="shared" si="63"/>
        <v>123.8</v>
      </c>
      <c r="T301" s="69"/>
      <c r="U301" s="24">
        <f t="shared" si="64"/>
        <v>123.8</v>
      </c>
      <c r="V301" s="69"/>
      <c r="W301" s="24">
        <f t="shared" si="65"/>
        <v>123.8</v>
      </c>
      <c r="X301" s="69"/>
      <c r="Y301" s="24">
        <f t="shared" si="66"/>
        <v>123.8</v>
      </c>
      <c r="AA301" s="189">
        <f t="shared" si="82"/>
        <v>123.8</v>
      </c>
    </row>
    <row r="302" spans="1:27" x14ac:dyDescent="0.25">
      <c r="A302" s="25" t="s">
        <v>66</v>
      </c>
      <c r="B302" s="26" t="s">
        <v>149</v>
      </c>
      <c r="C302" s="42" t="s">
        <v>800</v>
      </c>
      <c r="D302" s="26" t="s">
        <v>42</v>
      </c>
      <c r="E302" s="27"/>
      <c r="F302" s="27"/>
      <c r="G302" s="24"/>
      <c r="H302" s="27"/>
      <c r="I302" s="24"/>
      <c r="J302" s="27"/>
      <c r="K302" s="24"/>
      <c r="L302" s="39">
        <v>287</v>
      </c>
      <c r="M302" s="24">
        <f t="shared" si="74"/>
        <v>287</v>
      </c>
      <c r="N302" s="69"/>
      <c r="O302" s="24">
        <f t="shared" si="75"/>
        <v>287</v>
      </c>
      <c r="P302" s="69"/>
      <c r="Q302" s="24">
        <f t="shared" si="62"/>
        <v>287</v>
      </c>
      <c r="R302" s="69"/>
      <c r="S302" s="24">
        <f t="shared" si="63"/>
        <v>287</v>
      </c>
      <c r="T302" s="69"/>
      <c r="U302" s="24">
        <f t="shared" si="64"/>
        <v>287</v>
      </c>
      <c r="V302" s="69"/>
      <c r="W302" s="24">
        <f t="shared" si="65"/>
        <v>287</v>
      </c>
      <c r="X302" s="69"/>
      <c r="Y302" s="24">
        <f t="shared" si="66"/>
        <v>287</v>
      </c>
      <c r="AA302" s="189">
        <f t="shared" si="82"/>
        <v>287</v>
      </c>
    </row>
    <row r="303" spans="1:27" s="6" customFormat="1" ht="36.75" x14ac:dyDescent="0.25">
      <c r="A303" s="22" t="s">
        <v>37</v>
      </c>
      <c r="B303" s="23" t="s">
        <v>149</v>
      </c>
      <c r="C303" s="23" t="s">
        <v>157</v>
      </c>
      <c r="D303" s="23" t="s">
        <v>2</v>
      </c>
      <c r="E303" s="24">
        <f>E304+E305+E306+E307+E308+E309</f>
        <v>19238.3</v>
      </c>
      <c r="F303" s="24">
        <f>F304+F305+F306+F307+F308+F309</f>
        <v>0</v>
      </c>
      <c r="G303" s="24">
        <f t="shared" si="71"/>
        <v>19238.3</v>
      </c>
      <c r="H303" s="24">
        <f>H304+H305+H306+H307+H308+H309</f>
        <v>0</v>
      </c>
      <c r="I303" s="24">
        <f t="shared" si="72"/>
        <v>19238.3</v>
      </c>
      <c r="J303" s="24">
        <f>J304+J305+J306+J307+J308+J309</f>
        <v>0</v>
      </c>
      <c r="K303" s="24">
        <f t="shared" si="73"/>
        <v>19238.3</v>
      </c>
      <c r="L303" s="24">
        <f>L304+L305+L306+L307+L308+L309+L310</f>
        <v>0</v>
      </c>
      <c r="M303" s="24">
        <f t="shared" si="74"/>
        <v>19238.3</v>
      </c>
      <c r="N303" s="24">
        <f>N304+N305+N306+N307+N308+N309+N310</f>
        <v>0</v>
      </c>
      <c r="O303" s="24">
        <f t="shared" si="75"/>
        <v>19238.3</v>
      </c>
      <c r="P303" s="24">
        <f>P304+P305+P306+P307+P308+P309+P310</f>
        <v>0</v>
      </c>
      <c r="Q303" s="24">
        <f t="shared" si="62"/>
        <v>19238.3</v>
      </c>
      <c r="R303" s="24">
        <f>R304+R305+R306+R307+R308+R309+R310</f>
        <v>0</v>
      </c>
      <c r="S303" s="24">
        <f t="shared" si="63"/>
        <v>19238.3</v>
      </c>
      <c r="T303" s="24">
        <f>T304+T305+T306+T307+T308+T309+T310</f>
        <v>0</v>
      </c>
      <c r="U303" s="24">
        <f t="shared" si="64"/>
        <v>19238.3</v>
      </c>
      <c r="V303" s="24">
        <f>V304+V305+V306+V307+V308+V309+V310</f>
        <v>891.2</v>
      </c>
      <c r="W303" s="24">
        <f t="shared" si="65"/>
        <v>20129.5</v>
      </c>
      <c r="X303" s="24">
        <f>X304+X305+X306+X307+X308+X309+X310</f>
        <v>-83.3</v>
      </c>
      <c r="Y303" s="24">
        <f t="shared" si="66"/>
        <v>20046.2</v>
      </c>
      <c r="Z303" s="189"/>
    </row>
    <row r="304" spans="1:27" x14ac:dyDescent="0.25">
      <c r="A304" s="25" t="s">
        <v>564</v>
      </c>
      <c r="B304" s="26" t="s">
        <v>149</v>
      </c>
      <c r="C304" s="26" t="s">
        <v>157</v>
      </c>
      <c r="D304" s="26" t="s">
        <v>86</v>
      </c>
      <c r="E304" s="27">
        <f>160+12516.1</f>
        <v>12676.1</v>
      </c>
      <c r="F304" s="27"/>
      <c r="G304" s="24">
        <f t="shared" si="71"/>
        <v>12676.1</v>
      </c>
      <c r="H304" s="27"/>
      <c r="I304" s="24">
        <f t="shared" si="72"/>
        <v>12676.1</v>
      </c>
      <c r="J304" s="27"/>
      <c r="K304" s="24">
        <f t="shared" si="73"/>
        <v>12676.1</v>
      </c>
      <c r="L304" s="27"/>
      <c r="M304" s="24">
        <f t="shared" si="74"/>
        <v>12676.1</v>
      </c>
      <c r="N304" s="27"/>
      <c r="O304" s="24">
        <f t="shared" si="75"/>
        <v>12676.1</v>
      </c>
      <c r="P304" s="27"/>
      <c r="Q304" s="24">
        <f t="shared" si="62"/>
        <v>12676.1</v>
      </c>
      <c r="R304" s="27"/>
      <c r="S304" s="24">
        <f t="shared" si="63"/>
        <v>12676.1</v>
      </c>
      <c r="T304" s="69"/>
      <c r="U304" s="24">
        <f t="shared" si="64"/>
        <v>12676.1</v>
      </c>
      <c r="V304" s="94">
        <f>891.2-115</f>
        <v>776.2</v>
      </c>
      <c r="W304" s="24">
        <f t="shared" si="65"/>
        <v>13452.300000000001</v>
      </c>
      <c r="X304" s="69"/>
      <c r="Y304" s="24">
        <f t="shared" si="66"/>
        <v>13452.300000000001</v>
      </c>
      <c r="AA304" s="189">
        <f t="shared" ref="AA304:AA310" si="83">Y304+Z304</f>
        <v>13452.300000000001</v>
      </c>
    </row>
    <row r="305" spans="1:27" ht="24.75" x14ac:dyDescent="0.25">
      <c r="A305" s="25" t="s">
        <v>565</v>
      </c>
      <c r="B305" s="26" t="s">
        <v>149</v>
      </c>
      <c r="C305" s="26" t="s">
        <v>157</v>
      </c>
      <c r="D305" s="26" t="s">
        <v>89</v>
      </c>
      <c r="E305" s="27">
        <v>3828</v>
      </c>
      <c r="F305" s="27"/>
      <c r="G305" s="24">
        <f t="shared" si="71"/>
        <v>3828</v>
      </c>
      <c r="H305" s="27"/>
      <c r="I305" s="24">
        <f t="shared" si="72"/>
        <v>3828</v>
      </c>
      <c r="J305" s="27"/>
      <c r="K305" s="24">
        <f t="shared" si="73"/>
        <v>3828</v>
      </c>
      <c r="L305" s="27"/>
      <c r="M305" s="24">
        <f t="shared" si="74"/>
        <v>3828</v>
      </c>
      <c r="N305" s="27"/>
      <c r="O305" s="24">
        <f t="shared" si="75"/>
        <v>3828</v>
      </c>
      <c r="P305" s="27"/>
      <c r="Q305" s="24">
        <f t="shared" si="62"/>
        <v>3828</v>
      </c>
      <c r="R305" s="27"/>
      <c r="S305" s="24">
        <f t="shared" si="63"/>
        <v>3828</v>
      </c>
      <c r="T305" s="69"/>
      <c r="U305" s="24">
        <f t="shared" si="64"/>
        <v>3828</v>
      </c>
      <c r="V305" s="94">
        <v>115</v>
      </c>
      <c r="W305" s="24">
        <f t="shared" si="65"/>
        <v>3943</v>
      </c>
      <c r="X305" s="69"/>
      <c r="Y305" s="24">
        <f t="shared" si="66"/>
        <v>3943</v>
      </c>
      <c r="AA305" s="189">
        <f t="shared" si="83"/>
        <v>3943</v>
      </c>
    </row>
    <row r="306" spans="1:27" ht="24.75" x14ac:dyDescent="0.25">
      <c r="A306" s="25" t="s">
        <v>562</v>
      </c>
      <c r="B306" s="26" t="s">
        <v>149</v>
      </c>
      <c r="C306" s="26" t="s">
        <v>157</v>
      </c>
      <c r="D306" s="26" t="s">
        <v>40</v>
      </c>
      <c r="E306" s="27">
        <v>170.9</v>
      </c>
      <c r="F306" s="27"/>
      <c r="G306" s="24">
        <f t="shared" si="71"/>
        <v>170.9</v>
      </c>
      <c r="H306" s="27"/>
      <c r="I306" s="24">
        <f t="shared" si="72"/>
        <v>170.9</v>
      </c>
      <c r="J306" s="27"/>
      <c r="K306" s="24">
        <f t="shared" si="73"/>
        <v>170.9</v>
      </c>
      <c r="L306" s="27"/>
      <c r="M306" s="24">
        <f t="shared" si="74"/>
        <v>170.9</v>
      </c>
      <c r="N306" s="27"/>
      <c r="O306" s="24">
        <f t="shared" si="75"/>
        <v>170.9</v>
      </c>
      <c r="P306" s="27"/>
      <c r="Q306" s="24">
        <f t="shared" si="62"/>
        <v>170.9</v>
      </c>
      <c r="R306" s="27"/>
      <c r="S306" s="24">
        <f t="shared" si="63"/>
        <v>170.9</v>
      </c>
      <c r="T306" s="69"/>
      <c r="U306" s="24">
        <f t="shared" si="64"/>
        <v>170.9</v>
      </c>
      <c r="V306" s="69"/>
      <c r="W306" s="24">
        <f t="shared" si="65"/>
        <v>170.9</v>
      </c>
      <c r="X306" s="69"/>
      <c r="Y306" s="24">
        <f t="shared" si="66"/>
        <v>170.9</v>
      </c>
      <c r="AA306" s="189">
        <f t="shared" si="83"/>
        <v>170.9</v>
      </c>
    </row>
    <row r="307" spans="1:27" x14ac:dyDescent="0.25">
      <c r="A307" s="25" t="s">
        <v>66</v>
      </c>
      <c r="B307" s="26" t="s">
        <v>149</v>
      </c>
      <c r="C307" s="26" t="s">
        <v>157</v>
      </c>
      <c r="D307" s="26" t="s">
        <v>42</v>
      </c>
      <c r="E307" s="27">
        <f>3109.3-650</f>
        <v>2459.3000000000002</v>
      </c>
      <c r="F307" s="27"/>
      <c r="G307" s="24">
        <f t="shared" si="71"/>
        <v>2459.3000000000002</v>
      </c>
      <c r="H307" s="27"/>
      <c r="I307" s="24">
        <f t="shared" si="72"/>
        <v>2459.3000000000002</v>
      </c>
      <c r="J307" s="27"/>
      <c r="K307" s="24">
        <f t="shared" si="73"/>
        <v>2459.3000000000002</v>
      </c>
      <c r="L307" s="27"/>
      <c r="M307" s="24">
        <f t="shared" si="74"/>
        <v>2459.3000000000002</v>
      </c>
      <c r="N307" s="27"/>
      <c r="O307" s="24">
        <f t="shared" si="75"/>
        <v>2459.3000000000002</v>
      </c>
      <c r="P307" s="27"/>
      <c r="Q307" s="24">
        <f t="shared" si="62"/>
        <v>2459.3000000000002</v>
      </c>
      <c r="R307" s="27"/>
      <c r="S307" s="24">
        <f t="shared" si="63"/>
        <v>2459.3000000000002</v>
      </c>
      <c r="T307" s="69"/>
      <c r="U307" s="24">
        <f t="shared" si="64"/>
        <v>2459.3000000000002</v>
      </c>
      <c r="V307" s="69"/>
      <c r="W307" s="24">
        <f t="shared" si="65"/>
        <v>2459.3000000000002</v>
      </c>
      <c r="X307" s="39">
        <v>-3.3</v>
      </c>
      <c r="Y307" s="24">
        <f t="shared" si="66"/>
        <v>2456</v>
      </c>
      <c r="Z307" s="61">
        <v>-3.3</v>
      </c>
      <c r="AA307" s="189">
        <f t="shared" si="83"/>
        <v>2452.6999999999998</v>
      </c>
    </row>
    <row r="308" spans="1:27" x14ac:dyDescent="0.25">
      <c r="A308" s="25" t="s">
        <v>567</v>
      </c>
      <c r="B308" s="26" t="s">
        <v>149</v>
      </c>
      <c r="C308" s="26" t="s">
        <v>157</v>
      </c>
      <c r="D308" s="26" t="s">
        <v>43</v>
      </c>
      <c r="E308" s="27">
        <v>100</v>
      </c>
      <c r="F308" s="27"/>
      <c r="G308" s="24">
        <f t="shared" si="71"/>
        <v>100</v>
      </c>
      <c r="H308" s="27"/>
      <c r="I308" s="24">
        <f t="shared" si="72"/>
        <v>100</v>
      </c>
      <c r="J308" s="27"/>
      <c r="K308" s="24">
        <f t="shared" si="73"/>
        <v>100</v>
      </c>
      <c r="L308" s="27"/>
      <c r="M308" s="24">
        <f t="shared" si="74"/>
        <v>100</v>
      </c>
      <c r="N308" s="27"/>
      <c r="O308" s="24">
        <f t="shared" si="75"/>
        <v>100</v>
      </c>
      <c r="P308" s="27"/>
      <c r="Q308" s="24">
        <f t="shared" si="62"/>
        <v>100</v>
      </c>
      <c r="R308" s="27"/>
      <c r="S308" s="24">
        <f t="shared" si="63"/>
        <v>100</v>
      </c>
      <c r="T308" s="69"/>
      <c r="U308" s="24">
        <f t="shared" si="64"/>
        <v>100</v>
      </c>
      <c r="V308" s="69"/>
      <c r="W308" s="24">
        <f t="shared" si="65"/>
        <v>100</v>
      </c>
      <c r="X308" s="39">
        <v>-80</v>
      </c>
      <c r="Y308" s="24">
        <f t="shared" si="66"/>
        <v>20</v>
      </c>
      <c r="Z308" s="61">
        <v>-80</v>
      </c>
      <c r="AA308" s="189">
        <f t="shared" si="83"/>
        <v>-60</v>
      </c>
    </row>
    <row r="309" spans="1:27" x14ac:dyDescent="0.25">
      <c r="A309" s="25" t="s">
        <v>45</v>
      </c>
      <c r="B309" s="26" t="s">
        <v>149</v>
      </c>
      <c r="C309" s="26" t="s">
        <v>157</v>
      </c>
      <c r="D309" s="26" t="s">
        <v>46</v>
      </c>
      <c r="E309" s="27">
        <v>4</v>
      </c>
      <c r="F309" s="27"/>
      <c r="G309" s="24">
        <f t="shared" si="71"/>
        <v>4</v>
      </c>
      <c r="H309" s="27"/>
      <c r="I309" s="24">
        <f t="shared" si="72"/>
        <v>4</v>
      </c>
      <c r="J309" s="27"/>
      <c r="K309" s="24">
        <f t="shared" si="73"/>
        <v>4</v>
      </c>
      <c r="L309" s="107">
        <v>-0.5</v>
      </c>
      <c r="M309" s="24">
        <f t="shared" si="74"/>
        <v>3.5</v>
      </c>
      <c r="N309" s="69"/>
      <c r="O309" s="24">
        <f t="shared" si="75"/>
        <v>3.5</v>
      </c>
      <c r="P309" s="69"/>
      <c r="Q309" s="24">
        <f t="shared" si="62"/>
        <v>3.5</v>
      </c>
      <c r="R309" s="69"/>
      <c r="S309" s="24">
        <f t="shared" si="63"/>
        <v>3.5</v>
      </c>
      <c r="T309" s="69"/>
      <c r="U309" s="24">
        <f t="shared" si="64"/>
        <v>3.5</v>
      </c>
      <c r="V309" s="69"/>
      <c r="W309" s="24">
        <f t="shared" si="65"/>
        <v>3.5</v>
      </c>
      <c r="X309" s="39">
        <v>0.1</v>
      </c>
      <c r="Y309" s="24">
        <f t="shared" si="66"/>
        <v>3.6</v>
      </c>
      <c r="Z309" s="61">
        <v>0.1</v>
      </c>
      <c r="AA309" s="189">
        <f t="shared" si="83"/>
        <v>3.7</v>
      </c>
    </row>
    <row r="310" spans="1:27" x14ac:dyDescent="0.25">
      <c r="A310" s="30" t="s">
        <v>47</v>
      </c>
      <c r="B310" s="26" t="s">
        <v>149</v>
      </c>
      <c r="C310" s="26" t="s">
        <v>157</v>
      </c>
      <c r="D310" s="26" t="s">
        <v>48</v>
      </c>
      <c r="E310" s="27"/>
      <c r="F310" s="27"/>
      <c r="G310" s="24"/>
      <c r="H310" s="27"/>
      <c r="I310" s="24"/>
      <c r="J310" s="27"/>
      <c r="K310" s="24"/>
      <c r="L310" s="39">
        <v>0.5</v>
      </c>
      <c r="M310" s="24">
        <f t="shared" si="74"/>
        <v>0.5</v>
      </c>
      <c r="N310" s="69"/>
      <c r="O310" s="24">
        <f t="shared" si="75"/>
        <v>0.5</v>
      </c>
      <c r="P310" s="69"/>
      <c r="Q310" s="24">
        <f t="shared" si="62"/>
        <v>0.5</v>
      </c>
      <c r="R310" s="69"/>
      <c r="S310" s="24">
        <f t="shared" si="63"/>
        <v>0.5</v>
      </c>
      <c r="T310" s="69"/>
      <c r="U310" s="24">
        <f t="shared" si="64"/>
        <v>0.5</v>
      </c>
      <c r="V310" s="69"/>
      <c r="W310" s="24">
        <f t="shared" si="65"/>
        <v>0.5</v>
      </c>
      <c r="X310" s="39">
        <v>-0.1</v>
      </c>
      <c r="Y310" s="24">
        <f t="shared" si="66"/>
        <v>0.4</v>
      </c>
      <c r="Z310" s="61">
        <v>-0.1</v>
      </c>
      <c r="AA310" s="189">
        <f t="shared" si="83"/>
        <v>0.30000000000000004</v>
      </c>
    </row>
    <row r="311" spans="1:27" s="6" customFormat="1" ht="24.75" x14ac:dyDescent="0.25">
      <c r="A311" s="22" t="s">
        <v>160</v>
      </c>
      <c r="B311" s="23" t="s">
        <v>161</v>
      </c>
      <c r="C311" s="23" t="s">
        <v>2</v>
      </c>
      <c r="D311" s="23" t="s">
        <v>2</v>
      </c>
      <c r="E311" s="24">
        <f>E324</f>
        <v>4376.3999999999996</v>
      </c>
      <c r="F311" s="24">
        <f>F324</f>
        <v>0</v>
      </c>
      <c r="G311" s="24">
        <f t="shared" si="71"/>
        <v>4376.3999999999996</v>
      </c>
      <c r="H311" s="24">
        <f>H324</f>
        <v>0</v>
      </c>
      <c r="I311" s="24">
        <f t="shared" si="72"/>
        <v>4376.3999999999996</v>
      </c>
      <c r="J311" s="24">
        <f>J324</f>
        <v>0</v>
      </c>
      <c r="K311" s="24">
        <f t="shared" si="73"/>
        <v>4376.3999999999996</v>
      </c>
      <c r="L311" s="24">
        <f>L324</f>
        <v>0</v>
      </c>
      <c r="M311" s="24">
        <f t="shared" si="74"/>
        <v>4376.3999999999996</v>
      </c>
      <c r="N311" s="24">
        <f>N324</f>
        <v>345.7</v>
      </c>
      <c r="O311" s="24">
        <f t="shared" si="75"/>
        <v>4722.0999999999995</v>
      </c>
      <c r="P311" s="24">
        <f>P324+P312</f>
        <v>684.7</v>
      </c>
      <c r="Q311" s="24">
        <f t="shared" si="62"/>
        <v>5406.7999999999993</v>
      </c>
      <c r="R311" s="24">
        <f>R324+R312</f>
        <v>-68.7</v>
      </c>
      <c r="S311" s="24">
        <f t="shared" si="63"/>
        <v>5338.0999999999995</v>
      </c>
      <c r="T311" s="24">
        <f>T324+T312</f>
        <v>253</v>
      </c>
      <c r="U311" s="24">
        <f t="shared" si="64"/>
        <v>5591.0999999999995</v>
      </c>
      <c r="V311" s="24">
        <f>V324+V312</f>
        <v>110</v>
      </c>
      <c r="W311" s="24">
        <f t="shared" si="65"/>
        <v>5701.0999999999995</v>
      </c>
      <c r="X311" s="24">
        <f>X324+X312</f>
        <v>-259.39999999999998</v>
      </c>
      <c r="Y311" s="24">
        <f t="shared" si="66"/>
        <v>5441.7</v>
      </c>
      <c r="Z311" s="189"/>
    </row>
    <row r="312" spans="1:27" s="6" customFormat="1" ht="24.75" x14ac:dyDescent="0.25">
      <c r="A312" s="45" t="s">
        <v>621</v>
      </c>
      <c r="B312" s="54" t="s">
        <v>161</v>
      </c>
      <c r="C312" s="54" t="s">
        <v>60</v>
      </c>
      <c r="D312" s="54"/>
      <c r="E312" s="47"/>
      <c r="F312" s="47"/>
      <c r="G312" s="47"/>
      <c r="H312" s="47"/>
      <c r="I312" s="47"/>
      <c r="J312" s="47"/>
      <c r="K312" s="47"/>
      <c r="L312" s="47"/>
      <c r="M312" s="47"/>
      <c r="N312" s="47"/>
      <c r="O312" s="47"/>
      <c r="P312" s="47">
        <f>P316</f>
        <v>684.7</v>
      </c>
      <c r="Q312" s="24">
        <f t="shared" si="62"/>
        <v>684.7</v>
      </c>
      <c r="R312" s="47">
        <f>R316</f>
        <v>0</v>
      </c>
      <c r="S312" s="24">
        <f t="shared" si="63"/>
        <v>684.7</v>
      </c>
      <c r="T312" s="47">
        <f>T316+T313</f>
        <v>250</v>
      </c>
      <c r="U312" s="24">
        <f t="shared" si="64"/>
        <v>934.7</v>
      </c>
      <c r="V312" s="47">
        <f>V316+V313</f>
        <v>110</v>
      </c>
      <c r="W312" s="24">
        <f t="shared" si="65"/>
        <v>1044.7</v>
      </c>
      <c r="X312" s="47">
        <f>X316+X313</f>
        <v>0</v>
      </c>
      <c r="Y312" s="24">
        <f t="shared" si="66"/>
        <v>1044.7</v>
      </c>
      <c r="Z312" s="189"/>
    </row>
    <row r="313" spans="1:27" s="6" customFormat="1" x14ac:dyDescent="0.25">
      <c r="A313" s="22" t="s">
        <v>69</v>
      </c>
      <c r="B313" s="54" t="s">
        <v>161</v>
      </c>
      <c r="C313" s="23" t="s">
        <v>70</v>
      </c>
      <c r="D313" s="23" t="s">
        <v>2</v>
      </c>
      <c r="E313" s="47"/>
      <c r="F313" s="47"/>
      <c r="G313" s="47"/>
      <c r="H313" s="47"/>
      <c r="I313" s="47"/>
      <c r="J313" s="47"/>
      <c r="K313" s="47"/>
      <c r="L313" s="47"/>
      <c r="M313" s="47"/>
      <c r="N313" s="47"/>
      <c r="O313" s="47"/>
      <c r="P313" s="47"/>
      <c r="Q313" s="24"/>
      <c r="R313" s="47"/>
      <c r="S313" s="24"/>
      <c r="T313" s="47">
        <f>T314</f>
        <v>250</v>
      </c>
      <c r="U313" s="24">
        <f t="shared" si="64"/>
        <v>250</v>
      </c>
      <c r="V313" s="47">
        <f>V314</f>
        <v>0</v>
      </c>
      <c r="W313" s="24">
        <f t="shared" si="65"/>
        <v>250</v>
      </c>
      <c r="X313" s="47">
        <f>X314</f>
        <v>0</v>
      </c>
      <c r="Y313" s="24">
        <f t="shared" si="66"/>
        <v>250</v>
      </c>
      <c r="Z313" s="189"/>
    </row>
    <row r="314" spans="1:27" s="6" customFormat="1" x14ac:dyDescent="0.25">
      <c r="A314" s="22" t="s">
        <v>67</v>
      </c>
      <c r="B314" s="54" t="s">
        <v>161</v>
      </c>
      <c r="C314" s="23" t="s">
        <v>71</v>
      </c>
      <c r="D314" s="23" t="s">
        <v>2</v>
      </c>
      <c r="E314" s="47"/>
      <c r="F314" s="47"/>
      <c r="G314" s="47"/>
      <c r="H314" s="47"/>
      <c r="I314" s="47"/>
      <c r="J314" s="47"/>
      <c r="K314" s="47"/>
      <c r="L314" s="47"/>
      <c r="M314" s="47"/>
      <c r="N314" s="47"/>
      <c r="O314" s="47"/>
      <c r="P314" s="47"/>
      <c r="Q314" s="24"/>
      <c r="R314" s="47"/>
      <c r="S314" s="24"/>
      <c r="T314" s="47">
        <f>T315</f>
        <v>250</v>
      </c>
      <c r="U314" s="24">
        <f t="shared" si="64"/>
        <v>250</v>
      </c>
      <c r="V314" s="47">
        <f>V315</f>
        <v>0</v>
      </c>
      <c r="W314" s="24">
        <f t="shared" si="65"/>
        <v>250</v>
      </c>
      <c r="X314" s="47">
        <f>X315</f>
        <v>0</v>
      </c>
      <c r="Y314" s="24">
        <f t="shared" si="66"/>
        <v>250</v>
      </c>
      <c r="Z314" s="189"/>
    </row>
    <row r="315" spans="1:27" s="6" customFormat="1" x14ac:dyDescent="0.25">
      <c r="A315" s="30" t="s">
        <v>66</v>
      </c>
      <c r="B315" s="76" t="s">
        <v>161</v>
      </c>
      <c r="C315" s="26" t="s">
        <v>71</v>
      </c>
      <c r="D315" s="26" t="s">
        <v>42</v>
      </c>
      <c r="E315" s="47"/>
      <c r="F315" s="47"/>
      <c r="G315" s="47"/>
      <c r="H315" s="47"/>
      <c r="I315" s="47"/>
      <c r="J315" s="47"/>
      <c r="K315" s="47"/>
      <c r="L315" s="47"/>
      <c r="M315" s="47"/>
      <c r="N315" s="47"/>
      <c r="O315" s="47"/>
      <c r="P315" s="47"/>
      <c r="Q315" s="24"/>
      <c r="R315" s="47"/>
      <c r="S315" s="24"/>
      <c r="T315" s="63">
        <v>250</v>
      </c>
      <c r="U315" s="24">
        <f t="shared" si="64"/>
        <v>250</v>
      </c>
      <c r="V315" s="69"/>
      <c r="W315" s="24">
        <f t="shared" si="65"/>
        <v>250</v>
      </c>
      <c r="X315" s="69"/>
      <c r="Y315" s="24">
        <f t="shared" si="66"/>
        <v>250</v>
      </c>
      <c r="Z315" s="189"/>
      <c r="AA315" s="189">
        <f>Y315+Z315</f>
        <v>250</v>
      </c>
    </row>
    <row r="316" spans="1:27" s="6" customFormat="1" ht="24.75" x14ac:dyDescent="0.25">
      <c r="A316" s="45" t="s">
        <v>90</v>
      </c>
      <c r="B316" s="54" t="s">
        <v>161</v>
      </c>
      <c r="C316" s="54" t="s">
        <v>91</v>
      </c>
      <c r="D316" s="54"/>
      <c r="E316" s="47"/>
      <c r="F316" s="47"/>
      <c r="G316" s="47"/>
      <c r="H316" s="47"/>
      <c r="I316" s="47"/>
      <c r="J316" s="47"/>
      <c r="K316" s="47"/>
      <c r="L316" s="47"/>
      <c r="M316" s="47"/>
      <c r="N316" s="47"/>
      <c r="O316" s="47"/>
      <c r="P316" s="47">
        <f>P319</f>
        <v>684.7</v>
      </c>
      <c r="Q316" s="24">
        <f t="shared" si="62"/>
        <v>684.7</v>
      </c>
      <c r="R316" s="47">
        <f>R319+R317</f>
        <v>0</v>
      </c>
      <c r="S316" s="24">
        <f t="shared" si="63"/>
        <v>684.7</v>
      </c>
      <c r="T316" s="47">
        <f>T319+T317</f>
        <v>0</v>
      </c>
      <c r="U316" s="24">
        <f t="shared" si="64"/>
        <v>684.7</v>
      </c>
      <c r="V316" s="47">
        <f>V319+V317</f>
        <v>110</v>
      </c>
      <c r="W316" s="24">
        <f t="shared" si="65"/>
        <v>794.7</v>
      </c>
      <c r="X316" s="47">
        <f>X319+X317</f>
        <v>0</v>
      </c>
      <c r="Y316" s="24">
        <f t="shared" si="66"/>
        <v>794.7</v>
      </c>
      <c r="Z316" s="189"/>
    </row>
    <row r="317" spans="1:27" s="6" customFormat="1" ht="36.75" x14ac:dyDescent="0.25">
      <c r="A317" s="22" t="s">
        <v>857</v>
      </c>
      <c r="B317" s="54" t="s">
        <v>161</v>
      </c>
      <c r="C317" s="54" t="s">
        <v>858</v>
      </c>
      <c r="D317" s="54"/>
      <c r="E317" s="47"/>
      <c r="F317" s="47"/>
      <c r="G317" s="47"/>
      <c r="H317" s="47"/>
      <c r="I317" s="47"/>
      <c r="J317" s="47"/>
      <c r="K317" s="47"/>
      <c r="L317" s="47"/>
      <c r="M317" s="47"/>
      <c r="N317" s="47"/>
      <c r="O317" s="47"/>
      <c r="P317" s="47"/>
      <c r="Q317" s="24"/>
      <c r="R317" s="47">
        <f>R318</f>
        <v>410.9</v>
      </c>
      <c r="S317" s="24">
        <f t="shared" si="63"/>
        <v>410.9</v>
      </c>
      <c r="T317" s="47">
        <f>T318</f>
        <v>0</v>
      </c>
      <c r="U317" s="24">
        <f t="shared" si="64"/>
        <v>410.9</v>
      </c>
      <c r="V317" s="47">
        <f>V318</f>
        <v>0</v>
      </c>
      <c r="W317" s="24">
        <f t="shared" si="65"/>
        <v>410.9</v>
      </c>
      <c r="X317" s="47">
        <f>X318</f>
        <v>66</v>
      </c>
      <c r="Y317" s="24">
        <f t="shared" si="66"/>
        <v>476.9</v>
      </c>
      <c r="Z317" s="189"/>
    </row>
    <row r="318" spans="1:27" s="6" customFormat="1" x14ac:dyDescent="0.25">
      <c r="A318" s="25" t="s">
        <v>66</v>
      </c>
      <c r="B318" s="76" t="s">
        <v>161</v>
      </c>
      <c r="C318" s="76" t="s">
        <v>858</v>
      </c>
      <c r="D318" s="21" t="s">
        <v>42</v>
      </c>
      <c r="E318" s="47"/>
      <c r="F318" s="47"/>
      <c r="G318" s="47"/>
      <c r="H318" s="47"/>
      <c r="I318" s="47"/>
      <c r="J318" s="47"/>
      <c r="K318" s="47"/>
      <c r="L318" s="47"/>
      <c r="M318" s="47"/>
      <c r="N318" s="47"/>
      <c r="O318" s="47"/>
      <c r="P318" s="47"/>
      <c r="Q318" s="24"/>
      <c r="R318" s="43">
        <v>410.9</v>
      </c>
      <c r="S318" s="24">
        <f t="shared" si="63"/>
        <v>410.9</v>
      </c>
      <c r="T318" s="69"/>
      <c r="U318" s="24">
        <f t="shared" si="64"/>
        <v>410.9</v>
      </c>
      <c r="V318" s="69"/>
      <c r="W318" s="24">
        <f t="shared" si="65"/>
        <v>410.9</v>
      </c>
      <c r="X318" s="43">
        <v>66</v>
      </c>
      <c r="Y318" s="24">
        <f t="shared" si="66"/>
        <v>476.9</v>
      </c>
      <c r="Z318" s="189"/>
      <c r="AA318" s="189">
        <f>Y318+Z318</f>
        <v>476.9</v>
      </c>
    </row>
    <row r="319" spans="1:27" s="6" customFormat="1" x14ac:dyDescent="0.25">
      <c r="A319" s="45" t="s">
        <v>1225</v>
      </c>
      <c r="B319" s="54" t="s">
        <v>161</v>
      </c>
      <c r="C319" s="138" t="s">
        <v>819</v>
      </c>
      <c r="D319" s="54"/>
      <c r="E319" s="47"/>
      <c r="F319" s="47"/>
      <c r="G319" s="47"/>
      <c r="H319" s="47"/>
      <c r="I319" s="47"/>
      <c r="J319" s="47"/>
      <c r="K319" s="47"/>
      <c r="L319" s="47"/>
      <c r="M319" s="47"/>
      <c r="N319" s="47"/>
      <c r="O319" s="47"/>
      <c r="P319" s="47">
        <f>P320</f>
        <v>684.7</v>
      </c>
      <c r="Q319" s="24">
        <f t="shared" si="62"/>
        <v>684.7</v>
      </c>
      <c r="R319" s="47">
        <f>R320</f>
        <v>-410.9</v>
      </c>
      <c r="S319" s="24">
        <f t="shared" si="63"/>
        <v>273.80000000000007</v>
      </c>
      <c r="T319" s="47">
        <f>T320+T322</f>
        <v>0</v>
      </c>
      <c r="U319" s="24">
        <f t="shared" si="64"/>
        <v>273.80000000000007</v>
      </c>
      <c r="V319" s="47">
        <f>V320+V322</f>
        <v>110</v>
      </c>
      <c r="W319" s="24">
        <f t="shared" si="65"/>
        <v>383.80000000000007</v>
      </c>
      <c r="X319" s="47">
        <f>X320+X322</f>
        <v>-66</v>
      </c>
      <c r="Y319" s="24">
        <f t="shared" si="66"/>
        <v>317.80000000000007</v>
      </c>
      <c r="Z319" s="189"/>
    </row>
    <row r="320" spans="1:27" s="6" customFormat="1" ht="24" x14ac:dyDescent="0.25">
      <c r="A320" s="133" t="s">
        <v>938</v>
      </c>
      <c r="B320" s="75" t="s">
        <v>161</v>
      </c>
      <c r="C320" s="134" t="s">
        <v>1094</v>
      </c>
      <c r="D320" s="76"/>
      <c r="E320" s="47"/>
      <c r="F320" s="47"/>
      <c r="G320" s="47"/>
      <c r="H320" s="83"/>
      <c r="I320" s="47"/>
      <c r="J320" s="83"/>
      <c r="K320" s="47"/>
      <c r="L320" s="83"/>
      <c r="M320" s="47"/>
      <c r="N320" s="83"/>
      <c r="O320" s="47"/>
      <c r="P320" s="79">
        <f t="shared" ref="P320:X320" si="84">P321</f>
        <v>684.7</v>
      </c>
      <c r="Q320" s="47">
        <f>O320+P320</f>
        <v>684.7</v>
      </c>
      <c r="R320" s="79">
        <f t="shared" si="84"/>
        <v>-410.9</v>
      </c>
      <c r="S320" s="47">
        <f>Q320+R320</f>
        <v>273.80000000000007</v>
      </c>
      <c r="T320" s="79">
        <f t="shared" si="84"/>
        <v>0</v>
      </c>
      <c r="U320" s="47">
        <f>S320+T320</f>
        <v>273.80000000000007</v>
      </c>
      <c r="V320" s="79">
        <f t="shared" si="84"/>
        <v>0</v>
      </c>
      <c r="W320" s="47">
        <f>U320+V320</f>
        <v>273.80000000000007</v>
      </c>
      <c r="X320" s="79">
        <f t="shared" si="84"/>
        <v>0</v>
      </c>
      <c r="Y320" s="47">
        <f>W320+X320</f>
        <v>273.80000000000007</v>
      </c>
      <c r="Z320" s="189"/>
    </row>
    <row r="321" spans="1:27" s="6" customFormat="1" x14ac:dyDescent="0.25">
      <c r="A321" s="135" t="s">
        <v>66</v>
      </c>
      <c r="B321" s="81" t="s">
        <v>161</v>
      </c>
      <c r="C321" s="136" t="s">
        <v>1094</v>
      </c>
      <c r="D321" s="81" t="s">
        <v>42</v>
      </c>
      <c r="E321" s="47"/>
      <c r="F321" s="47"/>
      <c r="G321" s="47"/>
      <c r="H321" s="83"/>
      <c r="I321" s="47"/>
      <c r="J321" s="83"/>
      <c r="K321" s="47"/>
      <c r="L321" s="83"/>
      <c r="M321" s="47"/>
      <c r="N321" s="83"/>
      <c r="O321" s="47"/>
      <c r="P321" s="95">
        <v>684.7</v>
      </c>
      <c r="Q321" s="47">
        <f>O321+P321</f>
        <v>684.7</v>
      </c>
      <c r="R321" s="80">
        <v>-410.9</v>
      </c>
      <c r="S321" s="47">
        <f>Q321+R321</f>
        <v>273.80000000000007</v>
      </c>
      <c r="T321" s="83"/>
      <c r="U321" s="47">
        <f>S321+T321</f>
        <v>273.80000000000007</v>
      </c>
      <c r="V321" s="83"/>
      <c r="W321" s="47">
        <f>U321+V321</f>
        <v>273.80000000000007</v>
      </c>
      <c r="X321" s="83"/>
      <c r="Y321" s="47">
        <f>W321+X321</f>
        <v>273.80000000000007</v>
      </c>
      <c r="Z321" s="189"/>
      <c r="AA321" s="189">
        <f>Y321+Z321</f>
        <v>273.80000000000007</v>
      </c>
    </row>
    <row r="322" spans="1:27" s="6" customFormat="1" ht="36" x14ac:dyDescent="0.25">
      <c r="A322" s="163" t="s">
        <v>1388</v>
      </c>
      <c r="B322" s="157" t="s">
        <v>161</v>
      </c>
      <c r="C322" s="157" t="s">
        <v>1389</v>
      </c>
      <c r="D322" s="155"/>
      <c r="E322" s="47"/>
      <c r="F322" s="47"/>
      <c r="G322" s="47"/>
      <c r="H322" s="83"/>
      <c r="I322" s="47"/>
      <c r="J322" s="83"/>
      <c r="K322" s="47"/>
      <c r="L322" s="83"/>
      <c r="M322" s="47"/>
      <c r="N322" s="83"/>
      <c r="O322" s="47"/>
      <c r="P322" s="95"/>
      <c r="Q322" s="47"/>
      <c r="R322" s="80"/>
      <c r="S322" s="47"/>
      <c r="T322" s="79">
        <f>T323</f>
        <v>0</v>
      </c>
      <c r="U322" s="47">
        <f t="shared" ref="U322:U323" si="85">S322+T322</f>
        <v>0</v>
      </c>
      <c r="V322" s="79">
        <f>V323</f>
        <v>110</v>
      </c>
      <c r="W322" s="47">
        <f t="shared" ref="W322:W394" si="86">U322+V322</f>
        <v>110</v>
      </c>
      <c r="X322" s="79">
        <f>X323</f>
        <v>-66</v>
      </c>
      <c r="Y322" s="47">
        <f t="shared" ref="Y322:Y394" si="87">W322+X322</f>
        <v>44</v>
      </c>
      <c r="Z322" s="189"/>
    </row>
    <row r="323" spans="1:27" s="6" customFormat="1" x14ac:dyDescent="0.25">
      <c r="A323" s="30" t="s">
        <v>66</v>
      </c>
      <c r="B323" s="159" t="s">
        <v>161</v>
      </c>
      <c r="C323" s="159" t="s">
        <v>1389</v>
      </c>
      <c r="D323" s="155">
        <v>244</v>
      </c>
      <c r="E323" s="47"/>
      <c r="F323" s="47"/>
      <c r="G323" s="47"/>
      <c r="H323" s="83"/>
      <c r="I323" s="47"/>
      <c r="J323" s="83"/>
      <c r="K323" s="47"/>
      <c r="L323" s="83"/>
      <c r="M323" s="47"/>
      <c r="N323" s="83"/>
      <c r="O323" s="47"/>
      <c r="P323" s="95"/>
      <c r="Q323" s="47"/>
      <c r="R323" s="80"/>
      <c r="S323" s="47"/>
      <c r="T323" s="83"/>
      <c r="U323" s="47">
        <f t="shared" si="85"/>
        <v>0</v>
      </c>
      <c r="V323" s="39">
        <v>110</v>
      </c>
      <c r="W323" s="47">
        <f t="shared" si="86"/>
        <v>110</v>
      </c>
      <c r="X323" s="109">
        <v>-66</v>
      </c>
      <c r="Y323" s="47">
        <f t="shared" si="87"/>
        <v>44</v>
      </c>
      <c r="Z323" s="189"/>
      <c r="AA323" s="189">
        <f>Y323+Z323</f>
        <v>44</v>
      </c>
    </row>
    <row r="324" spans="1:27" s="6" customFormat="1" ht="24.75" x14ac:dyDescent="0.25">
      <c r="A324" s="22" t="s">
        <v>591</v>
      </c>
      <c r="B324" s="23" t="s">
        <v>161</v>
      </c>
      <c r="C324" s="23" t="s">
        <v>138</v>
      </c>
      <c r="D324" s="23" t="s">
        <v>2</v>
      </c>
      <c r="E324" s="24">
        <f>E325+E334</f>
        <v>4376.3999999999996</v>
      </c>
      <c r="F324" s="24">
        <f>F325+F334</f>
        <v>0</v>
      </c>
      <c r="G324" s="24">
        <f t="shared" si="71"/>
        <v>4376.3999999999996</v>
      </c>
      <c r="H324" s="24">
        <f>H325+H334</f>
        <v>0</v>
      </c>
      <c r="I324" s="24">
        <f t="shared" si="72"/>
        <v>4376.3999999999996</v>
      </c>
      <c r="J324" s="24">
        <f>J325+J334</f>
        <v>0</v>
      </c>
      <c r="K324" s="24">
        <f t="shared" si="73"/>
        <v>4376.3999999999996</v>
      </c>
      <c r="L324" s="24">
        <f>L325+L334</f>
        <v>0</v>
      </c>
      <c r="M324" s="24">
        <f t="shared" si="74"/>
        <v>4376.3999999999996</v>
      </c>
      <c r="N324" s="24">
        <f>N325+N334</f>
        <v>345.7</v>
      </c>
      <c r="O324" s="24">
        <f t="shared" si="75"/>
        <v>4722.0999999999995</v>
      </c>
      <c r="P324" s="24">
        <f>P325+P334</f>
        <v>0</v>
      </c>
      <c r="Q324" s="24">
        <f t="shared" si="62"/>
        <v>4722.0999999999995</v>
      </c>
      <c r="R324" s="24">
        <f>R325+R334</f>
        <v>-68.7</v>
      </c>
      <c r="S324" s="24">
        <f t="shared" ref="S324:S427" si="88">Q324+R324</f>
        <v>4653.3999999999996</v>
      </c>
      <c r="T324" s="24">
        <f>T325+T334</f>
        <v>3</v>
      </c>
      <c r="U324" s="24">
        <f t="shared" ref="U324:U367" si="89">S324+T324</f>
        <v>4656.3999999999996</v>
      </c>
      <c r="V324" s="24">
        <f>V325+V334</f>
        <v>0</v>
      </c>
      <c r="W324" s="24">
        <f t="shared" si="86"/>
        <v>4656.3999999999996</v>
      </c>
      <c r="X324" s="24">
        <f>X325+X334</f>
        <v>-259.39999999999998</v>
      </c>
      <c r="Y324" s="24">
        <f t="shared" si="87"/>
        <v>4397</v>
      </c>
      <c r="Z324" s="189"/>
    </row>
    <row r="325" spans="1:27" s="6" customFormat="1" ht="24.75" x14ac:dyDescent="0.25">
      <c r="A325" s="22" t="s">
        <v>624</v>
      </c>
      <c r="B325" s="23" t="s">
        <v>161</v>
      </c>
      <c r="C325" s="23" t="s">
        <v>162</v>
      </c>
      <c r="D325" s="23" t="s">
        <v>2</v>
      </c>
      <c r="E325" s="24">
        <f>E326</f>
        <v>179</v>
      </c>
      <c r="F325" s="24">
        <f>F326</f>
        <v>0</v>
      </c>
      <c r="G325" s="24">
        <f t="shared" si="71"/>
        <v>179</v>
      </c>
      <c r="H325" s="24">
        <f>H326</f>
        <v>0</v>
      </c>
      <c r="I325" s="24">
        <f t="shared" si="72"/>
        <v>179</v>
      </c>
      <c r="J325" s="24">
        <f>J326</f>
        <v>0</v>
      </c>
      <c r="K325" s="24">
        <f t="shared" si="73"/>
        <v>179</v>
      </c>
      <c r="L325" s="24">
        <f>L326</f>
        <v>0</v>
      </c>
      <c r="M325" s="24">
        <f t="shared" si="74"/>
        <v>179</v>
      </c>
      <c r="N325" s="24">
        <f>N326</f>
        <v>0</v>
      </c>
      <c r="O325" s="24">
        <f t="shared" si="75"/>
        <v>179</v>
      </c>
      <c r="P325" s="24">
        <f>P326</f>
        <v>0</v>
      </c>
      <c r="Q325" s="24">
        <f t="shared" si="62"/>
        <v>179</v>
      </c>
      <c r="R325" s="24">
        <f>R326</f>
        <v>0</v>
      </c>
      <c r="S325" s="24">
        <f t="shared" si="88"/>
        <v>179</v>
      </c>
      <c r="T325" s="24">
        <f>T326</f>
        <v>0</v>
      </c>
      <c r="U325" s="24">
        <f t="shared" si="89"/>
        <v>179</v>
      </c>
      <c r="V325" s="24">
        <f>V326</f>
        <v>0</v>
      </c>
      <c r="W325" s="24">
        <f t="shared" si="86"/>
        <v>179</v>
      </c>
      <c r="X325" s="24">
        <f>X326</f>
        <v>15</v>
      </c>
      <c r="Y325" s="24">
        <f t="shared" si="87"/>
        <v>194</v>
      </c>
      <c r="Z325" s="189"/>
    </row>
    <row r="326" spans="1:27" x14ac:dyDescent="0.25">
      <c r="A326" s="22" t="s">
        <v>163</v>
      </c>
      <c r="B326" s="23" t="s">
        <v>161</v>
      </c>
      <c r="C326" s="23" t="s">
        <v>164</v>
      </c>
      <c r="D326" s="23" t="s">
        <v>2</v>
      </c>
      <c r="E326" s="24">
        <f>E329</f>
        <v>179</v>
      </c>
      <c r="F326" s="24">
        <f>F329</f>
        <v>0</v>
      </c>
      <c r="G326" s="24">
        <f t="shared" si="71"/>
        <v>179</v>
      </c>
      <c r="H326" s="24">
        <f>H329</f>
        <v>0</v>
      </c>
      <c r="I326" s="24">
        <f t="shared" si="72"/>
        <v>179</v>
      </c>
      <c r="J326" s="24">
        <f>J329</f>
        <v>0</v>
      </c>
      <c r="K326" s="24">
        <f t="shared" si="73"/>
        <v>179</v>
      </c>
      <c r="L326" s="24">
        <f>L329</f>
        <v>0</v>
      </c>
      <c r="M326" s="24">
        <f t="shared" si="74"/>
        <v>179</v>
      </c>
      <c r="N326" s="24">
        <f>N329</f>
        <v>0</v>
      </c>
      <c r="O326" s="24">
        <f t="shared" si="75"/>
        <v>179</v>
      </c>
      <c r="P326" s="24">
        <f>P329</f>
        <v>0</v>
      </c>
      <c r="Q326" s="24">
        <f t="shared" si="62"/>
        <v>179</v>
      </c>
      <c r="R326" s="24">
        <f>R329</f>
        <v>0</v>
      </c>
      <c r="S326" s="24">
        <f t="shared" si="88"/>
        <v>179</v>
      </c>
      <c r="T326" s="24">
        <f>T329</f>
        <v>0</v>
      </c>
      <c r="U326" s="24">
        <f t="shared" si="89"/>
        <v>179</v>
      </c>
      <c r="V326" s="24">
        <f>V329</f>
        <v>0</v>
      </c>
      <c r="W326" s="24">
        <f t="shared" si="86"/>
        <v>179</v>
      </c>
      <c r="X326" s="24">
        <f>X329+X327+X332</f>
        <v>15</v>
      </c>
      <c r="Y326" s="24">
        <f t="shared" si="87"/>
        <v>194</v>
      </c>
    </row>
    <row r="327" spans="1:27" ht="24.75" x14ac:dyDescent="0.25">
      <c r="A327" s="16" t="s">
        <v>1424</v>
      </c>
      <c r="B327" s="20" t="s">
        <v>161</v>
      </c>
      <c r="C327" s="20" t="s">
        <v>1425</v>
      </c>
      <c r="D327" s="20" t="s">
        <v>2</v>
      </c>
      <c r="E327" s="24"/>
      <c r="F327" s="24"/>
      <c r="G327" s="24"/>
      <c r="H327" s="24"/>
      <c r="I327" s="24"/>
      <c r="J327" s="24"/>
      <c r="K327" s="24"/>
      <c r="L327" s="24"/>
      <c r="M327" s="24"/>
      <c r="N327" s="24"/>
      <c r="O327" s="24"/>
      <c r="P327" s="24"/>
      <c r="Q327" s="24"/>
      <c r="R327" s="24"/>
      <c r="S327" s="24"/>
      <c r="T327" s="24"/>
      <c r="U327" s="24"/>
      <c r="V327" s="24"/>
      <c r="W327" s="24"/>
      <c r="X327" s="24">
        <f>X328</f>
        <v>15</v>
      </c>
      <c r="Y327" s="24">
        <f t="shared" si="87"/>
        <v>15</v>
      </c>
    </row>
    <row r="328" spans="1:27" x14ac:dyDescent="0.25">
      <c r="A328" s="30" t="s">
        <v>66</v>
      </c>
      <c r="B328" s="21" t="s">
        <v>161</v>
      </c>
      <c r="C328" s="21" t="s">
        <v>1425</v>
      </c>
      <c r="D328" s="21" t="s">
        <v>42</v>
      </c>
      <c r="E328" s="24"/>
      <c r="F328" s="24"/>
      <c r="G328" s="24"/>
      <c r="H328" s="24"/>
      <c r="I328" s="24"/>
      <c r="J328" s="24"/>
      <c r="K328" s="24"/>
      <c r="L328" s="24"/>
      <c r="M328" s="24"/>
      <c r="N328" s="24"/>
      <c r="O328" s="24"/>
      <c r="P328" s="24"/>
      <c r="Q328" s="24"/>
      <c r="R328" s="24"/>
      <c r="S328" s="24"/>
      <c r="T328" s="24"/>
      <c r="U328" s="24"/>
      <c r="V328" s="24"/>
      <c r="W328" s="24"/>
      <c r="X328" s="43">
        <v>15</v>
      </c>
      <c r="Y328" s="24">
        <f t="shared" si="87"/>
        <v>15</v>
      </c>
      <c r="AA328" s="189">
        <f>Y328+Z328</f>
        <v>15</v>
      </c>
    </row>
    <row r="329" spans="1:27" x14ac:dyDescent="0.25">
      <c r="A329" s="22" t="s">
        <v>165</v>
      </c>
      <c r="B329" s="23" t="s">
        <v>161</v>
      </c>
      <c r="C329" s="23" t="s">
        <v>166</v>
      </c>
      <c r="D329" s="23" t="s">
        <v>2</v>
      </c>
      <c r="E329" s="24">
        <f>E330+E331</f>
        <v>179</v>
      </c>
      <c r="F329" s="24">
        <f>F330+F331</f>
        <v>0</v>
      </c>
      <c r="G329" s="24">
        <f t="shared" si="71"/>
        <v>179</v>
      </c>
      <c r="H329" s="24">
        <f>H330+H331</f>
        <v>0</v>
      </c>
      <c r="I329" s="24">
        <f t="shared" si="72"/>
        <v>179</v>
      </c>
      <c r="J329" s="24">
        <f>J330+J331</f>
        <v>0</v>
      </c>
      <c r="K329" s="24">
        <f t="shared" si="73"/>
        <v>179</v>
      </c>
      <c r="L329" s="24">
        <f>L330+L331</f>
        <v>0</v>
      </c>
      <c r="M329" s="24">
        <f t="shared" si="74"/>
        <v>179</v>
      </c>
      <c r="N329" s="24">
        <f>N330+N331</f>
        <v>0</v>
      </c>
      <c r="O329" s="24">
        <f t="shared" si="75"/>
        <v>179</v>
      </c>
      <c r="P329" s="24">
        <f>P330+P331</f>
        <v>0</v>
      </c>
      <c r="Q329" s="24">
        <f t="shared" si="62"/>
        <v>179</v>
      </c>
      <c r="R329" s="24">
        <f>R330+R331</f>
        <v>0</v>
      </c>
      <c r="S329" s="24">
        <f t="shared" si="88"/>
        <v>179</v>
      </c>
      <c r="T329" s="24">
        <f>T330+T331</f>
        <v>0</v>
      </c>
      <c r="U329" s="24">
        <f t="shared" si="89"/>
        <v>179</v>
      </c>
      <c r="V329" s="24">
        <f>V330+V331</f>
        <v>0</v>
      </c>
      <c r="W329" s="24">
        <f t="shared" si="86"/>
        <v>179</v>
      </c>
      <c r="X329" s="24">
        <f>X330+X331</f>
        <v>-0.2</v>
      </c>
      <c r="Y329" s="24">
        <f t="shared" si="87"/>
        <v>178.8</v>
      </c>
    </row>
    <row r="330" spans="1:27" s="6" customFormat="1" x14ac:dyDescent="0.25">
      <c r="A330" s="25" t="s">
        <v>66</v>
      </c>
      <c r="B330" s="26" t="s">
        <v>161</v>
      </c>
      <c r="C330" s="26" t="s">
        <v>166</v>
      </c>
      <c r="D330" s="26" t="s">
        <v>42</v>
      </c>
      <c r="E330" s="27">
        <v>49</v>
      </c>
      <c r="F330" s="27"/>
      <c r="G330" s="24">
        <f t="shared" si="71"/>
        <v>49</v>
      </c>
      <c r="H330" s="27"/>
      <c r="I330" s="24">
        <f t="shared" si="72"/>
        <v>49</v>
      </c>
      <c r="J330" s="27"/>
      <c r="K330" s="24">
        <f t="shared" si="73"/>
        <v>49</v>
      </c>
      <c r="L330" s="27"/>
      <c r="M330" s="24">
        <f t="shared" si="74"/>
        <v>49</v>
      </c>
      <c r="N330" s="27"/>
      <c r="O330" s="24">
        <f t="shared" si="75"/>
        <v>49</v>
      </c>
      <c r="P330" s="27"/>
      <c r="Q330" s="24">
        <f t="shared" si="62"/>
        <v>49</v>
      </c>
      <c r="R330" s="27"/>
      <c r="S330" s="24">
        <f t="shared" si="88"/>
        <v>49</v>
      </c>
      <c r="T330" s="69"/>
      <c r="U330" s="24">
        <f t="shared" si="89"/>
        <v>49</v>
      </c>
      <c r="V330" s="94">
        <v>5</v>
      </c>
      <c r="W330" s="24">
        <f t="shared" si="86"/>
        <v>54</v>
      </c>
      <c r="X330" s="69"/>
      <c r="Y330" s="24">
        <f t="shared" si="87"/>
        <v>54</v>
      </c>
      <c r="Z330" s="189"/>
      <c r="AA330" s="189">
        <f t="shared" ref="AA330:AA331" si="90">Y330+Z330</f>
        <v>54</v>
      </c>
    </row>
    <row r="331" spans="1:27" s="6" customFormat="1" x14ac:dyDescent="0.25">
      <c r="A331" s="25" t="s">
        <v>571</v>
      </c>
      <c r="B331" s="26" t="s">
        <v>161</v>
      </c>
      <c r="C331" s="26" t="s">
        <v>166</v>
      </c>
      <c r="D331" s="26" t="s">
        <v>154</v>
      </c>
      <c r="E331" s="27">
        <v>130</v>
      </c>
      <c r="F331" s="27"/>
      <c r="G331" s="24">
        <f t="shared" si="71"/>
        <v>130</v>
      </c>
      <c r="H331" s="27"/>
      <c r="I331" s="24">
        <f t="shared" si="72"/>
        <v>130</v>
      </c>
      <c r="J331" s="27"/>
      <c r="K331" s="24">
        <f t="shared" si="73"/>
        <v>130</v>
      </c>
      <c r="L331" s="27"/>
      <c r="M331" s="24">
        <f t="shared" si="74"/>
        <v>130</v>
      </c>
      <c r="N331" s="27"/>
      <c r="O331" s="24">
        <f t="shared" si="75"/>
        <v>130</v>
      </c>
      <c r="P331" s="27"/>
      <c r="Q331" s="24">
        <f t="shared" si="62"/>
        <v>130</v>
      </c>
      <c r="R331" s="27"/>
      <c r="S331" s="24">
        <f t="shared" si="88"/>
        <v>130</v>
      </c>
      <c r="T331" s="69"/>
      <c r="U331" s="24">
        <f t="shared" si="89"/>
        <v>130</v>
      </c>
      <c r="V331" s="94">
        <v>-5</v>
      </c>
      <c r="W331" s="24">
        <f t="shared" si="86"/>
        <v>125</v>
      </c>
      <c r="X331" s="39">
        <v>-0.2</v>
      </c>
      <c r="Y331" s="24">
        <f t="shared" si="87"/>
        <v>124.8</v>
      </c>
      <c r="Z331" s="189">
        <v>-0.2</v>
      </c>
      <c r="AA331" s="189">
        <f t="shared" si="90"/>
        <v>124.6</v>
      </c>
    </row>
    <row r="332" spans="1:27" s="6" customFormat="1" ht="24.75" x14ac:dyDescent="0.25">
      <c r="A332" s="25" t="s">
        <v>1426</v>
      </c>
      <c r="B332" s="20" t="s">
        <v>161</v>
      </c>
      <c r="C332" s="20" t="s">
        <v>1427</v>
      </c>
      <c r="D332" s="20" t="s">
        <v>2</v>
      </c>
      <c r="E332" s="27"/>
      <c r="F332" s="27"/>
      <c r="G332" s="24"/>
      <c r="H332" s="27"/>
      <c r="I332" s="24"/>
      <c r="J332" s="27"/>
      <c r="K332" s="24"/>
      <c r="L332" s="27"/>
      <c r="M332" s="24"/>
      <c r="N332" s="27"/>
      <c r="O332" s="24"/>
      <c r="P332" s="27"/>
      <c r="Q332" s="24"/>
      <c r="R332" s="27"/>
      <c r="S332" s="24"/>
      <c r="T332" s="69"/>
      <c r="U332" s="24"/>
      <c r="V332" s="94"/>
      <c r="W332" s="24"/>
      <c r="X332" s="47">
        <f>X333</f>
        <v>0.2</v>
      </c>
      <c r="Y332" s="24">
        <f t="shared" si="87"/>
        <v>0.2</v>
      </c>
      <c r="Z332" s="189"/>
      <c r="AA332" s="189"/>
    </row>
    <row r="333" spans="1:27" s="6" customFormat="1" x14ac:dyDescent="0.25">
      <c r="A333" s="25" t="s">
        <v>66</v>
      </c>
      <c r="B333" s="21" t="s">
        <v>161</v>
      </c>
      <c r="C333" s="21" t="s">
        <v>1427</v>
      </c>
      <c r="D333" s="21" t="s">
        <v>42</v>
      </c>
      <c r="E333" s="27"/>
      <c r="F333" s="27"/>
      <c r="G333" s="24"/>
      <c r="H333" s="27"/>
      <c r="I333" s="24"/>
      <c r="J333" s="27"/>
      <c r="K333" s="24"/>
      <c r="L333" s="27"/>
      <c r="M333" s="24"/>
      <c r="N333" s="27"/>
      <c r="O333" s="24"/>
      <c r="P333" s="27"/>
      <c r="Q333" s="24"/>
      <c r="R333" s="27"/>
      <c r="S333" s="24"/>
      <c r="T333" s="69"/>
      <c r="U333" s="24"/>
      <c r="V333" s="94"/>
      <c r="W333" s="24"/>
      <c r="X333" s="39">
        <v>0.2</v>
      </c>
      <c r="Y333" s="24">
        <f t="shared" si="87"/>
        <v>0.2</v>
      </c>
      <c r="Z333" s="189">
        <v>0.2</v>
      </c>
      <c r="AA333" s="189">
        <f>Y333+Z333</f>
        <v>0.4</v>
      </c>
    </row>
    <row r="334" spans="1:27" s="6" customFormat="1" ht="24.75" x14ac:dyDescent="0.25">
      <c r="A334" s="22" t="s">
        <v>623</v>
      </c>
      <c r="B334" s="23" t="s">
        <v>161</v>
      </c>
      <c r="C334" s="23" t="s">
        <v>139</v>
      </c>
      <c r="D334" s="23" t="s">
        <v>2</v>
      </c>
      <c r="E334" s="24">
        <f>E335+E338</f>
        <v>4197.3999999999996</v>
      </c>
      <c r="F334" s="24">
        <f>F335+F338</f>
        <v>0</v>
      </c>
      <c r="G334" s="24">
        <f t="shared" si="71"/>
        <v>4197.3999999999996</v>
      </c>
      <c r="H334" s="24">
        <f>H335+H338</f>
        <v>0</v>
      </c>
      <c r="I334" s="24">
        <f t="shared" si="72"/>
        <v>4197.3999999999996</v>
      </c>
      <c r="J334" s="24">
        <f>J335+J338</f>
        <v>0</v>
      </c>
      <c r="K334" s="24">
        <f t="shared" si="73"/>
        <v>4197.3999999999996</v>
      </c>
      <c r="L334" s="24">
        <f>L335+L338</f>
        <v>0</v>
      </c>
      <c r="M334" s="24">
        <f t="shared" si="74"/>
        <v>4197.3999999999996</v>
      </c>
      <c r="N334" s="24">
        <f>N335+N338</f>
        <v>345.7</v>
      </c>
      <c r="O334" s="24">
        <f t="shared" si="75"/>
        <v>4543.0999999999995</v>
      </c>
      <c r="P334" s="24">
        <f>P335+P338</f>
        <v>0</v>
      </c>
      <c r="Q334" s="24">
        <f t="shared" si="62"/>
        <v>4543.0999999999995</v>
      </c>
      <c r="R334" s="24">
        <f>R335+R338</f>
        <v>-68.7</v>
      </c>
      <c r="S334" s="24">
        <f t="shared" si="88"/>
        <v>4474.3999999999996</v>
      </c>
      <c r="T334" s="24">
        <f>T335+T338</f>
        <v>3</v>
      </c>
      <c r="U334" s="24">
        <f t="shared" si="89"/>
        <v>4477.3999999999996</v>
      </c>
      <c r="V334" s="24">
        <f>V335+V338</f>
        <v>0</v>
      </c>
      <c r="W334" s="24">
        <f t="shared" si="86"/>
        <v>4477.3999999999996</v>
      </c>
      <c r="X334" s="24">
        <f>X335+X338</f>
        <v>-274.39999999999998</v>
      </c>
      <c r="Y334" s="24">
        <f t="shared" si="87"/>
        <v>4203</v>
      </c>
      <c r="Z334" s="189"/>
    </row>
    <row r="335" spans="1:27" ht="36.75" x14ac:dyDescent="0.25">
      <c r="A335" s="22" t="s">
        <v>150</v>
      </c>
      <c r="B335" s="23" t="s">
        <v>161</v>
      </c>
      <c r="C335" s="23" t="s">
        <v>151</v>
      </c>
      <c r="D335" s="23" t="s">
        <v>2</v>
      </c>
      <c r="E335" s="24">
        <f>E336</f>
        <v>2997.4</v>
      </c>
      <c r="F335" s="24">
        <f>F336</f>
        <v>0</v>
      </c>
      <c r="G335" s="24">
        <f t="shared" si="71"/>
        <v>2997.4</v>
      </c>
      <c r="H335" s="24">
        <f>H336</f>
        <v>0</v>
      </c>
      <c r="I335" s="24">
        <f t="shared" si="72"/>
        <v>2997.4</v>
      </c>
      <c r="J335" s="24">
        <f>J336</f>
        <v>0</v>
      </c>
      <c r="K335" s="24">
        <f t="shared" si="73"/>
        <v>2997.4</v>
      </c>
      <c r="L335" s="24">
        <f>L336</f>
        <v>0</v>
      </c>
      <c r="M335" s="24">
        <f t="shared" si="74"/>
        <v>2997.4</v>
      </c>
      <c r="N335" s="24">
        <f>N336</f>
        <v>0</v>
      </c>
      <c r="O335" s="24">
        <f t="shared" si="75"/>
        <v>2997.4</v>
      </c>
      <c r="P335" s="24">
        <f>P336</f>
        <v>0</v>
      </c>
      <c r="Q335" s="24">
        <f t="shared" si="62"/>
        <v>2997.4</v>
      </c>
      <c r="R335" s="24">
        <f>R336</f>
        <v>0</v>
      </c>
      <c r="S335" s="24">
        <f t="shared" si="88"/>
        <v>2997.4</v>
      </c>
      <c r="T335" s="24">
        <f>T336</f>
        <v>0</v>
      </c>
      <c r="U335" s="24">
        <f t="shared" si="89"/>
        <v>2997.4</v>
      </c>
      <c r="V335" s="24">
        <f>V336</f>
        <v>0</v>
      </c>
      <c r="W335" s="24">
        <f t="shared" si="86"/>
        <v>2997.4</v>
      </c>
      <c r="X335" s="24">
        <f>X336</f>
        <v>-271.39999999999998</v>
      </c>
      <c r="Y335" s="24">
        <f t="shared" si="87"/>
        <v>2726</v>
      </c>
    </row>
    <row r="336" spans="1:27" s="6" customFormat="1" x14ac:dyDescent="0.25">
      <c r="A336" s="22" t="s">
        <v>167</v>
      </c>
      <c r="B336" s="23" t="s">
        <v>161</v>
      </c>
      <c r="C336" s="23" t="s">
        <v>168</v>
      </c>
      <c r="D336" s="23" t="s">
        <v>2</v>
      </c>
      <c r="E336" s="24">
        <f>E337</f>
        <v>2997.4</v>
      </c>
      <c r="F336" s="24">
        <f>F337</f>
        <v>0</v>
      </c>
      <c r="G336" s="24">
        <f t="shared" si="71"/>
        <v>2997.4</v>
      </c>
      <c r="H336" s="24">
        <f>H337</f>
        <v>0</v>
      </c>
      <c r="I336" s="24">
        <f t="shared" si="72"/>
        <v>2997.4</v>
      </c>
      <c r="J336" s="24">
        <f>J337</f>
        <v>0</v>
      </c>
      <c r="K336" s="24">
        <f t="shared" si="73"/>
        <v>2997.4</v>
      </c>
      <c r="L336" s="24">
        <f>L337</f>
        <v>0</v>
      </c>
      <c r="M336" s="24">
        <f t="shared" si="74"/>
        <v>2997.4</v>
      </c>
      <c r="N336" s="24">
        <f>N337</f>
        <v>0</v>
      </c>
      <c r="O336" s="24">
        <f t="shared" si="75"/>
        <v>2997.4</v>
      </c>
      <c r="P336" s="24">
        <f>P337</f>
        <v>0</v>
      </c>
      <c r="Q336" s="24">
        <f t="shared" si="62"/>
        <v>2997.4</v>
      </c>
      <c r="R336" s="24">
        <f>R337</f>
        <v>0</v>
      </c>
      <c r="S336" s="24">
        <f t="shared" si="88"/>
        <v>2997.4</v>
      </c>
      <c r="T336" s="24">
        <f>T337</f>
        <v>0</v>
      </c>
      <c r="U336" s="24">
        <f t="shared" si="89"/>
        <v>2997.4</v>
      </c>
      <c r="V336" s="24">
        <f>V337</f>
        <v>0</v>
      </c>
      <c r="W336" s="24">
        <f t="shared" si="86"/>
        <v>2997.4</v>
      </c>
      <c r="X336" s="24">
        <f>X337</f>
        <v>-271.39999999999998</v>
      </c>
      <c r="Y336" s="24">
        <f t="shared" si="87"/>
        <v>2726</v>
      </c>
      <c r="Z336" s="189"/>
    </row>
    <row r="337" spans="1:27" s="6" customFormat="1" x14ac:dyDescent="0.25">
      <c r="A337" s="25" t="s">
        <v>66</v>
      </c>
      <c r="B337" s="26" t="s">
        <v>161</v>
      </c>
      <c r="C337" s="26" t="s">
        <v>168</v>
      </c>
      <c r="D337" s="26" t="s">
        <v>42</v>
      </c>
      <c r="E337" s="27">
        <v>2997.4</v>
      </c>
      <c r="F337" s="27"/>
      <c r="G337" s="24">
        <f t="shared" si="71"/>
        <v>2997.4</v>
      </c>
      <c r="H337" s="27"/>
      <c r="I337" s="24">
        <f t="shared" si="72"/>
        <v>2997.4</v>
      </c>
      <c r="J337" s="27"/>
      <c r="K337" s="24">
        <f t="shared" si="73"/>
        <v>2997.4</v>
      </c>
      <c r="L337" s="27"/>
      <c r="M337" s="24">
        <f t="shared" si="74"/>
        <v>2997.4</v>
      </c>
      <c r="N337" s="86">
        <f>400-400</f>
        <v>0</v>
      </c>
      <c r="O337" s="24">
        <f t="shared" si="75"/>
        <v>2997.4</v>
      </c>
      <c r="P337" s="69"/>
      <c r="Q337" s="24">
        <f t="shared" si="62"/>
        <v>2997.4</v>
      </c>
      <c r="R337" s="69"/>
      <c r="S337" s="24">
        <f t="shared" si="88"/>
        <v>2997.4</v>
      </c>
      <c r="T337" s="69"/>
      <c r="U337" s="24">
        <f t="shared" si="89"/>
        <v>2997.4</v>
      </c>
      <c r="V337" s="69"/>
      <c r="W337" s="24">
        <f t="shared" si="86"/>
        <v>2997.4</v>
      </c>
      <c r="X337" s="39">
        <v>-271.39999999999998</v>
      </c>
      <c r="Y337" s="24">
        <f t="shared" si="87"/>
        <v>2726</v>
      </c>
      <c r="Z337" s="189">
        <v>-271.39999999999998</v>
      </c>
      <c r="AA337" s="189">
        <f>Y337+Z337</f>
        <v>2454.6</v>
      </c>
    </row>
    <row r="338" spans="1:27" ht="36.75" x14ac:dyDescent="0.25">
      <c r="A338" s="22" t="s">
        <v>140</v>
      </c>
      <c r="B338" s="23" t="s">
        <v>161</v>
      </c>
      <c r="C338" s="23" t="s">
        <v>141</v>
      </c>
      <c r="D338" s="23" t="s">
        <v>2</v>
      </c>
      <c r="E338" s="24">
        <f>E339</f>
        <v>1200</v>
      </c>
      <c r="F338" s="24">
        <f>F339</f>
        <v>0</v>
      </c>
      <c r="G338" s="24">
        <f t="shared" si="71"/>
        <v>1200</v>
      </c>
      <c r="H338" s="24">
        <f>H339</f>
        <v>0</v>
      </c>
      <c r="I338" s="24">
        <f t="shared" si="72"/>
        <v>1200</v>
      </c>
      <c r="J338" s="24">
        <f>J339</f>
        <v>0</v>
      </c>
      <c r="K338" s="24">
        <f t="shared" si="73"/>
        <v>1200</v>
      </c>
      <c r="L338" s="24">
        <f>L339</f>
        <v>0</v>
      </c>
      <c r="M338" s="24">
        <f t="shared" si="74"/>
        <v>1200</v>
      </c>
      <c r="N338" s="24">
        <f>N339</f>
        <v>345.7</v>
      </c>
      <c r="O338" s="24">
        <f t="shared" si="75"/>
        <v>1545.7</v>
      </c>
      <c r="P338" s="24">
        <f>P339</f>
        <v>0</v>
      </c>
      <c r="Q338" s="24">
        <f t="shared" si="62"/>
        <v>1545.7</v>
      </c>
      <c r="R338" s="24">
        <f>R339</f>
        <v>-68.7</v>
      </c>
      <c r="S338" s="24">
        <f t="shared" si="88"/>
        <v>1477</v>
      </c>
      <c r="T338" s="24">
        <f>T339</f>
        <v>3</v>
      </c>
      <c r="U338" s="24">
        <f t="shared" si="89"/>
        <v>1480</v>
      </c>
      <c r="V338" s="24">
        <f>V339</f>
        <v>0</v>
      </c>
      <c r="W338" s="24">
        <f t="shared" si="86"/>
        <v>1480</v>
      </c>
      <c r="X338" s="24">
        <f>X339</f>
        <v>-3</v>
      </c>
      <c r="Y338" s="24">
        <f t="shared" si="87"/>
        <v>1477</v>
      </c>
    </row>
    <row r="339" spans="1:27" ht="24.75" x14ac:dyDescent="0.25">
      <c r="A339" s="22" t="s">
        <v>142</v>
      </c>
      <c r="B339" s="23" t="s">
        <v>161</v>
      </c>
      <c r="C339" s="23" t="s">
        <v>143</v>
      </c>
      <c r="D339" s="23" t="s">
        <v>2</v>
      </c>
      <c r="E339" s="24">
        <f>E340</f>
        <v>1200</v>
      </c>
      <c r="F339" s="24">
        <f>F340</f>
        <v>0</v>
      </c>
      <c r="G339" s="24">
        <f t="shared" si="71"/>
        <v>1200</v>
      </c>
      <c r="H339" s="24">
        <f>H340+H341</f>
        <v>0</v>
      </c>
      <c r="I339" s="24">
        <f t="shared" si="72"/>
        <v>1200</v>
      </c>
      <c r="J339" s="24">
        <f>J340+J341</f>
        <v>0</v>
      </c>
      <c r="K339" s="24">
        <f t="shared" si="73"/>
        <v>1200</v>
      </c>
      <c r="L339" s="24">
        <f>L340+L341</f>
        <v>0</v>
      </c>
      <c r="M339" s="24">
        <f t="shared" si="74"/>
        <v>1200</v>
      </c>
      <c r="N339" s="24">
        <f>N340+N341</f>
        <v>345.7</v>
      </c>
      <c r="O339" s="24">
        <f t="shared" si="75"/>
        <v>1545.7</v>
      </c>
      <c r="P339" s="24">
        <f>P340+P341</f>
        <v>0</v>
      </c>
      <c r="Q339" s="24">
        <f t="shared" si="62"/>
        <v>1545.7</v>
      </c>
      <c r="R339" s="24">
        <f>R340+R341</f>
        <v>-68.7</v>
      </c>
      <c r="S339" s="24">
        <f t="shared" si="88"/>
        <v>1477</v>
      </c>
      <c r="T339" s="24">
        <f>T340+T341</f>
        <v>3</v>
      </c>
      <c r="U339" s="24">
        <f t="shared" si="89"/>
        <v>1480</v>
      </c>
      <c r="V339" s="24">
        <f>V340+V341</f>
        <v>0</v>
      </c>
      <c r="W339" s="24">
        <f t="shared" si="86"/>
        <v>1480</v>
      </c>
      <c r="X339" s="24">
        <f>X340+X341</f>
        <v>-3</v>
      </c>
      <c r="Y339" s="24">
        <f t="shared" si="87"/>
        <v>1477</v>
      </c>
    </row>
    <row r="340" spans="1:27" s="6" customFormat="1" x14ac:dyDescent="0.25">
      <c r="A340" s="25" t="s">
        <v>66</v>
      </c>
      <c r="B340" s="26" t="s">
        <v>161</v>
      </c>
      <c r="C340" s="26" t="s">
        <v>143</v>
      </c>
      <c r="D340" s="26" t="s">
        <v>42</v>
      </c>
      <c r="E340" s="27">
        <v>1200</v>
      </c>
      <c r="F340" s="27"/>
      <c r="G340" s="24">
        <f t="shared" si="71"/>
        <v>1200</v>
      </c>
      <c r="H340" s="39">
        <v>-1200</v>
      </c>
      <c r="I340" s="24">
        <f t="shared" si="72"/>
        <v>0</v>
      </c>
      <c r="J340" s="69"/>
      <c r="K340" s="24">
        <f t="shared" si="73"/>
        <v>0</v>
      </c>
      <c r="L340" s="69"/>
      <c r="M340" s="24">
        <f t="shared" si="74"/>
        <v>0</v>
      </c>
      <c r="N340" s="39">
        <v>258.5</v>
      </c>
      <c r="O340" s="24">
        <f t="shared" si="75"/>
        <v>258.5</v>
      </c>
      <c r="P340" s="69"/>
      <c r="Q340" s="24">
        <f t="shared" si="62"/>
        <v>258.5</v>
      </c>
      <c r="R340" s="39">
        <f>-121.1+17.1</f>
        <v>-104</v>
      </c>
      <c r="S340" s="24">
        <f t="shared" si="88"/>
        <v>154.5</v>
      </c>
      <c r="T340" s="63">
        <v>3</v>
      </c>
      <c r="U340" s="24">
        <f t="shared" si="89"/>
        <v>157.5</v>
      </c>
      <c r="V340" s="69"/>
      <c r="W340" s="24">
        <f t="shared" si="86"/>
        <v>157.5</v>
      </c>
      <c r="X340" s="39">
        <v>-3</v>
      </c>
      <c r="Y340" s="24">
        <f t="shared" si="87"/>
        <v>154.5</v>
      </c>
      <c r="Z340" s="189">
        <v>-3</v>
      </c>
      <c r="AA340" s="189">
        <f t="shared" ref="AA340:AA341" si="91">Y340+Z340</f>
        <v>151.5</v>
      </c>
    </row>
    <row r="341" spans="1:27" s="6" customFormat="1" x14ac:dyDescent="0.25">
      <c r="A341" s="25" t="s">
        <v>321</v>
      </c>
      <c r="B341" s="26" t="s">
        <v>161</v>
      </c>
      <c r="C341" s="26" t="s">
        <v>143</v>
      </c>
      <c r="D341" s="26" t="s">
        <v>322</v>
      </c>
      <c r="E341" s="27"/>
      <c r="F341" s="27"/>
      <c r="G341" s="24"/>
      <c r="H341" s="39">
        <v>1200</v>
      </c>
      <c r="I341" s="24">
        <f t="shared" si="72"/>
        <v>1200</v>
      </c>
      <c r="J341" s="69"/>
      <c r="K341" s="24">
        <f t="shared" si="73"/>
        <v>1200</v>
      </c>
      <c r="L341" s="69"/>
      <c r="M341" s="24">
        <f t="shared" si="74"/>
        <v>1200</v>
      </c>
      <c r="N341" s="39">
        <v>87.2</v>
      </c>
      <c r="O341" s="24">
        <f t="shared" si="75"/>
        <v>1287.2</v>
      </c>
      <c r="P341" s="69"/>
      <c r="Q341" s="24">
        <f t="shared" si="62"/>
        <v>1287.2</v>
      </c>
      <c r="R341" s="39">
        <v>35.299999999999997</v>
      </c>
      <c r="S341" s="24">
        <f t="shared" si="88"/>
        <v>1322.5</v>
      </c>
      <c r="T341" s="69"/>
      <c r="U341" s="24">
        <f t="shared" si="89"/>
        <v>1322.5</v>
      </c>
      <c r="V341" s="69"/>
      <c r="W341" s="24">
        <f t="shared" si="86"/>
        <v>1322.5</v>
      </c>
      <c r="X341" s="69"/>
      <c r="Y341" s="24">
        <f t="shared" si="87"/>
        <v>1322.5</v>
      </c>
      <c r="Z341" s="189"/>
      <c r="AA341" s="189">
        <f t="shared" si="91"/>
        <v>1322.5</v>
      </c>
    </row>
    <row r="342" spans="1:27" s="6" customFormat="1" x14ac:dyDescent="0.25">
      <c r="A342" s="34" t="s">
        <v>169</v>
      </c>
      <c r="B342" s="35" t="s">
        <v>170</v>
      </c>
      <c r="C342" s="35" t="s">
        <v>2</v>
      </c>
      <c r="D342" s="35" t="s">
        <v>2</v>
      </c>
      <c r="E342" s="36">
        <f>E343+E368+E798</f>
        <v>164421.29999999999</v>
      </c>
      <c r="F342" s="36">
        <f>F343+F368+F798+F356</f>
        <v>49615.7</v>
      </c>
      <c r="G342" s="36">
        <f t="shared" si="71"/>
        <v>214037</v>
      </c>
      <c r="H342" s="36">
        <f>H343+H368+H798+H356</f>
        <v>279360.40000000002</v>
      </c>
      <c r="I342" s="36">
        <f t="shared" si="72"/>
        <v>493397.4</v>
      </c>
      <c r="J342" s="36">
        <f>J343+J368+J798+J356</f>
        <v>121.1</v>
      </c>
      <c r="K342" s="36">
        <f t="shared" si="73"/>
        <v>493518.5</v>
      </c>
      <c r="L342" s="36">
        <f>L343+L368+L798+L356</f>
        <v>-49470.200000000004</v>
      </c>
      <c r="M342" s="36">
        <f t="shared" si="74"/>
        <v>444048.3</v>
      </c>
      <c r="N342" s="36">
        <f>N343+N368+N798+N356</f>
        <v>20815.2</v>
      </c>
      <c r="O342" s="36">
        <f t="shared" si="75"/>
        <v>464863.5</v>
      </c>
      <c r="P342" s="36">
        <f>P343+P368+P798+P356</f>
        <v>225816.5</v>
      </c>
      <c r="Q342" s="36">
        <f t="shared" ref="Q342:Q863" si="92">O342+P342</f>
        <v>690680</v>
      </c>
      <c r="R342" s="36">
        <f>R343+R368+R798+R356</f>
        <v>16848.300000000021</v>
      </c>
      <c r="S342" s="36">
        <f t="shared" si="88"/>
        <v>707528.3</v>
      </c>
      <c r="T342" s="36">
        <f>T343+T368+T798+T356</f>
        <v>826.40000000000009</v>
      </c>
      <c r="U342" s="36">
        <f t="shared" si="89"/>
        <v>708354.70000000007</v>
      </c>
      <c r="V342" s="36">
        <f>V343+V368+V798+V356</f>
        <v>45193.900000000009</v>
      </c>
      <c r="W342" s="36">
        <f t="shared" si="86"/>
        <v>753548.60000000009</v>
      </c>
      <c r="X342" s="36">
        <f>X343+X368+X798+X356</f>
        <v>21097.300000000007</v>
      </c>
      <c r="Y342" s="36">
        <f t="shared" si="87"/>
        <v>774645.90000000014</v>
      </c>
      <c r="Z342" s="189"/>
    </row>
    <row r="343" spans="1:27" s="6" customFormat="1" x14ac:dyDescent="0.25">
      <c r="A343" s="22" t="s">
        <v>171</v>
      </c>
      <c r="B343" s="23" t="s">
        <v>172</v>
      </c>
      <c r="C343" s="23" t="s">
        <v>2</v>
      </c>
      <c r="D343" s="23" t="s">
        <v>2</v>
      </c>
      <c r="E343" s="24">
        <f t="shared" ref="E343:X347" si="93">E344</f>
        <v>6.7</v>
      </c>
      <c r="F343" s="24">
        <f t="shared" si="93"/>
        <v>2.2000000000000002</v>
      </c>
      <c r="G343" s="24">
        <f t="shared" si="71"/>
        <v>8.9</v>
      </c>
      <c r="H343" s="24">
        <f t="shared" si="93"/>
        <v>0</v>
      </c>
      <c r="I343" s="24">
        <f t="shared" si="72"/>
        <v>8.9</v>
      </c>
      <c r="J343" s="24">
        <f t="shared" si="93"/>
        <v>0</v>
      </c>
      <c r="K343" s="24">
        <f t="shared" si="73"/>
        <v>8.9</v>
      </c>
      <c r="L343" s="24">
        <f t="shared" si="93"/>
        <v>0</v>
      </c>
      <c r="M343" s="24">
        <f t="shared" si="74"/>
        <v>8.9</v>
      </c>
      <c r="N343" s="24">
        <f t="shared" si="93"/>
        <v>100</v>
      </c>
      <c r="O343" s="24">
        <f t="shared" si="75"/>
        <v>108.9</v>
      </c>
      <c r="P343" s="24">
        <f t="shared" si="93"/>
        <v>0</v>
      </c>
      <c r="Q343" s="24">
        <f t="shared" si="92"/>
        <v>108.9</v>
      </c>
      <c r="R343" s="24">
        <f t="shared" si="93"/>
        <v>0</v>
      </c>
      <c r="S343" s="24">
        <f t="shared" si="88"/>
        <v>108.9</v>
      </c>
      <c r="T343" s="24">
        <f t="shared" si="93"/>
        <v>0</v>
      </c>
      <c r="U343" s="24">
        <f t="shared" si="89"/>
        <v>108.9</v>
      </c>
      <c r="V343" s="24">
        <f t="shared" si="93"/>
        <v>0</v>
      </c>
      <c r="W343" s="24">
        <f t="shared" si="86"/>
        <v>108.9</v>
      </c>
      <c r="X343" s="24">
        <f>X344+X351</f>
        <v>464.7</v>
      </c>
      <c r="Y343" s="24">
        <f t="shared" si="87"/>
        <v>573.6</v>
      </c>
      <c r="Z343" s="189"/>
    </row>
    <row r="344" spans="1:27" s="6" customFormat="1" ht="24.75" x14ac:dyDescent="0.25">
      <c r="A344" s="22" t="s">
        <v>173</v>
      </c>
      <c r="B344" s="23" t="s">
        <v>172</v>
      </c>
      <c r="C344" s="23" t="s">
        <v>174</v>
      </c>
      <c r="D344" s="23" t="s">
        <v>2</v>
      </c>
      <c r="E344" s="24">
        <f t="shared" si="93"/>
        <v>6.7</v>
      </c>
      <c r="F344" s="24">
        <f t="shared" si="93"/>
        <v>2.2000000000000002</v>
      </c>
      <c r="G344" s="24">
        <f t="shared" si="71"/>
        <v>8.9</v>
      </c>
      <c r="H344" s="24">
        <f t="shared" si="93"/>
        <v>0</v>
      </c>
      <c r="I344" s="24">
        <f t="shared" si="72"/>
        <v>8.9</v>
      </c>
      <c r="J344" s="24">
        <f t="shared" si="93"/>
        <v>0</v>
      </c>
      <c r="K344" s="24">
        <f t="shared" si="73"/>
        <v>8.9</v>
      </c>
      <c r="L344" s="24">
        <f t="shared" si="93"/>
        <v>0</v>
      </c>
      <c r="M344" s="24">
        <f t="shared" si="74"/>
        <v>8.9</v>
      </c>
      <c r="N344" s="24">
        <f t="shared" si="93"/>
        <v>100</v>
      </c>
      <c r="O344" s="24">
        <f t="shared" si="75"/>
        <v>108.9</v>
      </c>
      <c r="P344" s="24">
        <f t="shared" si="93"/>
        <v>0</v>
      </c>
      <c r="Q344" s="24">
        <f t="shared" si="92"/>
        <v>108.9</v>
      </c>
      <c r="R344" s="24">
        <f t="shared" si="93"/>
        <v>0</v>
      </c>
      <c r="S344" s="24">
        <f t="shared" si="88"/>
        <v>108.9</v>
      </c>
      <c r="T344" s="24">
        <f t="shared" si="93"/>
        <v>0</v>
      </c>
      <c r="U344" s="24">
        <f t="shared" si="89"/>
        <v>108.9</v>
      </c>
      <c r="V344" s="24">
        <f t="shared" si="93"/>
        <v>0</v>
      </c>
      <c r="W344" s="24">
        <f t="shared" si="86"/>
        <v>108.9</v>
      </c>
      <c r="X344" s="24">
        <f t="shared" si="93"/>
        <v>-35.299999999999997</v>
      </c>
      <c r="Y344" s="24">
        <f t="shared" si="87"/>
        <v>73.600000000000009</v>
      </c>
      <c r="Z344" s="189"/>
    </row>
    <row r="345" spans="1:27" s="6" customFormat="1" ht="24.75" x14ac:dyDescent="0.25">
      <c r="A345" s="22" t="s">
        <v>175</v>
      </c>
      <c r="B345" s="23" t="s">
        <v>172</v>
      </c>
      <c r="C345" s="23" t="s">
        <v>176</v>
      </c>
      <c r="D345" s="23" t="s">
        <v>2</v>
      </c>
      <c r="E345" s="24">
        <f t="shared" si="93"/>
        <v>6.7</v>
      </c>
      <c r="F345" s="24">
        <f t="shared" si="93"/>
        <v>2.2000000000000002</v>
      </c>
      <c r="G345" s="24">
        <f t="shared" si="71"/>
        <v>8.9</v>
      </c>
      <c r="H345" s="24">
        <f t="shared" si="93"/>
        <v>0</v>
      </c>
      <c r="I345" s="24">
        <f t="shared" si="72"/>
        <v>8.9</v>
      </c>
      <c r="J345" s="24">
        <f t="shared" si="93"/>
        <v>0</v>
      </c>
      <c r="K345" s="24">
        <f t="shared" si="73"/>
        <v>8.9</v>
      </c>
      <c r="L345" s="24">
        <f t="shared" si="93"/>
        <v>0</v>
      </c>
      <c r="M345" s="24">
        <f t="shared" si="74"/>
        <v>8.9</v>
      </c>
      <c r="N345" s="24">
        <f t="shared" si="93"/>
        <v>100</v>
      </c>
      <c r="O345" s="24">
        <f t="shared" si="75"/>
        <v>108.9</v>
      </c>
      <c r="P345" s="24">
        <f t="shared" si="93"/>
        <v>0</v>
      </c>
      <c r="Q345" s="24">
        <f t="shared" si="92"/>
        <v>108.9</v>
      </c>
      <c r="R345" s="24">
        <f t="shared" si="93"/>
        <v>0</v>
      </c>
      <c r="S345" s="24">
        <f t="shared" si="88"/>
        <v>108.9</v>
      </c>
      <c r="T345" s="24">
        <f t="shared" si="93"/>
        <v>0</v>
      </c>
      <c r="U345" s="24">
        <f t="shared" si="89"/>
        <v>108.9</v>
      </c>
      <c r="V345" s="24">
        <f t="shared" si="93"/>
        <v>0</v>
      </c>
      <c r="W345" s="24">
        <f t="shared" si="86"/>
        <v>108.9</v>
      </c>
      <c r="X345" s="24">
        <f t="shared" si="93"/>
        <v>-35.299999999999997</v>
      </c>
      <c r="Y345" s="24">
        <f t="shared" si="87"/>
        <v>73.600000000000009</v>
      </c>
      <c r="Z345" s="189"/>
    </row>
    <row r="346" spans="1:27" ht="24.75" x14ac:dyDescent="0.25">
      <c r="A346" s="22" t="s">
        <v>177</v>
      </c>
      <c r="B346" s="23" t="s">
        <v>172</v>
      </c>
      <c r="C346" s="23" t="s">
        <v>178</v>
      </c>
      <c r="D346" s="23" t="s">
        <v>2</v>
      </c>
      <c r="E346" s="24">
        <f t="shared" si="93"/>
        <v>6.7</v>
      </c>
      <c r="F346" s="24">
        <f t="shared" si="93"/>
        <v>2.2000000000000002</v>
      </c>
      <c r="G346" s="24">
        <f t="shared" si="71"/>
        <v>8.9</v>
      </c>
      <c r="H346" s="24">
        <f t="shared" si="93"/>
        <v>0</v>
      </c>
      <c r="I346" s="24">
        <f t="shared" si="72"/>
        <v>8.9</v>
      </c>
      <c r="J346" s="24">
        <f t="shared" si="93"/>
        <v>0</v>
      </c>
      <c r="K346" s="24">
        <f t="shared" si="73"/>
        <v>8.9</v>
      </c>
      <c r="L346" s="24">
        <f t="shared" si="93"/>
        <v>0</v>
      </c>
      <c r="M346" s="24">
        <f t="shared" si="74"/>
        <v>8.9</v>
      </c>
      <c r="N346" s="24">
        <f>N347+N349</f>
        <v>100</v>
      </c>
      <c r="O346" s="24">
        <f t="shared" si="75"/>
        <v>108.9</v>
      </c>
      <c r="P346" s="24">
        <f>P347+P349</f>
        <v>0</v>
      </c>
      <c r="Q346" s="24">
        <f t="shared" si="92"/>
        <v>108.9</v>
      </c>
      <c r="R346" s="24">
        <f>R347+R349</f>
        <v>0</v>
      </c>
      <c r="S346" s="24">
        <f t="shared" si="88"/>
        <v>108.9</v>
      </c>
      <c r="T346" s="24">
        <f>T347+T349</f>
        <v>0</v>
      </c>
      <c r="U346" s="24">
        <f t="shared" si="89"/>
        <v>108.9</v>
      </c>
      <c r="V346" s="24">
        <f>V347+V349</f>
        <v>0</v>
      </c>
      <c r="W346" s="24">
        <f t="shared" si="86"/>
        <v>108.9</v>
      </c>
      <c r="X346" s="24">
        <f>X347+X349</f>
        <v>-35.299999999999997</v>
      </c>
      <c r="Y346" s="24">
        <f t="shared" si="87"/>
        <v>73.600000000000009</v>
      </c>
    </row>
    <row r="347" spans="1:27" ht="48.75" hidden="1" x14ac:dyDescent="0.25">
      <c r="A347" s="22" t="s">
        <v>179</v>
      </c>
      <c r="B347" s="23" t="s">
        <v>172</v>
      </c>
      <c r="C347" s="23" t="s">
        <v>180</v>
      </c>
      <c r="D347" s="23" t="s">
        <v>2</v>
      </c>
      <c r="E347" s="24">
        <f t="shared" si="93"/>
        <v>6.7</v>
      </c>
      <c r="F347" s="24">
        <f t="shared" si="93"/>
        <v>2.2000000000000002</v>
      </c>
      <c r="G347" s="24">
        <f t="shared" si="71"/>
        <v>8.9</v>
      </c>
      <c r="H347" s="24">
        <f t="shared" si="93"/>
        <v>0</v>
      </c>
      <c r="I347" s="24">
        <f t="shared" si="72"/>
        <v>8.9</v>
      </c>
      <c r="J347" s="24">
        <f t="shared" si="93"/>
        <v>0</v>
      </c>
      <c r="K347" s="24">
        <f t="shared" si="73"/>
        <v>8.9</v>
      </c>
      <c r="L347" s="24">
        <f t="shared" si="93"/>
        <v>0</v>
      </c>
      <c r="M347" s="24">
        <f t="shared" si="74"/>
        <v>8.9</v>
      </c>
      <c r="N347" s="24">
        <f t="shared" si="93"/>
        <v>0</v>
      </c>
      <c r="O347" s="24">
        <f t="shared" si="75"/>
        <v>8.9</v>
      </c>
      <c r="P347" s="24">
        <f t="shared" si="93"/>
        <v>0</v>
      </c>
      <c r="Q347" s="24">
        <f t="shared" si="92"/>
        <v>8.9</v>
      </c>
      <c r="R347" s="24">
        <f t="shared" si="93"/>
        <v>0</v>
      </c>
      <c r="S347" s="24">
        <f t="shared" si="88"/>
        <v>8.9</v>
      </c>
      <c r="T347" s="24">
        <f t="shared" si="93"/>
        <v>0</v>
      </c>
      <c r="U347" s="24">
        <f t="shared" si="89"/>
        <v>8.9</v>
      </c>
      <c r="V347" s="24">
        <f t="shared" si="93"/>
        <v>0</v>
      </c>
      <c r="W347" s="24">
        <f t="shared" si="86"/>
        <v>8.9</v>
      </c>
      <c r="X347" s="24">
        <f t="shared" si="93"/>
        <v>-8.9</v>
      </c>
      <c r="Y347" s="24">
        <f t="shared" si="87"/>
        <v>0</v>
      </c>
    </row>
    <row r="348" spans="1:27" hidden="1" x14ac:dyDescent="0.25">
      <c r="A348" s="25" t="s">
        <v>66</v>
      </c>
      <c r="B348" s="26" t="s">
        <v>172</v>
      </c>
      <c r="C348" s="26" t="s">
        <v>180</v>
      </c>
      <c r="D348" s="26" t="s">
        <v>42</v>
      </c>
      <c r="E348" s="27">
        <v>6.7</v>
      </c>
      <c r="F348" s="43">
        <v>2.2000000000000002</v>
      </c>
      <c r="G348" s="24">
        <f t="shared" si="71"/>
        <v>8.9</v>
      </c>
      <c r="H348" s="69"/>
      <c r="I348" s="24">
        <f t="shared" si="72"/>
        <v>8.9</v>
      </c>
      <c r="J348" s="69"/>
      <c r="K348" s="24">
        <f t="shared" si="73"/>
        <v>8.9</v>
      </c>
      <c r="L348" s="69"/>
      <c r="M348" s="24">
        <f t="shared" si="74"/>
        <v>8.9</v>
      </c>
      <c r="N348" s="69"/>
      <c r="O348" s="24">
        <f t="shared" si="75"/>
        <v>8.9</v>
      </c>
      <c r="P348" s="69"/>
      <c r="Q348" s="24">
        <f t="shared" si="92"/>
        <v>8.9</v>
      </c>
      <c r="R348" s="69"/>
      <c r="S348" s="24">
        <f t="shared" si="88"/>
        <v>8.9</v>
      </c>
      <c r="T348" s="69"/>
      <c r="U348" s="24">
        <f t="shared" si="89"/>
        <v>8.9</v>
      </c>
      <c r="V348" s="69"/>
      <c r="W348" s="24">
        <f t="shared" si="86"/>
        <v>8.9</v>
      </c>
      <c r="X348" s="43">
        <v>-8.9</v>
      </c>
      <c r="Y348" s="24">
        <f t="shared" si="87"/>
        <v>0</v>
      </c>
      <c r="AA348" s="189">
        <f>Y348+Z348</f>
        <v>0</v>
      </c>
    </row>
    <row r="349" spans="1:27" ht="36.75" x14ac:dyDescent="0.25">
      <c r="A349" s="22" t="s">
        <v>887</v>
      </c>
      <c r="B349" s="23" t="s">
        <v>172</v>
      </c>
      <c r="C349" s="23" t="s">
        <v>886</v>
      </c>
      <c r="D349" s="23" t="s">
        <v>2</v>
      </c>
      <c r="E349" s="27"/>
      <c r="F349" s="43"/>
      <c r="G349" s="24"/>
      <c r="H349" s="69"/>
      <c r="I349" s="24"/>
      <c r="J349" s="69"/>
      <c r="K349" s="24"/>
      <c r="L349" s="69"/>
      <c r="M349" s="24"/>
      <c r="N349" s="47">
        <f>N350</f>
        <v>100</v>
      </c>
      <c r="O349" s="24">
        <f t="shared" si="75"/>
        <v>100</v>
      </c>
      <c r="P349" s="47">
        <f>P350</f>
        <v>0</v>
      </c>
      <c r="Q349" s="24">
        <f t="shared" si="92"/>
        <v>100</v>
      </c>
      <c r="R349" s="47">
        <f>R350</f>
        <v>0</v>
      </c>
      <c r="S349" s="24">
        <f t="shared" si="88"/>
        <v>100</v>
      </c>
      <c r="T349" s="47">
        <f>T350</f>
        <v>0</v>
      </c>
      <c r="U349" s="24">
        <f t="shared" si="89"/>
        <v>100</v>
      </c>
      <c r="V349" s="47">
        <f>V350</f>
        <v>0</v>
      </c>
      <c r="W349" s="24">
        <f t="shared" si="86"/>
        <v>100</v>
      </c>
      <c r="X349" s="47">
        <f>X350</f>
        <v>-26.4</v>
      </c>
      <c r="Y349" s="24">
        <f t="shared" si="87"/>
        <v>73.599999999999994</v>
      </c>
    </row>
    <row r="350" spans="1:27" x14ac:dyDescent="0.25">
      <c r="A350" s="25" t="s">
        <v>66</v>
      </c>
      <c r="B350" s="26" t="s">
        <v>172</v>
      </c>
      <c r="C350" s="26" t="s">
        <v>886</v>
      </c>
      <c r="D350" s="26" t="s">
        <v>42</v>
      </c>
      <c r="E350" s="27"/>
      <c r="F350" s="43"/>
      <c r="G350" s="24"/>
      <c r="H350" s="69"/>
      <c r="I350" s="24"/>
      <c r="J350" s="69"/>
      <c r="K350" s="24"/>
      <c r="L350" s="69"/>
      <c r="M350" s="24"/>
      <c r="N350" s="39">
        <v>100</v>
      </c>
      <c r="O350" s="24">
        <f t="shared" si="75"/>
        <v>100</v>
      </c>
      <c r="P350" s="69"/>
      <c r="Q350" s="24">
        <f t="shared" si="92"/>
        <v>100</v>
      </c>
      <c r="R350" s="69"/>
      <c r="S350" s="24">
        <f t="shared" si="88"/>
        <v>100</v>
      </c>
      <c r="T350" s="69"/>
      <c r="U350" s="24">
        <f t="shared" si="89"/>
        <v>100</v>
      </c>
      <c r="V350" s="69"/>
      <c r="W350" s="24">
        <f t="shared" si="86"/>
        <v>100</v>
      </c>
      <c r="X350" s="39">
        <v>-26.4</v>
      </c>
      <c r="Y350" s="24">
        <f t="shared" si="87"/>
        <v>73.599999999999994</v>
      </c>
      <c r="Z350" s="61">
        <v>-26.4</v>
      </c>
      <c r="AA350" s="189">
        <f>Y350+Z350</f>
        <v>47.199999999999996</v>
      </c>
    </row>
    <row r="351" spans="1:27" x14ac:dyDescent="0.25">
      <c r="A351" s="16" t="s">
        <v>92</v>
      </c>
      <c r="B351" s="20" t="s">
        <v>172</v>
      </c>
      <c r="C351" s="20" t="s">
        <v>93</v>
      </c>
      <c r="D351" s="21"/>
      <c r="E351" s="27"/>
      <c r="F351" s="43"/>
      <c r="G351" s="24"/>
      <c r="H351" s="69"/>
      <c r="I351" s="24"/>
      <c r="J351" s="69"/>
      <c r="K351" s="24"/>
      <c r="L351" s="69"/>
      <c r="M351" s="24"/>
      <c r="N351" s="39"/>
      <c r="O351" s="24"/>
      <c r="P351" s="69"/>
      <c r="Q351" s="24"/>
      <c r="R351" s="69"/>
      <c r="S351" s="24"/>
      <c r="T351" s="69"/>
      <c r="U351" s="24"/>
      <c r="V351" s="69"/>
      <c r="W351" s="24">
        <f t="shared" ref="W351:X353" si="94">W352</f>
        <v>0</v>
      </c>
      <c r="X351" s="47">
        <f t="shared" si="94"/>
        <v>500</v>
      </c>
      <c r="Y351" s="24">
        <f t="shared" si="87"/>
        <v>500</v>
      </c>
    </row>
    <row r="352" spans="1:27" x14ac:dyDescent="0.25">
      <c r="A352" s="16" t="s">
        <v>97</v>
      </c>
      <c r="B352" s="20" t="s">
        <v>172</v>
      </c>
      <c r="C352" s="20" t="s">
        <v>98</v>
      </c>
      <c r="D352" s="21"/>
      <c r="E352" s="27"/>
      <c r="F352" s="43"/>
      <c r="G352" s="24"/>
      <c r="H352" s="69"/>
      <c r="I352" s="24"/>
      <c r="J352" s="69"/>
      <c r="K352" s="24"/>
      <c r="L352" s="69"/>
      <c r="M352" s="24"/>
      <c r="N352" s="39"/>
      <c r="O352" s="24"/>
      <c r="P352" s="69"/>
      <c r="Q352" s="24"/>
      <c r="R352" s="69"/>
      <c r="S352" s="24"/>
      <c r="T352" s="69"/>
      <c r="U352" s="24"/>
      <c r="V352" s="69"/>
      <c r="W352" s="24">
        <f t="shared" si="94"/>
        <v>0</v>
      </c>
      <c r="X352" s="47">
        <f t="shared" si="94"/>
        <v>500</v>
      </c>
      <c r="Y352" s="24">
        <f t="shared" si="87"/>
        <v>500</v>
      </c>
    </row>
    <row r="353" spans="1:27" ht="24.75" x14ac:dyDescent="0.25">
      <c r="A353" s="40" t="s">
        <v>1420</v>
      </c>
      <c r="B353" s="20" t="s">
        <v>172</v>
      </c>
      <c r="C353" s="20" t="s">
        <v>1421</v>
      </c>
      <c r="D353" s="21"/>
      <c r="E353" s="27"/>
      <c r="F353" s="43"/>
      <c r="G353" s="24"/>
      <c r="H353" s="69"/>
      <c r="I353" s="24"/>
      <c r="J353" s="69"/>
      <c r="K353" s="24"/>
      <c r="L353" s="69"/>
      <c r="M353" s="24"/>
      <c r="N353" s="39"/>
      <c r="O353" s="24"/>
      <c r="P353" s="69"/>
      <c r="Q353" s="24"/>
      <c r="R353" s="69"/>
      <c r="S353" s="24"/>
      <c r="T353" s="69"/>
      <c r="U353" s="24"/>
      <c r="V353" s="69"/>
      <c r="W353" s="24">
        <f t="shared" si="94"/>
        <v>0</v>
      </c>
      <c r="X353" s="47">
        <f>X354+X355</f>
        <v>500</v>
      </c>
      <c r="Y353" s="24">
        <f t="shared" si="87"/>
        <v>500</v>
      </c>
    </row>
    <row r="354" spans="1:27" x14ac:dyDescent="0.25">
      <c r="A354" s="30" t="s">
        <v>66</v>
      </c>
      <c r="B354" s="21" t="s">
        <v>172</v>
      </c>
      <c r="C354" s="21" t="s">
        <v>1421</v>
      </c>
      <c r="D354" s="21" t="s">
        <v>42</v>
      </c>
      <c r="E354" s="27"/>
      <c r="F354" s="43"/>
      <c r="G354" s="24"/>
      <c r="H354" s="69"/>
      <c r="I354" s="24"/>
      <c r="J354" s="69"/>
      <c r="K354" s="24"/>
      <c r="L354" s="69"/>
      <c r="M354" s="24"/>
      <c r="N354" s="39"/>
      <c r="O354" s="24"/>
      <c r="P354" s="69"/>
      <c r="Q354" s="24"/>
      <c r="R354" s="69"/>
      <c r="S354" s="24"/>
      <c r="T354" s="69"/>
      <c r="U354" s="24"/>
      <c r="V354" s="69"/>
      <c r="W354" s="24"/>
      <c r="X354" s="43">
        <f>20+474.5</f>
        <v>494.5</v>
      </c>
      <c r="Y354" s="24">
        <f t="shared" si="87"/>
        <v>494.5</v>
      </c>
      <c r="AA354" s="189">
        <f t="shared" ref="AA354:AA355" si="95">Y354+Z354</f>
        <v>494.5</v>
      </c>
    </row>
    <row r="355" spans="1:27" x14ac:dyDescent="0.25">
      <c r="A355" s="30" t="s">
        <v>66</v>
      </c>
      <c r="B355" s="21" t="s">
        <v>172</v>
      </c>
      <c r="C355" s="21" t="s">
        <v>1421</v>
      </c>
      <c r="D355" s="21" t="s">
        <v>42</v>
      </c>
      <c r="E355" s="27"/>
      <c r="F355" s="43"/>
      <c r="G355" s="24"/>
      <c r="H355" s="69"/>
      <c r="I355" s="24"/>
      <c r="J355" s="69"/>
      <c r="K355" s="24"/>
      <c r="L355" s="69"/>
      <c r="M355" s="24"/>
      <c r="N355" s="39"/>
      <c r="O355" s="24"/>
      <c r="P355" s="69"/>
      <c r="Q355" s="24"/>
      <c r="R355" s="69"/>
      <c r="S355" s="24"/>
      <c r="T355" s="69"/>
      <c r="U355" s="24"/>
      <c r="V355" s="69"/>
      <c r="W355" s="24"/>
      <c r="X355" s="39">
        <v>5.5</v>
      </c>
      <c r="Y355" s="24">
        <f t="shared" si="87"/>
        <v>5.5</v>
      </c>
      <c r="Z355" s="61">
        <f>0.2+5.3</f>
        <v>5.5</v>
      </c>
      <c r="AA355" s="189">
        <f t="shared" si="95"/>
        <v>11</v>
      </c>
    </row>
    <row r="356" spans="1:27" x14ac:dyDescent="0.25">
      <c r="A356" s="44" t="s">
        <v>661</v>
      </c>
      <c r="B356" s="20" t="s">
        <v>664</v>
      </c>
      <c r="C356" s="21"/>
      <c r="D356" s="21"/>
      <c r="E356" s="27"/>
      <c r="F356" s="47">
        <f>F357</f>
        <v>9570</v>
      </c>
      <c r="G356" s="24">
        <f t="shared" si="71"/>
        <v>9570</v>
      </c>
      <c r="H356" s="47">
        <f>H357</f>
        <v>0</v>
      </c>
      <c r="I356" s="24">
        <f t="shared" si="72"/>
        <v>9570</v>
      </c>
      <c r="J356" s="47">
        <f>J357</f>
        <v>1</v>
      </c>
      <c r="K356" s="24">
        <f t="shared" si="73"/>
        <v>9571</v>
      </c>
      <c r="L356" s="47">
        <f>L357</f>
        <v>0</v>
      </c>
      <c r="M356" s="24">
        <f t="shared" si="74"/>
        <v>9571</v>
      </c>
      <c r="N356" s="47">
        <f>N357</f>
        <v>0</v>
      </c>
      <c r="O356" s="24">
        <f t="shared" si="75"/>
        <v>9571</v>
      </c>
      <c r="P356" s="47">
        <f>P357</f>
        <v>0</v>
      </c>
      <c r="Q356" s="24">
        <f t="shared" si="92"/>
        <v>9571</v>
      </c>
      <c r="R356" s="47">
        <f>R357</f>
        <v>3522.2</v>
      </c>
      <c r="S356" s="24">
        <f t="shared" si="88"/>
        <v>13093.2</v>
      </c>
      <c r="T356" s="47">
        <f>T357</f>
        <v>3925</v>
      </c>
      <c r="U356" s="24">
        <f t="shared" si="89"/>
        <v>17018.2</v>
      </c>
      <c r="V356" s="47">
        <f>V357</f>
        <v>0</v>
      </c>
      <c r="W356" s="24">
        <f t="shared" si="86"/>
        <v>17018.2</v>
      </c>
      <c r="X356" s="47">
        <f>X357</f>
        <v>0</v>
      </c>
      <c r="Y356" s="24">
        <f t="shared" si="87"/>
        <v>17018.2</v>
      </c>
    </row>
    <row r="357" spans="1:27" ht="29.25" customHeight="1" x14ac:dyDescent="0.25">
      <c r="A357" s="45" t="s">
        <v>591</v>
      </c>
      <c r="B357" s="54" t="s">
        <v>664</v>
      </c>
      <c r="C357" s="54" t="s">
        <v>138</v>
      </c>
      <c r="D357" s="21"/>
      <c r="E357" s="27"/>
      <c r="F357" s="47">
        <f>F358</f>
        <v>9570</v>
      </c>
      <c r="G357" s="24">
        <f t="shared" si="71"/>
        <v>9570</v>
      </c>
      <c r="H357" s="47">
        <f>H358</f>
        <v>0</v>
      </c>
      <c r="I357" s="24">
        <f t="shared" si="72"/>
        <v>9570</v>
      </c>
      <c r="J357" s="47">
        <f>J358</f>
        <v>1</v>
      </c>
      <c r="K357" s="24">
        <f t="shared" si="73"/>
        <v>9571</v>
      </c>
      <c r="L357" s="47">
        <f>L358</f>
        <v>0</v>
      </c>
      <c r="M357" s="24">
        <f t="shared" si="74"/>
        <v>9571</v>
      </c>
      <c r="N357" s="47">
        <f>N358</f>
        <v>0</v>
      </c>
      <c r="O357" s="24">
        <f t="shared" si="75"/>
        <v>9571</v>
      </c>
      <c r="P357" s="47">
        <f>P358</f>
        <v>0</v>
      </c>
      <c r="Q357" s="24">
        <f t="shared" si="92"/>
        <v>9571</v>
      </c>
      <c r="R357" s="47">
        <f>R358</f>
        <v>3522.2</v>
      </c>
      <c r="S357" s="24">
        <f t="shared" si="88"/>
        <v>13093.2</v>
      </c>
      <c r="T357" s="47">
        <f>T358</f>
        <v>3925</v>
      </c>
      <c r="U357" s="24">
        <f t="shared" si="89"/>
        <v>17018.2</v>
      </c>
      <c r="V357" s="47">
        <f>V358</f>
        <v>0</v>
      </c>
      <c r="W357" s="24">
        <f t="shared" si="86"/>
        <v>17018.2</v>
      </c>
      <c r="X357" s="47">
        <f>X358</f>
        <v>0</v>
      </c>
      <c r="Y357" s="24">
        <f t="shared" si="87"/>
        <v>17018.2</v>
      </c>
    </row>
    <row r="358" spans="1:27" ht="24.75" x14ac:dyDescent="0.25">
      <c r="A358" s="22" t="s">
        <v>662</v>
      </c>
      <c r="B358" s="20" t="s">
        <v>664</v>
      </c>
      <c r="C358" s="23" t="s">
        <v>139</v>
      </c>
      <c r="D358" s="21"/>
      <c r="E358" s="27"/>
      <c r="F358" s="47">
        <f>F359</f>
        <v>9570</v>
      </c>
      <c r="G358" s="24">
        <f t="shared" si="71"/>
        <v>9570</v>
      </c>
      <c r="H358" s="47">
        <f>H359</f>
        <v>0</v>
      </c>
      <c r="I358" s="24">
        <f t="shared" si="72"/>
        <v>9570</v>
      </c>
      <c r="J358" s="47">
        <f>J359</f>
        <v>1</v>
      </c>
      <c r="K358" s="24">
        <f t="shared" si="73"/>
        <v>9571</v>
      </c>
      <c r="L358" s="47">
        <f>L359</f>
        <v>0</v>
      </c>
      <c r="M358" s="24">
        <f t="shared" si="74"/>
        <v>9571</v>
      </c>
      <c r="N358" s="47">
        <f>N359</f>
        <v>0</v>
      </c>
      <c r="O358" s="24">
        <f t="shared" si="75"/>
        <v>9571</v>
      </c>
      <c r="P358" s="47">
        <f>P359</f>
        <v>0</v>
      </c>
      <c r="Q358" s="24">
        <f t="shared" si="92"/>
        <v>9571</v>
      </c>
      <c r="R358" s="47">
        <f>R364+R359</f>
        <v>3522.2</v>
      </c>
      <c r="S358" s="24">
        <f t="shared" si="88"/>
        <v>13093.2</v>
      </c>
      <c r="T358" s="47">
        <f>T364+T359+T362+T366</f>
        <v>3925</v>
      </c>
      <c r="U358" s="24">
        <f t="shared" si="89"/>
        <v>17018.2</v>
      </c>
      <c r="V358" s="47">
        <f>V364+V359+V362+V366</f>
        <v>0</v>
      </c>
      <c r="W358" s="24">
        <f t="shared" si="86"/>
        <v>17018.2</v>
      </c>
      <c r="X358" s="47">
        <f>X364+X359+X362+X366</f>
        <v>0</v>
      </c>
      <c r="Y358" s="24">
        <f t="shared" si="87"/>
        <v>17018.2</v>
      </c>
    </row>
    <row r="359" spans="1:27" ht="120.75" x14ac:dyDescent="0.25">
      <c r="A359" s="46" t="s">
        <v>663</v>
      </c>
      <c r="B359" s="20" t="s">
        <v>664</v>
      </c>
      <c r="C359" s="23" t="s">
        <v>665</v>
      </c>
      <c r="D359" s="21"/>
      <c r="E359" s="27"/>
      <c r="F359" s="47">
        <f>F360</f>
        <v>9570</v>
      </c>
      <c r="G359" s="24">
        <f t="shared" si="71"/>
        <v>9570</v>
      </c>
      <c r="H359" s="47">
        <f>H360</f>
        <v>0</v>
      </c>
      <c r="I359" s="24">
        <f t="shared" si="72"/>
        <v>9570</v>
      </c>
      <c r="J359" s="47">
        <f>J360+J361</f>
        <v>1</v>
      </c>
      <c r="K359" s="24">
        <f t="shared" si="73"/>
        <v>9571</v>
      </c>
      <c r="L359" s="47">
        <f>L360+L361</f>
        <v>0</v>
      </c>
      <c r="M359" s="24">
        <f t="shared" si="74"/>
        <v>9571</v>
      </c>
      <c r="N359" s="47">
        <f>N360+N361</f>
        <v>0</v>
      </c>
      <c r="O359" s="24">
        <f t="shared" si="75"/>
        <v>9571</v>
      </c>
      <c r="P359" s="47">
        <f>P360+P361</f>
        <v>0</v>
      </c>
      <c r="Q359" s="24">
        <f t="shared" si="92"/>
        <v>9571</v>
      </c>
      <c r="R359" s="47">
        <f>R360+R361</f>
        <v>0</v>
      </c>
      <c r="S359" s="24">
        <f t="shared" si="88"/>
        <v>9571</v>
      </c>
      <c r="T359" s="47">
        <f>T360+T361</f>
        <v>0</v>
      </c>
      <c r="U359" s="24">
        <f t="shared" si="89"/>
        <v>9571</v>
      </c>
      <c r="V359" s="47">
        <f>V360+V361</f>
        <v>0</v>
      </c>
      <c r="W359" s="24">
        <f t="shared" si="86"/>
        <v>9571</v>
      </c>
      <c r="X359" s="47">
        <f>X360+X361</f>
        <v>0</v>
      </c>
      <c r="Y359" s="24">
        <f t="shared" si="87"/>
        <v>9571</v>
      </c>
    </row>
    <row r="360" spans="1:27" s="6" customFormat="1" ht="24.75" x14ac:dyDescent="0.25">
      <c r="A360" s="30" t="s">
        <v>669</v>
      </c>
      <c r="B360" s="21" t="s">
        <v>664</v>
      </c>
      <c r="C360" s="26" t="s">
        <v>665</v>
      </c>
      <c r="D360" s="21" t="s">
        <v>251</v>
      </c>
      <c r="E360" s="27"/>
      <c r="F360" s="43">
        <v>9570</v>
      </c>
      <c r="G360" s="24">
        <f t="shared" si="71"/>
        <v>9570</v>
      </c>
      <c r="H360" s="69"/>
      <c r="I360" s="24">
        <f t="shared" si="72"/>
        <v>9570</v>
      </c>
      <c r="J360" s="69"/>
      <c r="K360" s="24">
        <f t="shared" si="73"/>
        <v>9570</v>
      </c>
      <c r="L360" s="69"/>
      <c r="M360" s="24">
        <f t="shared" si="74"/>
        <v>9570</v>
      </c>
      <c r="N360" s="69"/>
      <c r="O360" s="24">
        <f t="shared" si="75"/>
        <v>9570</v>
      </c>
      <c r="P360" s="69"/>
      <c r="Q360" s="24">
        <f t="shared" si="92"/>
        <v>9570</v>
      </c>
      <c r="R360" s="69"/>
      <c r="S360" s="24">
        <f t="shared" si="88"/>
        <v>9570</v>
      </c>
      <c r="T360" s="69"/>
      <c r="U360" s="24">
        <f t="shared" si="89"/>
        <v>9570</v>
      </c>
      <c r="V360" s="69"/>
      <c r="W360" s="24">
        <f t="shared" si="86"/>
        <v>9570</v>
      </c>
      <c r="X360" s="69"/>
      <c r="Y360" s="24">
        <f t="shared" si="87"/>
        <v>9570</v>
      </c>
      <c r="Z360" s="189"/>
      <c r="AA360" s="189">
        <f t="shared" ref="AA360:AA361" si="96">Y360+Z360</f>
        <v>9570</v>
      </c>
    </row>
    <row r="361" spans="1:27" s="6" customFormat="1" ht="24.75" x14ac:dyDescent="0.25">
      <c r="A361" s="30" t="s">
        <v>669</v>
      </c>
      <c r="B361" s="21" t="s">
        <v>664</v>
      </c>
      <c r="C361" s="26" t="s">
        <v>665</v>
      </c>
      <c r="D361" s="21" t="s">
        <v>251</v>
      </c>
      <c r="E361" s="27"/>
      <c r="F361" s="43"/>
      <c r="G361" s="24"/>
      <c r="H361" s="69"/>
      <c r="I361" s="87"/>
      <c r="J361" s="39">
        <v>1</v>
      </c>
      <c r="K361" s="87">
        <f t="shared" si="73"/>
        <v>1</v>
      </c>
      <c r="L361" s="39"/>
      <c r="M361" s="87">
        <f t="shared" si="74"/>
        <v>1</v>
      </c>
      <c r="N361" s="39"/>
      <c r="O361" s="87">
        <f t="shared" si="75"/>
        <v>1</v>
      </c>
      <c r="P361" s="39"/>
      <c r="Q361" s="87">
        <f t="shared" si="92"/>
        <v>1</v>
      </c>
      <c r="R361" s="39"/>
      <c r="S361" s="87">
        <f t="shared" si="88"/>
        <v>1</v>
      </c>
      <c r="T361" s="69"/>
      <c r="U361" s="87">
        <f t="shared" si="89"/>
        <v>1</v>
      </c>
      <c r="V361" s="69"/>
      <c r="W361" s="87">
        <f t="shared" si="86"/>
        <v>1</v>
      </c>
      <c r="X361" s="69"/>
      <c r="Y361" s="87">
        <f t="shared" si="87"/>
        <v>1</v>
      </c>
      <c r="Z361" s="189"/>
      <c r="AA361" s="189">
        <f t="shared" si="96"/>
        <v>1</v>
      </c>
    </row>
    <row r="362" spans="1:27" s="6" customFormat="1" ht="24.75" customHeight="1" x14ac:dyDescent="0.25">
      <c r="A362" s="40" t="s">
        <v>1253</v>
      </c>
      <c r="B362" s="20" t="s">
        <v>664</v>
      </c>
      <c r="C362" s="23" t="s">
        <v>1255</v>
      </c>
      <c r="D362" s="21"/>
      <c r="E362" s="27"/>
      <c r="F362" s="43"/>
      <c r="G362" s="24"/>
      <c r="H362" s="69"/>
      <c r="I362" s="87"/>
      <c r="J362" s="39"/>
      <c r="K362" s="87"/>
      <c r="L362" s="39"/>
      <c r="M362" s="87"/>
      <c r="N362" s="39"/>
      <c r="O362" s="87"/>
      <c r="P362" s="39"/>
      <c r="Q362" s="87"/>
      <c r="R362" s="39"/>
      <c r="S362" s="18"/>
      <c r="T362" s="18">
        <f>T363</f>
        <v>3575</v>
      </c>
      <c r="U362" s="24">
        <f t="shared" si="89"/>
        <v>3575</v>
      </c>
      <c r="V362" s="18">
        <f>V363</f>
        <v>0</v>
      </c>
      <c r="W362" s="24">
        <f t="shared" si="86"/>
        <v>3575</v>
      </c>
      <c r="X362" s="18">
        <f>X363</f>
        <v>0</v>
      </c>
      <c r="Y362" s="24">
        <f t="shared" si="87"/>
        <v>3575</v>
      </c>
      <c r="Z362" s="189"/>
    </row>
    <row r="363" spans="1:27" s="6" customFormat="1" x14ac:dyDescent="0.25">
      <c r="A363" s="30" t="s">
        <v>66</v>
      </c>
      <c r="B363" s="21" t="s">
        <v>664</v>
      </c>
      <c r="C363" s="26" t="s">
        <v>1255</v>
      </c>
      <c r="D363" s="21" t="s">
        <v>42</v>
      </c>
      <c r="E363" s="27"/>
      <c r="F363" s="43"/>
      <c r="G363" s="24"/>
      <c r="H363" s="69"/>
      <c r="I363" s="87"/>
      <c r="J363" s="39"/>
      <c r="K363" s="87"/>
      <c r="L363" s="39"/>
      <c r="M363" s="87"/>
      <c r="N363" s="39"/>
      <c r="O363" s="87"/>
      <c r="P363" s="39"/>
      <c r="Q363" s="87"/>
      <c r="R363" s="39"/>
      <c r="S363" s="18"/>
      <c r="T363" s="125">
        <v>3575</v>
      </c>
      <c r="U363" s="24">
        <f t="shared" si="89"/>
        <v>3575</v>
      </c>
      <c r="V363" s="69"/>
      <c r="W363" s="24">
        <f t="shared" si="86"/>
        <v>3575</v>
      </c>
      <c r="X363" s="69"/>
      <c r="Y363" s="24">
        <f t="shared" si="87"/>
        <v>3575</v>
      </c>
      <c r="Z363" s="189"/>
      <c r="AA363" s="189">
        <f>Y363+Z363</f>
        <v>3575</v>
      </c>
    </row>
    <row r="364" spans="1:27" s="6" customFormat="1" ht="24" x14ac:dyDescent="0.25">
      <c r="A364" s="147" t="s">
        <v>234</v>
      </c>
      <c r="B364" s="20" t="s">
        <v>664</v>
      </c>
      <c r="C364" s="23" t="s">
        <v>1236</v>
      </c>
      <c r="D364" s="21"/>
      <c r="E364" s="27"/>
      <c r="F364" s="47">
        <f>F368</f>
        <v>40000</v>
      </c>
      <c r="G364" s="24">
        <f t="shared" ref="G364:G365" si="97">E364+F364</f>
        <v>40000</v>
      </c>
      <c r="H364" s="47">
        <f>H368</f>
        <v>202985.8</v>
      </c>
      <c r="I364" s="24">
        <f t="shared" ref="I364:I365" si="98">G364+H364</f>
        <v>242985.8</v>
      </c>
      <c r="J364" s="47">
        <f>J368+J369</f>
        <v>200</v>
      </c>
      <c r="K364" s="24">
        <f t="shared" ref="K364:K365" si="99">I364+J364</f>
        <v>243185.8</v>
      </c>
      <c r="L364" s="47">
        <f>L368+L369</f>
        <v>32347.800000000003</v>
      </c>
      <c r="M364" s="24">
        <f t="shared" ref="M364:M365" si="100">K364+L364</f>
        <v>275533.59999999998</v>
      </c>
      <c r="N364" s="47">
        <f>N368+N369</f>
        <v>36168</v>
      </c>
      <c r="O364" s="24">
        <f t="shared" ref="O364:O365" si="101">M364+N364</f>
        <v>311701.59999999998</v>
      </c>
      <c r="P364" s="47">
        <f>P368+P369</f>
        <v>370684.6</v>
      </c>
      <c r="Q364" s="24">
        <f>Q365</f>
        <v>0</v>
      </c>
      <c r="R364" s="24">
        <f t="shared" ref="R364:X364" si="102">R365</f>
        <v>3522.2</v>
      </c>
      <c r="S364" s="24">
        <f t="shared" si="102"/>
        <v>3522.2</v>
      </c>
      <c r="T364" s="24">
        <f t="shared" si="102"/>
        <v>0</v>
      </c>
      <c r="U364" s="24">
        <f t="shared" si="89"/>
        <v>3522.2</v>
      </c>
      <c r="V364" s="24">
        <f t="shared" si="102"/>
        <v>0</v>
      </c>
      <c r="W364" s="24">
        <f t="shared" si="86"/>
        <v>3522.2</v>
      </c>
      <c r="X364" s="24">
        <f t="shared" si="102"/>
        <v>0</v>
      </c>
      <c r="Y364" s="24">
        <f t="shared" si="87"/>
        <v>3522.2</v>
      </c>
      <c r="Z364" s="189"/>
    </row>
    <row r="365" spans="1:27" s="6" customFormat="1" x14ac:dyDescent="0.25">
      <c r="A365" s="30" t="s">
        <v>66</v>
      </c>
      <c r="B365" s="21" t="s">
        <v>664</v>
      </c>
      <c r="C365" s="26" t="s">
        <v>1236</v>
      </c>
      <c r="D365" s="21" t="s">
        <v>42</v>
      </c>
      <c r="E365" s="27"/>
      <c r="F365" s="43">
        <v>9570</v>
      </c>
      <c r="G365" s="24">
        <f t="shared" si="97"/>
        <v>9570</v>
      </c>
      <c r="H365" s="69"/>
      <c r="I365" s="24">
        <f t="shared" si="98"/>
        <v>9570</v>
      </c>
      <c r="J365" s="69"/>
      <c r="K365" s="24">
        <f t="shared" si="99"/>
        <v>9570</v>
      </c>
      <c r="L365" s="69"/>
      <c r="M365" s="24">
        <f t="shared" si="100"/>
        <v>9570</v>
      </c>
      <c r="N365" s="69"/>
      <c r="O365" s="24">
        <f t="shared" si="101"/>
        <v>9570</v>
      </c>
      <c r="P365" s="69"/>
      <c r="Q365" s="24"/>
      <c r="R365" s="39">
        <v>3522.2</v>
      </c>
      <c r="S365" s="24">
        <f t="shared" ref="S365" si="103">Q365+R365</f>
        <v>3522.2</v>
      </c>
      <c r="T365" s="69"/>
      <c r="U365" s="24">
        <f t="shared" si="89"/>
        <v>3522.2</v>
      </c>
      <c r="V365" s="69"/>
      <c r="W365" s="24">
        <f t="shared" si="86"/>
        <v>3522.2</v>
      </c>
      <c r="X365" s="69"/>
      <c r="Y365" s="24">
        <f t="shared" si="87"/>
        <v>3522.2</v>
      </c>
      <c r="Z365" s="189"/>
      <c r="AA365" s="189">
        <f>Y365+Z365</f>
        <v>3522.2</v>
      </c>
    </row>
    <row r="366" spans="1:27" s="6" customFormat="1" x14ac:dyDescent="0.25">
      <c r="A366" s="22" t="s">
        <v>292</v>
      </c>
      <c r="B366" s="20" t="s">
        <v>664</v>
      </c>
      <c r="C366" s="23" t="s">
        <v>293</v>
      </c>
      <c r="D366" s="23" t="s">
        <v>2</v>
      </c>
      <c r="E366" s="27"/>
      <c r="F366" s="43"/>
      <c r="G366" s="24"/>
      <c r="H366" s="69"/>
      <c r="I366" s="24"/>
      <c r="J366" s="69"/>
      <c r="K366" s="24"/>
      <c r="L366" s="69"/>
      <c r="M366" s="24"/>
      <c r="N366" s="69"/>
      <c r="O366" s="24"/>
      <c r="P366" s="69"/>
      <c r="Q366" s="24"/>
      <c r="R366" s="39"/>
      <c r="S366" s="24"/>
      <c r="T366" s="47">
        <f>T367</f>
        <v>350</v>
      </c>
      <c r="U366" s="24">
        <f t="shared" si="89"/>
        <v>350</v>
      </c>
      <c r="V366" s="47">
        <f>V367</f>
        <v>0</v>
      </c>
      <c r="W366" s="24">
        <f t="shared" si="86"/>
        <v>350</v>
      </c>
      <c r="X366" s="47">
        <f>X367</f>
        <v>0</v>
      </c>
      <c r="Y366" s="24">
        <f t="shared" si="87"/>
        <v>350</v>
      </c>
      <c r="Z366" s="189"/>
    </row>
    <row r="367" spans="1:27" s="6" customFormat="1" x14ac:dyDescent="0.25">
      <c r="A367" s="30" t="s">
        <v>66</v>
      </c>
      <c r="B367" s="21" t="s">
        <v>664</v>
      </c>
      <c r="C367" s="26" t="s">
        <v>293</v>
      </c>
      <c r="D367" s="26" t="s">
        <v>42</v>
      </c>
      <c r="E367" s="27"/>
      <c r="F367" s="43"/>
      <c r="G367" s="24"/>
      <c r="H367" s="69"/>
      <c r="I367" s="24"/>
      <c r="J367" s="69"/>
      <c r="K367" s="24"/>
      <c r="L367" s="69"/>
      <c r="M367" s="24"/>
      <c r="N367" s="69"/>
      <c r="O367" s="24"/>
      <c r="P367" s="69"/>
      <c r="Q367" s="24"/>
      <c r="R367" s="39"/>
      <c r="S367" s="24"/>
      <c r="T367" s="63">
        <v>350</v>
      </c>
      <c r="U367" s="24">
        <f t="shared" si="89"/>
        <v>350</v>
      </c>
      <c r="V367" s="69"/>
      <c r="W367" s="24">
        <f t="shared" si="86"/>
        <v>350</v>
      </c>
      <c r="X367" s="69"/>
      <c r="Y367" s="24">
        <f t="shared" si="87"/>
        <v>350</v>
      </c>
      <c r="Z367" s="189"/>
      <c r="AA367" s="189">
        <f>Y367+Z367</f>
        <v>350</v>
      </c>
    </row>
    <row r="368" spans="1:27" s="6" customFormat="1" x14ac:dyDescent="0.25">
      <c r="A368" s="22" t="s">
        <v>181</v>
      </c>
      <c r="B368" s="23" t="s">
        <v>182</v>
      </c>
      <c r="C368" s="23" t="s">
        <v>2</v>
      </c>
      <c r="D368" s="23" t="s">
        <v>2</v>
      </c>
      <c r="E368" s="24">
        <f>E773</f>
        <v>144735.9</v>
      </c>
      <c r="F368" s="24">
        <f>F773</f>
        <v>40000</v>
      </c>
      <c r="G368" s="24">
        <f t="shared" si="71"/>
        <v>184735.9</v>
      </c>
      <c r="H368" s="24">
        <f>H773+H369</f>
        <v>202985.8</v>
      </c>
      <c r="I368" s="24">
        <f t="shared" si="72"/>
        <v>387721.69999999995</v>
      </c>
      <c r="J368" s="24">
        <f>J773+J369</f>
        <v>100</v>
      </c>
      <c r="K368" s="24">
        <f t="shared" si="73"/>
        <v>387821.69999999995</v>
      </c>
      <c r="L368" s="24">
        <f>L773+L369</f>
        <v>26340.400000000001</v>
      </c>
      <c r="M368" s="24">
        <f t="shared" si="74"/>
        <v>414162.1</v>
      </c>
      <c r="N368" s="24">
        <f>N773+N369</f>
        <v>18916.600000000002</v>
      </c>
      <c r="O368" s="24">
        <f t="shared" si="75"/>
        <v>433078.69999999995</v>
      </c>
      <c r="P368" s="24">
        <f>P773+P369</f>
        <v>225816.5</v>
      </c>
      <c r="Q368" s="24">
        <f t="shared" si="92"/>
        <v>658895.19999999995</v>
      </c>
      <c r="R368" s="24">
        <f>R773+R369</f>
        <v>12311.100000000022</v>
      </c>
      <c r="S368" s="24">
        <f t="shared" si="88"/>
        <v>671206.29999999993</v>
      </c>
      <c r="T368" s="24">
        <f>T773+T369</f>
        <v>-2013.5</v>
      </c>
      <c r="U368" s="24">
        <f t="shared" ref="U368:U430" si="104">S368+T368</f>
        <v>669192.79999999993</v>
      </c>
      <c r="V368" s="24">
        <f>V773+V369</f>
        <v>45296.400000000009</v>
      </c>
      <c r="W368" s="24">
        <f t="shared" si="86"/>
        <v>714489.2</v>
      </c>
      <c r="X368" s="24">
        <f>X773+X369</f>
        <v>20421.700000000004</v>
      </c>
      <c r="Y368" s="24">
        <f t="shared" si="87"/>
        <v>734910.89999999991</v>
      </c>
      <c r="Z368" s="189"/>
    </row>
    <row r="369" spans="1:27" s="6" customFormat="1" ht="24.75" x14ac:dyDescent="0.25">
      <c r="A369" s="45" t="s">
        <v>621</v>
      </c>
      <c r="B369" s="20" t="s">
        <v>182</v>
      </c>
      <c r="C369" s="75" t="s">
        <v>60</v>
      </c>
      <c r="D369" s="20"/>
      <c r="E369" s="24"/>
      <c r="F369" s="24"/>
      <c r="G369" s="24"/>
      <c r="H369" s="18">
        <f>H370</f>
        <v>2985.7999999999997</v>
      </c>
      <c r="I369" s="24">
        <f t="shared" si="72"/>
        <v>2985.7999999999997</v>
      </c>
      <c r="J369" s="18">
        <f>J370</f>
        <v>100</v>
      </c>
      <c r="K369" s="24">
        <f t="shared" si="73"/>
        <v>3085.7999999999997</v>
      </c>
      <c r="L369" s="18">
        <f>L370</f>
        <v>6007.4000000000005</v>
      </c>
      <c r="M369" s="24">
        <f t="shared" si="74"/>
        <v>9093.2000000000007</v>
      </c>
      <c r="N369" s="18">
        <f>N370</f>
        <v>17251.400000000001</v>
      </c>
      <c r="O369" s="24">
        <f t="shared" si="75"/>
        <v>26344.600000000002</v>
      </c>
      <c r="P369" s="18">
        <f>P370</f>
        <v>144868.09999999998</v>
      </c>
      <c r="Q369" s="24">
        <f t="shared" si="92"/>
        <v>171212.69999999998</v>
      </c>
      <c r="R369" s="18">
        <f>R370</f>
        <v>-3480.0999999999767</v>
      </c>
      <c r="S369" s="24">
        <f t="shared" si="88"/>
        <v>167732.6</v>
      </c>
      <c r="T369" s="18">
        <f>T370</f>
        <v>0</v>
      </c>
      <c r="U369" s="24">
        <f t="shared" si="104"/>
        <v>167732.6</v>
      </c>
      <c r="V369" s="18">
        <f>V370</f>
        <v>52000.600000000006</v>
      </c>
      <c r="W369" s="24">
        <f t="shared" si="86"/>
        <v>219733.2</v>
      </c>
      <c r="X369" s="18">
        <f>X370</f>
        <v>2194.8000000000029</v>
      </c>
      <c r="Y369" s="24">
        <f t="shared" si="87"/>
        <v>221928</v>
      </c>
      <c r="Z369" s="189"/>
    </row>
    <row r="370" spans="1:27" s="6" customFormat="1" ht="24.75" x14ac:dyDescent="0.25">
      <c r="A370" s="16" t="s">
        <v>90</v>
      </c>
      <c r="B370" s="20" t="s">
        <v>182</v>
      </c>
      <c r="C370" s="20" t="s">
        <v>91</v>
      </c>
      <c r="D370" s="20"/>
      <c r="E370" s="24"/>
      <c r="F370" s="24"/>
      <c r="G370" s="24"/>
      <c r="H370" s="18">
        <f>H375</f>
        <v>2985.7999999999997</v>
      </c>
      <c r="I370" s="24">
        <f t="shared" si="72"/>
        <v>2985.7999999999997</v>
      </c>
      <c r="J370" s="18">
        <f>J375</f>
        <v>100</v>
      </c>
      <c r="K370" s="24">
        <f t="shared" si="73"/>
        <v>3085.7999999999997</v>
      </c>
      <c r="L370" s="18">
        <f>L375</f>
        <v>6007.4000000000005</v>
      </c>
      <c r="M370" s="24">
        <f t="shared" si="74"/>
        <v>9093.2000000000007</v>
      </c>
      <c r="N370" s="18">
        <f>N375+N373+N371</f>
        <v>17251.400000000001</v>
      </c>
      <c r="O370" s="24">
        <f t="shared" si="75"/>
        <v>26344.600000000002</v>
      </c>
      <c r="P370" s="18">
        <f>P375+P373+P371</f>
        <v>144868.09999999998</v>
      </c>
      <c r="Q370" s="24">
        <f t="shared" si="92"/>
        <v>171212.69999999998</v>
      </c>
      <c r="R370" s="18">
        <f>R375+R373+R371</f>
        <v>-3480.0999999999767</v>
      </c>
      <c r="S370" s="24">
        <f t="shared" si="88"/>
        <v>167732.6</v>
      </c>
      <c r="T370" s="18">
        <f>T375+T373+T371</f>
        <v>0</v>
      </c>
      <c r="U370" s="24">
        <f t="shared" si="104"/>
        <v>167732.6</v>
      </c>
      <c r="V370" s="18">
        <f>V375+V373+V371</f>
        <v>52000.600000000006</v>
      </c>
      <c r="W370" s="24">
        <f t="shared" si="86"/>
        <v>219733.2</v>
      </c>
      <c r="X370" s="18">
        <f>X375+X373+X371</f>
        <v>2194.8000000000029</v>
      </c>
      <c r="Y370" s="24">
        <f t="shared" si="87"/>
        <v>221928</v>
      </c>
      <c r="Z370" s="189"/>
    </row>
    <row r="371" spans="1:27" s="6" customFormat="1" x14ac:dyDescent="0.25">
      <c r="A371" s="22" t="s">
        <v>67</v>
      </c>
      <c r="B371" s="20" t="s">
        <v>182</v>
      </c>
      <c r="C371" s="20" t="s">
        <v>71</v>
      </c>
      <c r="D371" s="20"/>
      <c r="E371" s="24"/>
      <c r="F371" s="24"/>
      <c r="G371" s="24"/>
      <c r="H371" s="18"/>
      <c r="I371" s="24"/>
      <c r="J371" s="18"/>
      <c r="K371" s="24"/>
      <c r="L371" s="18"/>
      <c r="M371" s="24"/>
      <c r="N371" s="18">
        <f>N372</f>
        <v>644.4</v>
      </c>
      <c r="O371" s="24">
        <f t="shared" si="75"/>
        <v>644.4</v>
      </c>
      <c r="P371" s="18">
        <f>P372</f>
        <v>0</v>
      </c>
      <c r="Q371" s="24">
        <f t="shared" si="92"/>
        <v>644.4</v>
      </c>
      <c r="R371" s="18">
        <f>R372</f>
        <v>0</v>
      </c>
      <c r="S371" s="24">
        <f t="shared" si="88"/>
        <v>644.4</v>
      </c>
      <c r="T371" s="18">
        <f>T372</f>
        <v>0</v>
      </c>
      <c r="U371" s="24">
        <f t="shared" si="104"/>
        <v>644.4</v>
      </c>
      <c r="V371" s="18">
        <f>V372</f>
        <v>0</v>
      </c>
      <c r="W371" s="24">
        <f t="shared" si="86"/>
        <v>644.4</v>
      </c>
      <c r="X371" s="18">
        <f>X372</f>
        <v>0</v>
      </c>
      <c r="Y371" s="24">
        <f t="shared" si="87"/>
        <v>644.4</v>
      </c>
      <c r="Z371" s="189"/>
    </row>
    <row r="372" spans="1:27" s="6" customFormat="1" x14ac:dyDescent="0.25">
      <c r="A372" s="30" t="s">
        <v>66</v>
      </c>
      <c r="B372" s="21" t="s">
        <v>182</v>
      </c>
      <c r="C372" s="21" t="s">
        <v>71</v>
      </c>
      <c r="D372" s="21" t="s">
        <v>42</v>
      </c>
      <c r="E372" s="24"/>
      <c r="F372" s="24"/>
      <c r="G372" s="24"/>
      <c r="H372" s="18"/>
      <c r="I372" s="24"/>
      <c r="J372" s="18"/>
      <c r="K372" s="24"/>
      <c r="L372" s="18"/>
      <c r="M372" s="24"/>
      <c r="N372" s="63">
        <v>644.4</v>
      </c>
      <c r="O372" s="24">
        <f t="shared" si="75"/>
        <v>644.4</v>
      </c>
      <c r="P372" s="69"/>
      <c r="Q372" s="24">
        <f t="shared" si="92"/>
        <v>644.4</v>
      </c>
      <c r="R372" s="69"/>
      <c r="S372" s="24">
        <f t="shared" si="88"/>
        <v>644.4</v>
      </c>
      <c r="T372" s="69"/>
      <c r="U372" s="24">
        <f t="shared" si="104"/>
        <v>644.4</v>
      </c>
      <c r="V372" s="69"/>
      <c r="W372" s="24">
        <f t="shared" si="86"/>
        <v>644.4</v>
      </c>
      <c r="X372" s="69"/>
      <c r="Y372" s="24">
        <f t="shared" si="87"/>
        <v>644.4</v>
      </c>
      <c r="Z372" s="189"/>
      <c r="AA372" s="189">
        <f>Y372+Z372</f>
        <v>644.4</v>
      </c>
    </row>
    <row r="373" spans="1:27" s="6" customFormat="1" ht="36.75" x14ac:dyDescent="0.25">
      <c r="A373" s="16" t="s">
        <v>857</v>
      </c>
      <c r="B373" s="20" t="s">
        <v>182</v>
      </c>
      <c r="C373" s="20" t="s">
        <v>858</v>
      </c>
      <c r="D373" s="20"/>
      <c r="E373" s="18"/>
      <c r="F373" s="18"/>
      <c r="G373" s="18"/>
      <c r="H373" s="18"/>
      <c r="I373" s="18"/>
      <c r="J373" s="18"/>
      <c r="K373" s="18"/>
      <c r="L373" s="18"/>
      <c r="M373" s="18"/>
      <c r="N373" s="18">
        <f>N374</f>
        <v>792</v>
      </c>
      <c r="O373" s="24">
        <f t="shared" si="75"/>
        <v>792</v>
      </c>
      <c r="P373" s="18">
        <f>P374</f>
        <v>0</v>
      </c>
      <c r="Q373" s="24">
        <f t="shared" si="92"/>
        <v>792</v>
      </c>
      <c r="R373" s="18">
        <f>R374</f>
        <v>86920.8</v>
      </c>
      <c r="S373" s="24">
        <f t="shared" si="88"/>
        <v>87712.8</v>
      </c>
      <c r="T373" s="18">
        <f>T374</f>
        <v>0</v>
      </c>
      <c r="U373" s="24">
        <f t="shared" si="104"/>
        <v>87712.8</v>
      </c>
      <c r="V373" s="18">
        <f>V374</f>
        <v>0</v>
      </c>
      <c r="W373" s="24">
        <f t="shared" si="86"/>
        <v>87712.8</v>
      </c>
      <c r="X373" s="18">
        <f>X374</f>
        <v>31224.9</v>
      </c>
      <c r="Y373" s="24">
        <f t="shared" si="87"/>
        <v>118937.70000000001</v>
      </c>
      <c r="Z373" s="189"/>
    </row>
    <row r="374" spans="1:27" s="6" customFormat="1" x14ac:dyDescent="0.25">
      <c r="A374" s="30" t="s">
        <v>66</v>
      </c>
      <c r="B374" s="21" t="s">
        <v>182</v>
      </c>
      <c r="C374" s="21" t="s">
        <v>858</v>
      </c>
      <c r="D374" s="21" t="s">
        <v>42</v>
      </c>
      <c r="E374" s="18"/>
      <c r="F374" s="18"/>
      <c r="G374" s="18"/>
      <c r="H374" s="18"/>
      <c r="I374" s="18"/>
      <c r="J374" s="18"/>
      <c r="K374" s="18"/>
      <c r="L374" s="18"/>
      <c r="M374" s="18"/>
      <c r="N374" s="43">
        <v>792</v>
      </c>
      <c r="O374" s="24">
        <f t="shared" si="75"/>
        <v>792</v>
      </c>
      <c r="P374" s="69"/>
      <c r="Q374" s="24">
        <f t="shared" si="92"/>
        <v>792</v>
      </c>
      <c r="R374" s="43">
        <v>86920.8</v>
      </c>
      <c r="S374" s="24">
        <f t="shared" si="88"/>
        <v>87712.8</v>
      </c>
      <c r="T374" s="69"/>
      <c r="U374" s="24">
        <f t="shared" si="104"/>
        <v>87712.8</v>
      </c>
      <c r="V374" s="69"/>
      <c r="W374" s="24">
        <f t="shared" si="86"/>
        <v>87712.8</v>
      </c>
      <c r="X374" s="43">
        <v>31224.9</v>
      </c>
      <c r="Y374" s="24">
        <f t="shared" si="87"/>
        <v>118937.70000000001</v>
      </c>
      <c r="Z374" s="189"/>
      <c r="AA374" s="189">
        <f>Y374+Z374</f>
        <v>118937.70000000001</v>
      </c>
    </row>
    <row r="375" spans="1:27" s="6" customFormat="1" x14ac:dyDescent="0.25">
      <c r="A375" s="16" t="s">
        <v>604</v>
      </c>
      <c r="B375" s="20" t="s">
        <v>182</v>
      </c>
      <c r="C375" s="20" t="s">
        <v>605</v>
      </c>
      <c r="D375" s="20"/>
      <c r="E375" s="24"/>
      <c r="F375" s="24"/>
      <c r="G375" s="24"/>
      <c r="H375" s="18">
        <f>H376</f>
        <v>2985.7999999999997</v>
      </c>
      <c r="I375" s="24">
        <f t="shared" si="72"/>
        <v>2985.7999999999997</v>
      </c>
      <c r="J375" s="18">
        <f>J376+J418</f>
        <v>100</v>
      </c>
      <c r="K375" s="24">
        <f t="shared" si="73"/>
        <v>3085.7999999999997</v>
      </c>
      <c r="L375" s="18">
        <f>L376+L418+L415</f>
        <v>6007.4000000000005</v>
      </c>
      <c r="M375" s="24">
        <f t="shared" si="74"/>
        <v>9093.2000000000007</v>
      </c>
      <c r="N375" s="18">
        <f>N376+N418+N415</f>
        <v>15815</v>
      </c>
      <c r="O375" s="24">
        <f t="shared" si="75"/>
        <v>24908.2</v>
      </c>
      <c r="P375" s="18">
        <f>P376+P418+P415</f>
        <v>144868.09999999998</v>
      </c>
      <c r="Q375" s="24">
        <f t="shared" si="92"/>
        <v>169776.3</v>
      </c>
      <c r="R375" s="18">
        <f>R376+R418+R415</f>
        <v>-90400.89999999998</v>
      </c>
      <c r="S375" s="24">
        <f t="shared" si="88"/>
        <v>79375.400000000009</v>
      </c>
      <c r="T375" s="18">
        <f>T376+T418+T415</f>
        <v>0</v>
      </c>
      <c r="U375" s="24">
        <f t="shared" si="104"/>
        <v>79375.400000000009</v>
      </c>
      <c r="V375" s="18">
        <f>V376+V418+V415</f>
        <v>52000.600000000006</v>
      </c>
      <c r="W375" s="24">
        <f t="shared" si="86"/>
        <v>131376</v>
      </c>
      <c r="X375" s="18">
        <f>X376+X418+X415</f>
        <v>-29030.1</v>
      </c>
      <c r="Y375" s="24">
        <f t="shared" si="87"/>
        <v>102345.9</v>
      </c>
      <c r="Z375" s="189"/>
    </row>
    <row r="376" spans="1:27" s="6" customFormat="1" x14ac:dyDescent="0.25">
      <c r="A376" s="16" t="s">
        <v>604</v>
      </c>
      <c r="B376" s="20" t="s">
        <v>182</v>
      </c>
      <c r="C376" s="54" t="s">
        <v>791</v>
      </c>
      <c r="D376" s="20"/>
      <c r="E376" s="24"/>
      <c r="F376" s="24"/>
      <c r="G376" s="24"/>
      <c r="H376" s="18">
        <f>H377+H379+H381+H383+H385+H387+H389+H391+H393+H395+H397+H399+H401+H403+H405+H407+H409+H411+H413</f>
        <v>2985.7999999999997</v>
      </c>
      <c r="I376" s="24">
        <f t="shared" si="72"/>
        <v>2985.7999999999997</v>
      </c>
      <c r="J376" s="18"/>
      <c r="K376" s="24">
        <f t="shared" si="73"/>
        <v>2985.7999999999997</v>
      </c>
      <c r="L376" s="18">
        <f>L377+L379+L381+L383+L385+L387+L389+L391+L393+L395+L397+L399+L401+L403+L405+L407+L409+L411+L413</f>
        <v>4487.4000000000005</v>
      </c>
      <c r="M376" s="24">
        <f t="shared" si="74"/>
        <v>7473.2000000000007</v>
      </c>
      <c r="N376" s="18">
        <f>N377+N379+N381+N383+N385+N387+N389+N391+N393+N395+N397+N399+N401+N403+N405+N407+N409+N411+N413</f>
        <v>16607</v>
      </c>
      <c r="O376" s="24">
        <f t="shared" si="75"/>
        <v>24080.2</v>
      </c>
      <c r="P376" s="18">
        <f>P377+P379+P381+P383+P385+P387+P389+P391+P393+P395+P397+P399+P401+P403+P405+P407+P409+P411+P413</f>
        <v>0</v>
      </c>
      <c r="Q376" s="24">
        <f t="shared" si="92"/>
        <v>24080.2</v>
      </c>
      <c r="R376" s="18">
        <f>R377+R379+R381+R383+R385+R387+R389+R391+R393+R395+R397+R399+R401+R403+R405+R407+R409+R411+R413</f>
        <v>-3480</v>
      </c>
      <c r="S376" s="24">
        <f t="shared" si="88"/>
        <v>20600.2</v>
      </c>
      <c r="T376" s="18">
        <f>T377+T379+T381+T383+T385+T387+T389+T391+T393+T395+T397+T399+T401+T403+T405+T407+T409+T411+T413</f>
        <v>0</v>
      </c>
      <c r="U376" s="24">
        <f t="shared" si="104"/>
        <v>20600.2</v>
      </c>
      <c r="V376" s="18">
        <f>V377+V379+V381+V383+V385+V387+V389+V391+V393+V395+V397+V399+V401+V403+V405+V407+V409+V411+V413</f>
        <v>0</v>
      </c>
      <c r="W376" s="24">
        <f t="shared" si="86"/>
        <v>20600.2</v>
      </c>
      <c r="X376" s="18">
        <f>X377+X379+X381+X383+X385+X387+X389+X391+X393+X395+X397+X399+X401+X403+X405+X407+X409+X411+X413</f>
        <v>2400</v>
      </c>
      <c r="Y376" s="24">
        <f t="shared" si="87"/>
        <v>23000.2</v>
      </c>
      <c r="Z376" s="189"/>
    </row>
    <row r="377" spans="1:27" s="6" customFormat="1" hidden="1" x14ac:dyDescent="0.25">
      <c r="A377" s="71" t="s">
        <v>697</v>
      </c>
      <c r="B377" s="20" t="s">
        <v>182</v>
      </c>
      <c r="C377" s="54" t="s">
        <v>715</v>
      </c>
      <c r="D377" s="20"/>
      <c r="E377" s="24"/>
      <c r="F377" s="24"/>
      <c r="G377" s="24"/>
      <c r="H377" s="47">
        <f>H378</f>
        <v>104.8</v>
      </c>
      <c r="I377" s="24">
        <f t="shared" si="72"/>
        <v>104.8</v>
      </c>
      <c r="J377" s="47">
        <f>J378</f>
        <v>0</v>
      </c>
      <c r="K377" s="24">
        <f t="shared" si="73"/>
        <v>104.8</v>
      </c>
      <c r="L377" s="47">
        <f>L378</f>
        <v>-104.8</v>
      </c>
      <c r="M377" s="24">
        <f t="shared" si="74"/>
        <v>0</v>
      </c>
      <c r="N377" s="47">
        <f>N378</f>
        <v>0</v>
      </c>
      <c r="O377" s="24">
        <f t="shared" si="75"/>
        <v>0</v>
      </c>
      <c r="P377" s="47">
        <f>P378</f>
        <v>0</v>
      </c>
      <c r="Q377" s="24">
        <f t="shared" si="92"/>
        <v>0</v>
      </c>
      <c r="R377" s="47">
        <f>R378</f>
        <v>0</v>
      </c>
      <c r="S377" s="24">
        <f t="shared" si="88"/>
        <v>0</v>
      </c>
      <c r="T377" s="47">
        <f>T378</f>
        <v>0</v>
      </c>
      <c r="U377" s="24">
        <f t="shared" si="104"/>
        <v>0</v>
      </c>
      <c r="V377" s="47">
        <f>V378</f>
        <v>0</v>
      </c>
      <c r="W377" s="24">
        <f t="shared" si="86"/>
        <v>0</v>
      </c>
      <c r="X377" s="47">
        <f>X378</f>
        <v>0</v>
      </c>
      <c r="Y377" s="24">
        <f t="shared" si="87"/>
        <v>0</v>
      </c>
      <c r="Z377" s="189"/>
    </row>
    <row r="378" spans="1:27" s="6" customFormat="1" hidden="1" x14ac:dyDescent="0.25">
      <c r="A378" s="30" t="s">
        <v>66</v>
      </c>
      <c r="B378" s="21" t="s">
        <v>182</v>
      </c>
      <c r="C378" s="76" t="s">
        <v>715</v>
      </c>
      <c r="D378" s="21" t="s">
        <v>42</v>
      </c>
      <c r="E378" s="24"/>
      <c r="F378" s="24"/>
      <c r="G378" s="24"/>
      <c r="H378" s="39">
        <v>104.8</v>
      </c>
      <c r="I378" s="24">
        <f t="shared" si="72"/>
        <v>104.8</v>
      </c>
      <c r="J378" s="69"/>
      <c r="K378" s="24">
        <f t="shared" si="73"/>
        <v>104.8</v>
      </c>
      <c r="L378" s="94">
        <v>-104.8</v>
      </c>
      <c r="M378" s="24">
        <f t="shared" si="74"/>
        <v>0</v>
      </c>
      <c r="N378" s="69"/>
      <c r="O378" s="24">
        <f t="shared" si="75"/>
        <v>0</v>
      </c>
      <c r="P378" s="69"/>
      <c r="Q378" s="24">
        <f t="shared" si="92"/>
        <v>0</v>
      </c>
      <c r="R378" s="69"/>
      <c r="S378" s="24">
        <f t="shared" si="88"/>
        <v>0</v>
      </c>
      <c r="T378" s="69"/>
      <c r="U378" s="24">
        <f t="shared" si="104"/>
        <v>0</v>
      </c>
      <c r="V378" s="69"/>
      <c r="W378" s="24">
        <f t="shared" si="86"/>
        <v>0</v>
      </c>
      <c r="X378" s="69"/>
      <c r="Y378" s="24">
        <f t="shared" si="87"/>
        <v>0</v>
      </c>
      <c r="Z378" s="189"/>
      <c r="AA378" s="189">
        <f>Y378+Z378</f>
        <v>0</v>
      </c>
    </row>
    <row r="379" spans="1:27" s="6" customFormat="1" ht="36" x14ac:dyDescent="0.25">
      <c r="A379" s="71" t="s">
        <v>698</v>
      </c>
      <c r="B379" s="20" t="s">
        <v>182</v>
      </c>
      <c r="C379" s="54" t="s">
        <v>864</v>
      </c>
      <c r="D379" s="20"/>
      <c r="E379" s="24"/>
      <c r="F379" s="24"/>
      <c r="G379" s="24"/>
      <c r="H379" s="47">
        <f>H380</f>
        <v>180</v>
      </c>
      <c r="I379" s="24">
        <f t="shared" si="72"/>
        <v>180</v>
      </c>
      <c r="J379" s="47">
        <f>J380</f>
        <v>0</v>
      </c>
      <c r="K379" s="24">
        <f t="shared" si="73"/>
        <v>180</v>
      </c>
      <c r="L379" s="47">
        <f>L380</f>
        <v>360</v>
      </c>
      <c r="M379" s="24">
        <f t="shared" si="74"/>
        <v>540</v>
      </c>
      <c r="N379" s="47">
        <f>N380</f>
        <v>1200</v>
      </c>
      <c r="O379" s="24">
        <f t="shared" si="75"/>
        <v>1740</v>
      </c>
      <c r="P379" s="47">
        <f>P380</f>
        <v>0</v>
      </c>
      <c r="Q379" s="24">
        <f t="shared" si="92"/>
        <v>1740</v>
      </c>
      <c r="R379" s="47">
        <f>R380</f>
        <v>-1740</v>
      </c>
      <c r="S379" s="24">
        <f t="shared" si="88"/>
        <v>0</v>
      </c>
      <c r="T379" s="47">
        <f>T380</f>
        <v>0</v>
      </c>
      <c r="U379" s="24">
        <f t="shared" si="104"/>
        <v>0</v>
      </c>
      <c r="V379" s="47">
        <f>V380</f>
        <v>0</v>
      </c>
      <c r="W379" s="24">
        <f t="shared" si="86"/>
        <v>0</v>
      </c>
      <c r="X379" s="47">
        <f>X380</f>
        <v>1200</v>
      </c>
      <c r="Y379" s="24">
        <f t="shared" si="87"/>
        <v>1200</v>
      </c>
      <c r="Z379" s="189"/>
    </row>
    <row r="380" spans="1:27" s="6" customFormat="1" x14ac:dyDescent="0.25">
      <c r="A380" s="30" t="s">
        <v>66</v>
      </c>
      <c r="B380" s="21" t="s">
        <v>182</v>
      </c>
      <c r="C380" s="76" t="s">
        <v>864</v>
      </c>
      <c r="D380" s="21" t="s">
        <v>42</v>
      </c>
      <c r="E380" s="24"/>
      <c r="F380" s="24"/>
      <c r="G380" s="24"/>
      <c r="H380" s="39">
        <v>180</v>
      </c>
      <c r="I380" s="24">
        <f t="shared" si="72"/>
        <v>180</v>
      </c>
      <c r="J380" s="69"/>
      <c r="K380" s="24">
        <f t="shared" si="73"/>
        <v>180</v>
      </c>
      <c r="L380" s="94">
        <v>360</v>
      </c>
      <c r="M380" s="24">
        <f t="shared" si="74"/>
        <v>540</v>
      </c>
      <c r="N380" s="43">
        <v>1200</v>
      </c>
      <c r="O380" s="24">
        <f t="shared" si="75"/>
        <v>1740</v>
      </c>
      <c r="P380" s="69"/>
      <c r="Q380" s="24">
        <f t="shared" si="92"/>
        <v>1740</v>
      </c>
      <c r="R380" s="39">
        <v>-1740</v>
      </c>
      <c r="S380" s="24">
        <f t="shared" si="88"/>
        <v>0</v>
      </c>
      <c r="T380" s="69"/>
      <c r="U380" s="24">
        <f t="shared" si="104"/>
        <v>0</v>
      </c>
      <c r="V380" s="69"/>
      <c r="W380" s="24">
        <f t="shared" si="86"/>
        <v>0</v>
      </c>
      <c r="X380" s="43">
        <v>1200</v>
      </c>
      <c r="Y380" s="24">
        <f t="shared" si="87"/>
        <v>1200</v>
      </c>
      <c r="Z380" s="189"/>
      <c r="AA380" s="189">
        <f>Y380+Z380</f>
        <v>1200</v>
      </c>
    </row>
    <row r="381" spans="1:27" s="6" customFormat="1" ht="36" x14ac:dyDescent="0.25">
      <c r="A381" s="71" t="s">
        <v>699</v>
      </c>
      <c r="B381" s="20" t="s">
        <v>182</v>
      </c>
      <c r="C381" s="54" t="s">
        <v>865</v>
      </c>
      <c r="D381" s="20"/>
      <c r="E381" s="24"/>
      <c r="F381" s="24"/>
      <c r="G381" s="24"/>
      <c r="H381" s="47">
        <f>H382</f>
        <v>180</v>
      </c>
      <c r="I381" s="24">
        <f t="shared" si="72"/>
        <v>180</v>
      </c>
      <c r="J381" s="47">
        <f>J382</f>
        <v>0</v>
      </c>
      <c r="K381" s="24">
        <f t="shared" si="73"/>
        <v>180</v>
      </c>
      <c r="L381" s="47">
        <f>L382</f>
        <v>360</v>
      </c>
      <c r="M381" s="24">
        <f t="shared" si="74"/>
        <v>540</v>
      </c>
      <c r="N381" s="47">
        <f>N382</f>
        <v>1200</v>
      </c>
      <c r="O381" s="24">
        <f t="shared" si="75"/>
        <v>1740</v>
      </c>
      <c r="P381" s="47">
        <f>P382</f>
        <v>0</v>
      </c>
      <c r="Q381" s="24">
        <f t="shared" si="92"/>
        <v>1740</v>
      </c>
      <c r="R381" s="47">
        <f>R382</f>
        <v>-1740</v>
      </c>
      <c r="S381" s="24">
        <f t="shared" si="88"/>
        <v>0</v>
      </c>
      <c r="T381" s="47">
        <f>T382</f>
        <v>0</v>
      </c>
      <c r="U381" s="24">
        <f t="shared" si="104"/>
        <v>0</v>
      </c>
      <c r="V381" s="47">
        <f>V382</f>
        <v>0</v>
      </c>
      <c r="W381" s="24">
        <f t="shared" si="86"/>
        <v>0</v>
      </c>
      <c r="X381" s="47">
        <f>X382</f>
        <v>1200</v>
      </c>
      <c r="Y381" s="24">
        <f t="shared" si="87"/>
        <v>1200</v>
      </c>
      <c r="Z381" s="189"/>
    </row>
    <row r="382" spans="1:27" s="6" customFormat="1" x14ac:dyDescent="0.25">
      <c r="A382" s="30" t="s">
        <v>66</v>
      </c>
      <c r="B382" s="21" t="s">
        <v>182</v>
      </c>
      <c r="C382" s="76" t="s">
        <v>865</v>
      </c>
      <c r="D382" s="21" t="s">
        <v>42</v>
      </c>
      <c r="E382" s="24"/>
      <c r="F382" s="24"/>
      <c r="G382" s="24"/>
      <c r="H382" s="39">
        <v>180</v>
      </c>
      <c r="I382" s="24">
        <f t="shared" si="72"/>
        <v>180</v>
      </c>
      <c r="J382" s="69"/>
      <c r="K382" s="24">
        <f t="shared" si="73"/>
        <v>180</v>
      </c>
      <c r="L382" s="94">
        <v>360</v>
      </c>
      <c r="M382" s="24">
        <f t="shared" si="74"/>
        <v>540</v>
      </c>
      <c r="N382" s="43">
        <v>1200</v>
      </c>
      <c r="O382" s="24">
        <f t="shared" si="75"/>
        <v>1740</v>
      </c>
      <c r="P382" s="69"/>
      <c r="Q382" s="24">
        <f t="shared" si="92"/>
        <v>1740</v>
      </c>
      <c r="R382" s="39">
        <v>-1740</v>
      </c>
      <c r="S382" s="24">
        <f t="shared" si="88"/>
        <v>0</v>
      </c>
      <c r="T382" s="69"/>
      <c r="U382" s="24">
        <f t="shared" si="104"/>
        <v>0</v>
      </c>
      <c r="V382" s="69"/>
      <c r="W382" s="24">
        <f t="shared" si="86"/>
        <v>0</v>
      </c>
      <c r="X382" s="43">
        <v>1200</v>
      </c>
      <c r="Y382" s="24">
        <f t="shared" si="87"/>
        <v>1200</v>
      </c>
      <c r="Z382" s="189"/>
      <c r="AA382" s="189">
        <f>Y382+Z382</f>
        <v>1200</v>
      </c>
    </row>
    <row r="383" spans="1:27" s="6" customFormat="1" ht="36" x14ac:dyDescent="0.25">
      <c r="A383" s="72" t="s">
        <v>700</v>
      </c>
      <c r="B383" s="20" t="s">
        <v>182</v>
      </c>
      <c r="C383" s="54" t="s">
        <v>866</v>
      </c>
      <c r="D383" s="20"/>
      <c r="E383" s="24"/>
      <c r="F383" s="24"/>
      <c r="G383" s="24"/>
      <c r="H383" s="47">
        <f>H384</f>
        <v>180</v>
      </c>
      <c r="I383" s="24">
        <f t="shared" si="72"/>
        <v>180</v>
      </c>
      <c r="J383" s="47">
        <f>J384</f>
        <v>0</v>
      </c>
      <c r="K383" s="24">
        <f t="shared" si="73"/>
        <v>180</v>
      </c>
      <c r="L383" s="47">
        <f>L384</f>
        <v>360</v>
      </c>
      <c r="M383" s="24">
        <f t="shared" si="74"/>
        <v>540</v>
      </c>
      <c r="N383" s="47">
        <f>N384</f>
        <v>1200</v>
      </c>
      <c r="O383" s="24">
        <f t="shared" si="75"/>
        <v>1740</v>
      </c>
      <c r="P383" s="47">
        <f>P384</f>
        <v>0</v>
      </c>
      <c r="Q383" s="24">
        <f t="shared" si="92"/>
        <v>1740</v>
      </c>
      <c r="R383" s="47">
        <f>R384</f>
        <v>0</v>
      </c>
      <c r="S383" s="24">
        <f t="shared" si="88"/>
        <v>1740</v>
      </c>
      <c r="T383" s="47">
        <f>T384</f>
        <v>0</v>
      </c>
      <c r="U383" s="24">
        <f t="shared" si="104"/>
        <v>1740</v>
      </c>
      <c r="V383" s="47">
        <f>V384</f>
        <v>0</v>
      </c>
      <c r="W383" s="24">
        <f t="shared" si="86"/>
        <v>1740</v>
      </c>
      <c r="X383" s="47">
        <f>X384</f>
        <v>0</v>
      </c>
      <c r="Y383" s="24">
        <f t="shared" si="87"/>
        <v>1740</v>
      </c>
      <c r="Z383" s="189"/>
    </row>
    <row r="384" spans="1:27" s="6" customFormat="1" x14ac:dyDescent="0.25">
      <c r="A384" s="30" t="s">
        <v>66</v>
      </c>
      <c r="B384" s="21" t="s">
        <v>182</v>
      </c>
      <c r="C384" s="76" t="s">
        <v>866</v>
      </c>
      <c r="D384" s="21" t="s">
        <v>42</v>
      </c>
      <c r="E384" s="24"/>
      <c r="F384" s="24"/>
      <c r="G384" s="24"/>
      <c r="H384" s="39">
        <v>180</v>
      </c>
      <c r="I384" s="24">
        <f t="shared" si="72"/>
        <v>180</v>
      </c>
      <c r="J384" s="69"/>
      <c r="K384" s="24">
        <f t="shared" si="73"/>
        <v>180</v>
      </c>
      <c r="L384" s="94">
        <v>360</v>
      </c>
      <c r="M384" s="24">
        <f t="shared" si="74"/>
        <v>540</v>
      </c>
      <c r="N384" s="43">
        <v>1200</v>
      </c>
      <c r="O384" s="24">
        <f t="shared" si="75"/>
        <v>1740</v>
      </c>
      <c r="P384" s="69"/>
      <c r="Q384" s="24">
        <f t="shared" si="92"/>
        <v>1740</v>
      </c>
      <c r="R384" s="69"/>
      <c r="S384" s="24">
        <f t="shared" si="88"/>
        <v>1740</v>
      </c>
      <c r="T384" s="69"/>
      <c r="U384" s="24">
        <f t="shared" si="104"/>
        <v>1740</v>
      </c>
      <c r="V384" s="69"/>
      <c r="W384" s="24">
        <f t="shared" si="86"/>
        <v>1740</v>
      </c>
      <c r="X384" s="69"/>
      <c r="Y384" s="24">
        <f t="shared" si="87"/>
        <v>1740</v>
      </c>
      <c r="Z384" s="189"/>
      <c r="AA384" s="189">
        <f>Y384+Z384</f>
        <v>1740</v>
      </c>
    </row>
    <row r="385" spans="1:27" s="6" customFormat="1" ht="24" x14ac:dyDescent="0.25">
      <c r="A385" s="72" t="s">
        <v>701</v>
      </c>
      <c r="B385" s="20" t="s">
        <v>182</v>
      </c>
      <c r="C385" s="54" t="s">
        <v>867</v>
      </c>
      <c r="D385" s="20"/>
      <c r="E385" s="24"/>
      <c r="F385" s="24"/>
      <c r="G385" s="24"/>
      <c r="H385" s="47">
        <f>H386</f>
        <v>180</v>
      </c>
      <c r="I385" s="24">
        <f t="shared" si="72"/>
        <v>180</v>
      </c>
      <c r="J385" s="47">
        <f>J386</f>
        <v>0</v>
      </c>
      <c r="K385" s="24">
        <f t="shared" si="73"/>
        <v>180</v>
      </c>
      <c r="L385" s="47">
        <f>L386</f>
        <v>360</v>
      </c>
      <c r="M385" s="24">
        <f t="shared" si="74"/>
        <v>540</v>
      </c>
      <c r="N385" s="47">
        <f>N386</f>
        <v>1200</v>
      </c>
      <c r="O385" s="24">
        <f t="shared" si="75"/>
        <v>1740</v>
      </c>
      <c r="P385" s="47">
        <f>P386</f>
        <v>0</v>
      </c>
      <c r="Q385" s="24">
        <f t="shared" si="92"/>
        <v>1740</v>
      </c>
      <c r="R385" s="47">
        <f>R386</f>
        <v>0</v>
      </c>
      <c r="S385" s="24">
        <f t="shared" si="88"/>
        <v>1740</v>
      </c>
      <c r="T385" s="47">
        <f>T386</f>
        <v>0</v>
      </c>
      <c r="U385" s="24">
        <f t="shared" si="104"/>
        <v>1740</v>
      </c>
      <c r="V385" s="47">
        <f>V386</f>
        <v>0</v>
      </c>
      <c r="W385" s="24">
        <f t="shared" si="86"/>
        <v>1740</v>
      </c>
      <c r="X385" s="47">
        <f>X386</f>
        <v>0</v>
      </c>
      <c r="Y385" s="24">
        <f t="shared" si="87"/>
        <v>1740</v>
      </c>
      <c r="Z385" s="189"/>
    </row>
    <row r="386" spans="1:27" s="6" customFormat="1" x14ac:dyDescent="0.25">
      <c r="A386" s="30" t="s">
        <v>66</v>
      </c>
      <c r="B386" s="21" t="s">
        <v>182</v>
      </c>
      <c r="C386" s="76" t="s">
        <v>867</v>
      </c>
      <c r="D386" s="21" t="s">
        <v>42</v>
      </c>
      <c r="E386" s="24"/>
      <c r="F386" s="24"/>
      <c r="G386" s="24"/>
      <c r="H386" s="39">
        <v>180</v>
      </c>
      <c r="I386" s="24">
        <f t="shared" si="72"/>
        <v>180</v>
      </c>
      <c r="J386" s="69"/>
      <c r="K386" s="24">
        <f t="shared" si="73"/>
        <v>180</v>
      </c>
      <c r="L386" s="94">
        <v>360</v>
      </c>
      <c r="M386" s="24">
        <f t="shared" si="74"/>
        <v>540</v>
      </c>
      <c r="N386" s="43">
        <v>1200</v>
      </c>
      <c r="O386" s="24">
        <f t="shared" si="75"/>
        <v>1740</v>
      </c>
      <c r="P386" s="69"/>
      <c r="Q386" s="24">
        <f t="shared" si="92"/>
        <v>1740</v>
      </c>
      <c r="R386" s="69"/>
      <c r="S386" s="24">
        <f t="shared" si="88"/>
        <v>1740</v>
      </c>
      <c r="T386" s="69"/>
      <c r="U386" s="24">
        <f t="shared" si="104"/>
        <v>1740</v>
      </c>
      <c r="V386" s="69"/>
      <c r="W386" s="24">
        <f t="shared" si="86"/>
        <v>1740</v>
      </c>
      <c r="X386" s="69"/>
      <c r="Y386" s="24">
        <f t="shared" si="87"/>
        <v>1740</v>
      </c>
      <c r="Z386" s="189"/>
      <c r="AA386" s="189">
        <f>Y386+Z386</f>
        <v>1740</v>
      </c>
    </row>
    <row r="387" spans="1:27" s="6" customFormat="1" ht="24" x14ac:dyDescent="0.25">
      <c r="A387" s="73" t="s">
        <v>702</v>
      </c>
      <c r="B387" s="20" t="s">
        <v>182</v>
      </c>
      <c r="C387" s="54" t="s">
        <v>1258</v>
      </c>
      <c r="D387" s="20"/>
      <c r="E387" s="24"/>
      <c r="F387" s="24"/>
      <c r="G387" s="24"/>
      <c r="H387" s="47">
        <f>H388</f>
        <v>180</v>
      </c>
      <c r="I387" s="24">
        <f t="shared" si="72"/>
        <v>180</v>
      </c>
      <c r="J387" s="47">
        <f>J388</f>
        <v>0</v>
      </c>
      <c r="K387" s="24">
        <f t="shared" si="73"/>
        <v>180</v>
      </c>
      <c r="L387" s="47">
        <f>L388</f>
        <v>360</v>
      </c>
      <c r="M387" s="24">
        <f t="shared" si="74"/>
        <v>540</v>
      </c>
      <c r="N387" s="47">
        <f>N388</f>
        <v>1200</v>
      </c>
      <c r="O387" s="24">
        <f t="shared" si="75"/>
        <v>1740</v>
      </c>
      <c r="P387" s="47">
        <f>P388</f>
        <v>0</v>
      </c>
      <c r="Q387" s="24">
        <f t="shared" si="92"/>
        <v>1740</v>
      </c>
      <c r="R387" s="47">
        <f>R388</f>
        <v>0</v>
      </c>
      <c r="S387" s="24">
        <f t="shared" si="88"/>
        <v>1740</v>
      </c>
      <c r="T387" s="47">
        <f>T388</f>
        <v>0</v>
      </c>
      <c r="U387" s="24">
        <f t="shared" si="104"/>
        <v>1740</v>
      </c>
      <c r="V387" s="47">
        <f>V388</f>
        <v>0</v>
      </c>
      <c r="W387" s="24">
        <f t="shared" si="86"/>
        <v>1740</v>
      </c>
      <c r="X387" s="47">
        <f>X388</f>
        <v>0</v>
      </c>
      <c r="Y387" s="24">
        <f t="shared" si="87"/>
        <v>1740</v>
      </c>
      <c r="Z387" s="189"/>
    </row>
    <row r="388" spans="1:27" s="6" customFormat="1" x14ac:dyDescent="0.25">
      <c r="A388" s="30" t="s">
        <v>66</v>
      </c>
      <c r="B388" s="21" t="s">
        <v>182</v>
      </c>
      <c r="C388" s="76" t="s">
        <v>1258</v>
      </c>
      <c r="D388" s="21" t="s">
        <v>42</v>
      </c>
      <c r="E388" s="24"/>
      <c r="F388" s="24"/>
      <c r="G388" s="24"/>
      <c r="H388" s="39">
        <v>180</v>
      </c>
      <c r="I388" s="24">
        <f t="shared" si="72"/>
        <v>180</v>
      </c>
      <c r="J388" s="69"/>
      <c r="K388" s="24">
        <f t="shared" si="73"/>
        <v>180</v>
      </c>
      <c r="L388" s="94">
        <v>360</v>
      </c>
      <c r="M388" s="24">
        <f t="shared" si="74"/>
        <v>540</v>
      </c>
      <c r="N388" s="43">
        <v>1200</v>
      </c>
      <c r="O388" s="24">
        <f t="shared" si="75"/>
        <v>1740</v>
      </c>
      <c r="P388" s="69"/>
      <c r="Q388" s="24">
        <f t="shared" si="92"/>
        <v>1740</v>
      </c>
      <c r="R388" s="39"/>
      <c r="S388" s="24">
        <f t="shared" si="88"/>
        <v>1740</v>
      </c>
      <c r="T388" s="69"/>
      <c r="U388" s="24">
        <f t="shared" si="104"/>
        <v>1740</v>
      </c>
      <c r="V388" s="69"/>
      <c r="W388" s="24">
        <f t="shared" si="86"/>
        <v>1740</v>
      </c>
      <c r="X388" s="69"/>
      <c r="Y388" s="24">
        <f t="shared" si="87"/>
        <v>1740</v>
      </c>
      <c r="Z388" s="189"/>
      <c r="AA388" s="189">
        <f>Y388+Z388</f>
        <v>1740</v>
      </c>
    </row>
    <row r="389" spans="1:27" s="6" customFormat="1" ht="24" x14ac:dyDescent="0.25">
      <c r="A389" s="73" t="s">
        <v>703</v>
      </c>
      <c r="B389" s="20" t="s">
        <v>182</v>
      </c>
      <c r="C389" s="54" t="s">
        <v>868</v>
      </c>
      <c r="D389" s="20"/>
      <c r="E389" s="24"/>
      <c r="F389" s="24"/>
      <c r="G389" s="24"/>
      <c r="H389" s="47">
        <f>H390</f>
        <v>180</v>
      </c>
      <c r="I389" s="24">
        <f t="shared" si="72"/>
        <v>180</v>
      </c>
      <c r="J389" s="47">
        <f>J390</f>
        <v>0</v>
      </c>
      <c r="K389" s="24">
        <f t="shared" si="73"/>
        <v>180</v>
      </c>
      <c r="L389" s="47">
        <f>L390</f>
        <v>360</v>
      </c>
      <c r="M389" s="24">
        <f t="shared" si="74"/>
        <v>540</v>
      </c>
      <c r="N389" s="47">
        <f>N390</f>
        <v>1200</v>
      </c>
      <c r="O389" s="24">
        <f t="shared" si="75"/>
        <v>1740</v>
      </c>
      <c r="P389" s="47">
        <f>P390</f>
        <v>0</v>
      </c>
      <c r="Q389" s="24">
        <f t="shared" si="92"/>
        <v>1740</v>
      </c>
      <c r="R389" s="47">
        <f>R390</f>
        <v>0</v>
      </c>
      <c r="S389" s="24">
        <f t="shared" si="88"/>
        <v>1740</v>
      </c>
      <c r="T389" s="47">
        <f>T390</f>
        <v>0</v>
      </c>
      <c r="U389" s="24">
        <f t="shared" si="104"/>
        <v>1740</v>
      </c>
      <c r="V389" s="47">
        <f>V390</f>
        <v>0</v>
      </c>
      <c r="W389" s="24">
        <f t="shared" si="86"/>
        <v>1740</v>
      </c>
      <c r="X389" s="47">
        <f>X390</f>
        <v>0</v>
      </c>
      <c r="Y389" s="24">
        <f t="shared" si="87"/>
        <v>1740</v>
      </c>
      <c r="Z389" s="189"/>
    </row>
    <row r="390" spans="1:27" s="6" customFormat="1" x14ac:dyDescent="0.25">
      <c r="A390" s="30" t="s">
        <v>66</v>
      </c>
      <c r="B390" s="21" t="s">
        <v>182</v>
      </c>
      <c r="C390" s="76" t="s">
        <v>868</v>
      </c>
      <c r="D390" s="21" t="s">
        <v>42</v>
      </c>
      <c r="E390" s="24"/>
      <c r="F390" s="24"/>
      <c r="G390" s="24"/>
      <c r="H390" s="39">
        <v>180</v>
      </c>
      <c r="I390" s="24">
        <f t="shared" si="72"/>
        <v>180</v>
      </c>
      <c r="J390" s="69"/>
      <c r="K390" s="24">
        <f t="shared" si="73"/>
        <v>180</v>
      </c>
      <c r="L390" s="94">
        <v>360</v>
      </c>
      <c r="M390" s="24">
        <f t="shared" si="74"/>
        <v>540</v>
      </c>
      <c r="N390" s="43">
        <v>1200</v>
      </c>
      <c r="O390" s="24">
        <f t="shared" si="75"/>
        <v>1740</v>
      </c>
      <c r="P390" s="69"/>
      <c r="Q390" s="24">
        <f t="shared" si="92"/>
        <v>1740</v>
      </c>
      <c r="R390" s="69"/>
      <c r="S390" s="24">
        <f t="shared" si="88"/>
        <v>1740</v>
      </c>
      <c r="T390" s="69"/>
      <c r="U390" s="24">
        <f t="shared" si="104"/>
        <v>1740</v>
      </c>
      <c r="V390" s="69"/>
      <c r="W390" s="24">
        <f t="shared" si="86"/>
        <v>1740</v>
      </c>
      <c r="X390" s="69"/>
      <c r="Y390" s="24">
        <f t="shared" si="87"/>
        <v>1740</v>
      </c>
      <c r="Z390" s="189"/>
      <c r="AA390" s="189">
        <f>Y390+Z390</f>
        <v>1740</v>
      </c>
    </row>
    <row r="391" spans="1:27" s="6" customFormat="1" ht="36" x14ac:dyDescent="0.25">
      <c r="A391" s="73" t="s">
        <v>704</v>
      </c>
      <c r="B391" s="20" t="s">
        <v>182</v>
      </c>
      <c r="C391" s="54" t="s">
        <v>869</v>
      </c>
      <c r="D391" s="20"/>
      <c r="E391" s="24"/>
      <c r="F391" s="24"/>
      <c r="G391" s="24"/>
      <c r="H391" s="47">
        <f>H392</f>
        <v>180</v>
      </c>
      <c r="I391" s="24">
        <f t="shared" si="72"/>
        <v>180</v>
      </c>
      <c r="J391" s="47">
        <f>J392</f>
        <v>0</v>
      </c>
      <c r="K391" s="24">
        <f t="shared" si="73"/>
        <v>180</v>
      </c>
      <c r="L391" s="47">
        <f>L392</f>
        <v>360</v>
      </c>
      <c r="M391" s="24">
        <f t="shared" si="74"/>
        <v>540</v>
      </c>
      <c r="N391" s="47">
        <f>N392</f>
        <v>1200</v>
      </c>
      <c r="O391" s="24">
        <f t="shared" si="75"/>
        <v>1740</v>
      </c>
      <c r="P391" s="47">
        <f>P392</f>
        <v>0</v>
      </c>
      <c r="Q391" s="24">
        <f t="shared" si="92"/>
        <v>1740</v>
      </c>
      <c r="R391" s="47">
        <f>R392</f>
        <v>0</v>
      </c>
      <c r="S391" s="24">
        <f t="shared" si="88"/>
        <v>1740</v>
      </c>
      <c r="T391" s="47">
        <f>T392</f>
        <v>0</v>
      </c>
      <c r="U391" s="24">
        <f t="shared" si="104"/>
        <v>1740</v>
      </c>
      <c r="V391" s="47">
        <f>V392</f>
        <v>0</v>
      </c>
      <c r="W391" s="24">
        <f t="shared" si="86"/>
        <v>1740</v>
      </c>
      <c r="X391" s="47">
        <f>X392</f>
        <v>0</v>
      </c>
      <c r="Y391" s="24">
        <f t="shared" si="87"/>
        <v>1740</v>
      </c>
      <c r="Z391" s="189"/>
    </row>
    <row r="392" spans="1:27" s="6" customFormat="1" x14ac:dyDescent="0.25">
      <c r="A392" s="30" t="s">
        <v>66</v>
      </c>
      <c r="B392" s="21" t="s">
        <v>182</v>
      </c>
      <c r="C392" s="76" t="s">
        <v>869</v>
      </c>
      <c r="D392" s="21" t="s">
        <v>42</v>
      </c>
      <c r="E392" s="24"/>
      <c r="F392" s="24"/>
      <c r="G392" s="24"/>
      <c r="H392" s="39">
        <v>180</v>
      </c>
      <c r="I392" s="24">
        <f t="shared" si="72"/>
        <v>180</v>
      </c>
      <c r="J392" s="69"/>
      <c r="K392" s="24">
        <f t="shared" si="73"/>
        <v>180</v>
      </c>
      <c r="L392" s="94">
        <v>360</v>
      </c>
      <c r="M392" s="24">
        <f t="shared" si="74"/>
        <v>540</v>
      </c>
      <c r="N392" s="43">
        <v>1200</v>
      </c>
      <c r="O392" s="24">
        <f t="shared" si="75"/>
        <v>1740</v>
      </c>
      <c r="P392" s="69"/>
      <c r="Q392" s="24">
        <f t="shared" si="92"/>
        <v>1740</v>
      </c>
      <c r="R392" s="69"/>
      <c r="S392" s="24">
        <f t="shared" si="88"/>
        <v>1740</v>
      </c>
      <c r="T392" s="69"/>
      <c r="U392" s="24">
        <f t="shared" si="104"/>
        <v>1740</v>
      </c>
      <c r="V392" s="69"/>
      <c r="W392" s="24">
        <f t="shared" si="86"/>
        <v>1740</v>
      </c>
      <c r="X392" s="69"/>
      <c r="Y392" s="24">
        <f t="shared" si="87"/>
        <v>1740</v>
      </c>
      <c r="Z392" s="189"/>
      <c r="AA392" s="189">
        <f>Y392+Z392</f>
        <v>1740</v>
      </c>
    </row>
    <row r="393" spans="1:27" s="6" customFormat="1" hidden="1" x14ac:dyDescent="0.25">
      <c r="A393" s="72" t="s">
        <v>705</v>
      </c>
      <c r="B393" s="20" t="s">
        <v>182</v>
      </c>
      <c r="C393" s="54" t="s">
        <v>716</v>
      </c>
      <c r="D393" s="20"/>
      <c r="E393" s="24"/>
      <c r="F393" s="24"/>
      <c r="G393" s="24"/>
      <c r="H393" s="47">
        <f>H394</f>
        <v>180</v>
      </c>
      <c r="I393" s="24">
        <f t="shared" si="72"/>
        <v>180</v>
      </c>
      <c r="J393" s="47">
        <f>J394</f>
        <v>0</v>
      </c>
      <c r="K393" s="24">
        <f t="shared" si="73"/>
        <v>180</v>
      </c>
      <c r="L393" s="47">
        <f>L394</f>
        <v>-180</v>
      </c>
      <c r="M393" s="24">
        <f t="shared" si="74"/>
        <v>0</v>
      </c>
      <c r="N393" s="47">
        <f>N394</f>
        <v>0</v>
      </c>
      <c r="O393" s="24">
        <f t="shared" si="75"/>
        <v>0</v>
      </c>
      <c r="P393" s="47">
        <f>P394</f>
        <v>0</v>
      </c>
      <c r="Q393" s="24">
        <f t="shared" si="92"/>
        <v>0</v>
      </c>
      <c r="R393" s="47">
        <f>R394</f>
        <v>0</v>
      </c>
      <c r="S393" s="24">
        <f t="shared" si="88"/>
        <v>0</v>
      </c>
      <c r="T393" s="47">
        <f>T394</f>
        <v>0</v>
      </c>
      <c r="U393" s="24">
        <f t="shared" si="104"/>
        <v>0</v>
      </c>
      <c r="V393" s="47">
        <f>V394</f>
        <v>0</v>
      </c>
      <c r="W393" s="24">
        <f t="shared" si="86"/>
        <v>0</v>
      </c>
      <c r="X393" s="47">
        <f>X394</f>
        <v>0</v>
      </c>
      <c r="Y393" s="24">
        <f t="shared" si="87"/>
        <v>0</v>
      </c>
      <c r="Z393" s="189"/>
    </row>
    <row r="394" spans="1:27" s="6" customFormat="1" hidden="1" x14ac:dyDescent="0.25">
      <c r="A394" s="30" t="s">
        <v>66</v>
      </c>
      <c r="B394" s="21" t="s">
        <v>182</v>
      </c>
      <c r="C394" s="76" t="s">
        <v>716</v>
      </c>
      <c r="D394" s="21" t="s">
        <v>42</v>
      </c>
      <c r="E394" s="24"/>
      <c r="F394" s="24"/>
      <c r="G394" s="24"/>
      <c r="H394" s="39">
        <v>180</v>
      </c>
      <c r="I394" s="24">
        <f t="shared" si="72"/>
        <v>180</v>
      </c>
      <c r="J394" s="69"/>
      <c r="K394" s="24">
        <f t="shared" si="73"/>
        <v>180</v>
      </c>
      <c r="L394" s="94">
        <v>-180</v>
      </c>
      <c r="M394" s="24">
        <f t="shared" si="74"/>
        <v>0</v>
      </c>
      <c r="N394" s="69"/>
      <c r="O394" s="24">
        <f t="shared" si="75"/>
        <v>0</v>
      </c>
      <c r="P394" s="69"/>
      <c r="Q394" s="24">
        <f t="shared" si="92"/>
        <v>0</v>
      </c>
      <c r="R394" s="69"/>
      <c r="S394" s="24">
        <f t="shared" si="88"/>
        <v>0</v>
      </c>
      <c r="T394" s="69"/>
      <c r="U394" s="24">
        <f t="shared" si="104"/>
        <v>0</v>
      </c>
      <c r="V394" s="69"/>
      <c r="W394" s="24">
        <f t="shared" si="86"/>
        <v>0</v>
      </c>
      <c r="X394" s="69"/>
      <c r="Y394" s="24">
        <f t="shared" si="87"/>
        <v>0</v>
      </c>
      <c r="Z394" s="189"/>
      <c r="AA394" s="189">
        <f>Y394+Z394</f>
        <v>0</v>
      </c>
    </row>
    <row r="395" spans="1:27" s="6" customFormat="1" ht="24" x14ac:dyDescent="0.25">
      <c r="A395" s="72" t="s">
        <v>706</v>
      </c>
      <c r="B395" s="20" t="s">
        <v>182</v>
      </c>
      <c r="C395" s="54" t="s">
        <v>870</v>
      </c>
      <c r="D395" s="20"/>
      <c r="E395" s="24"/>
      <c r="F395" s="24"/>
      <c r="G395" s="24"/>
      <c r="H395" s="47">
        <f>H396</f>
        <v>180</v>
      </c>
      <c r="I395" s="24">
        <f t="shared" si="72"/>
        <v>180</v>
      </c>
      <c r="J395" s="47">
        <f>J396</f>
        <v>0</v>
      </c>
      <c r="K395" s="24">
        <f t="shared" si="73"/>
        <v>180</v>
      </c>
      <c r="L395" s="47">
        <f>L396</f>
        <v>360</v>
      </c>
      <c r="M395" s="24">
        <f t="shared" si="74"/>
        <v>540</v>
      </c>
      <c r="N395" s="47">
        <f>N396</f>
        <v>1200</v>
      </c>
      <c r="O395" s="24">
        <f t="shared" si="75"/>
        <v>1740</v>
      </c>
      <c r="P395" s="47">
        <f>P396</f>
        <v>0</v>
      </c>
      <c r="Q395" s="24">
        <f t="shared" si="92"/>
        <v>1740</v>
      </c>
      <c r="R395" s="47">
        <f>R396</f>
        <v>0</v>
      </c>
      <c r="S395" s="24">
        <f t="shared" si="88"/>
        <v>1740</v>
      </c>
      <c r="T395" s="47">
        <f>T396</f>
        <v>0</v>
      </c>
      <c r="U395" s="24">
        <f t="shared" si="104"/>
        <v>1740</v>
      </c>
      <c r="V395" s="47">
        <f>V396</f>
        <v>0</v>
      </c>
      <c r="W395" s="24">
        <f t="shared" ref="W395:W458" si="105">U395+V395</f>
        <v>1740</v>
      </c>
      <c r="X395" s="47">
        <f>X396</f>
        <v>0</v>
      </c>
      <c r="Y395" s="24">
        <f t="shared" ref="Y395:Y458" si="106">W395+X395</f>
        <v>1740</v>
      </c>
      <c r="Z395" s="189"/>
    </row>
    <row r="396" spans="1:27" s="6" customFormat="1" x14ac:dyDescent="0.25">
      <c r="A396" s="30" t="s">
        <v>66</v>
      </c>
      <c r="B396" s="21" t="s">
        <v>182</v>
      </c>
      <c r="C396" s="76" t="s">
        <v>870</v>
      </c>
      <c r="D396" s="21" t="s">
        <v>42</v>
      </c>
      <c r="E396" s="24"/>
      <c r="F396" s="24"/>
      <c r="G396" s="24"/>
      <c r="H396" s="39">
        <v>180</v>
      </c>
      <c r="I396" s="24">
        <f t="shared" si="72"/>
        <v>180</v>
      </c>
      <c r="J396" s="69"/>
      <c r="K396" s="24">
        <f t="shared" si="73"/>
        <v>180</v>
      </c>
      <c r="L396" s="94">
        <v>360</v>
      </c>
      <c r="M396" s="24">
        <f t="shared" si="74"/>
        <v>540</v>
      </c>
      <c r="N396" s="43">
        <v>1200</v>
      </c>
      <c r="O396" s="24">
        <f t="shared" si="75"/>
        <v>1740</v>
      </c>
      <c r="P396" s="69"/>
      <c r="Q396" s="24">
        <f t="shared" si="92"/>
        <v>1740</v>
      </c>
      <c r="R396" s="69"/>
      <c r="S396" s="24">
        <f t="shared" si="88"/>
        <v>1740</v>
      </c>
      <c r="T396" s="69"/>
      <c r="U396" s="24">
        <f t="shared" si="104"/>
        <v>1740</v>
      </c>
      <c r="V396" s="69"/>
      <c r="W396" s="24">
        <f t="shared" si="105"/>
        <v>1740</v>
      </c>
      <c r="X396" s="69"/>
      <c r="Y396" s="24">
        <f t="shared" si="106"/>
        <v>1740</v>
      </c>
      <c r="Z396" s="189"/>
      <c r="AA396" s="189">
        <f>Y396+Z396</f>
        <v>1740</v>
      </c>
    </row>
    <row r="397" spans="1:27" s="6" customFormat="1" x14ac:dyDescent="0.25">
      <c r="A397" s="72" t="s">
        <v>758</v>
      </c>
      <c r="B397" s="20" t="s">
        <v>182</v>
      </c>
      <c r="C397" s="54" t="s">
        <v>1259</v>
      </c>
      <c r="D397" s="20"/>
      <c r="E397" s="24"/>
      <c r="F397" s="24"/>
      <c r="G397" s="24"/>
      <c r="H397" s="47">
        <f>H398</f>
        <v>180</v>
      </c>
      <c r="I397" s="24">
        <f t="shared" si="72"/>
        <v>180</v>
      </c>
      <c r="J397" s="47">
        <f>J398</f>
        <v>0</v>
      </c>
      <c r="K397" s="24">
        <f t="shared" si="73"/>
        <v>180</v>
      </c>
      <c r="L397" s="47">
        <f>L398</f>
        <v>270</v>
      </c>
      <c r="M397" s="24">
        <f t="shared" si="74"/>
        <v>450</v>
      </c>
      <c r="N397" s="47">
        <f>N398</f>
        <v>1000</v>
      </c>
      <c r="O397" s="24">
        <f t="shared" si="75"/>
        <v>1450</v>
      </c>
      <c r="P397" s="47">
        <f>P398</f>
        <v>0</v>
      </c>
      <c r="Q397" s="24">
        <f t="shared" si="92"/>
        <v>1450</v>
      </c>
      <c r="R397" s="47">
        <f>R398</f>
        <v>0</v>
      </c>
      <c r="S397" s="24">
        <f t="shared" si="88"/>
        <v>1450</v>
      </c>
      <c r="T397" s="47">
        <f>T398</f>
        <v>0</v>
      </c>
      <c r="U397" s="24">
        <f t="shared" si="104"/>
        <v>1450</v>
      </c>
      <c r="V397" s="47">
        <f>V398</f>
        <v>0</v>
      </c>
      <c r="W397" s="24">
        <f t="shared" si="105"/>
        <v>1450</v>
      </c>
      <c r="X397" s="47">
        <f>X398</f>
        <v>0</v>
      </c>
      <c r="Y397" s="24">
        <f t="shared" si="106"/>
        <v>1450</v>
      </c>
      <c r="Z397" s="189"/>
    </row>
    <row r="398" spans="1:27" s="6" customFormat="1" x14ac:dyDescent="0.25">
      <c r="A398" s="30" t="s">
        <v>66</v>
      </c>
      <c r="B398" s="21" t="s">
        <v>182</v>
      </c>
      <c r="C398" s="76" t="s">
        <v>1259</v>
      </c>
      <c r="D398" s="21" t="s">
        <v>42</v>
      </c>
      <c r="E398" s="24"/>
      <c r="F398" s="24"/>
      <c r="G398" s="24"/>
      <c r="H398" s="39">
        <v>180</v>
      </c>
      <c r="I398" s="24">
        <f t="shared" si="72"/>
        <v>180</v>
      </c>
      <c r="J398" s="69"/>
      <c r="K398" s="24">
        <f t="shared" si="73"/>
        <v>180</v>
      </c>
      <c r="L398" s="94">
        <f>-30+300</f>
        <v>270</v>
      </c>
      <c r="M398" s="24">
        <f t="shared" si="74"/>
        <v>450</v>
      </c>
      <c r="N398" s="43">
        <v>1000</v>
      </c>
      <c r="O398" s="24">
        <f t="shared" si="75"/>
        <v>1450</v>
      </c>
      <c r="P398" s="69"/>
      <c r="Q398" s="24">
        <f t="shared" si="92"/>
        <v>1450</v>
      </c>
      <c r="R398" s="69"/>
      <c r="S398" s="24">
        <f t="shared" si="88"/>
        <v>1450</v>
      </c>
      <c r="T398" s="69"/>
      <c r="U398" s="24">
        <f t="shared" si="104"/>
        <v>1450</v>
      </c>
      <c r="V398" s="69"/>
      <c r="W398" s="24">
        <f t="shared" si="105"/>
        <v>1450</v>
      </c>
      <c r="X398" s="69"/>
      <c r="Y398" s="24">
        <f t="shared" si="106"/>
        <v>1450</v>
      </c>
      <c r="Z398" s="189"/>
      <c r="AA398" s="189">
        <f>Y398+Z398</f>
        <v>1450</v>
      </c>
    </row>
    <row r="399" spans="1:27" s="6" customFormat="1" ht="24" x14ac:dyDescent="0.25">
      <c r="A399" s="72" t="s">
        <v>707</v>
      </c>
      <c r="B399" s="20" t="s">
        <v>182</v>
      </c>
      <c r="C399" s="54" t="s">
        <v>871</v>
      </c>
      <c r="D399" s="20"/>
      <c r="E399" s="24"/>
      <c r="F399" s="24"/>
      <c r="G399" s="24"/>
      <c r="H399" s="47">
        <f>H400</f>
        <v>120</v>
      </c>
      <c r="I399" s="24">
        <f t="shared" si="72"/>
        <v>120</v>
      </c>
      <c r="J399" s="47">
        <f>J400</f>
        <v>0</v>
      </c>
      <c r="K399" s="24">
        <f t="shared" si="73"/>
        <v>120</v>
      </c>
      <c r="L399" s="47">
        <f>L400</f>
        <v>240</v>
      </c>
      <c r="M399" s="24">
        <f t="shared" si="74"/>
        <v>360</v>
      </c>
      <c r="N399" s="47">
        <f>N400</f>
        <v>800</v>
      </c>
      <c r="O399" s="24">
        <f t="shared" si="75"/>
        <v>1160</v>
      </c>
      <c r="P399" s="47">
        <f>P400</f>
        <v>0</v>
      </c>
      <c r="Q399" s="24">
        <f t="shared" si="92"/>
        <v>1160</v>
      </c>
      <c r="R399" s="47">
        <f>R400</f>
        <v>0</v>
      </c>
      <c r="S399" s="24">
        <f t="shared" si="88"/>
        <v>1160</v>
      </c>
      <c r="T399" s="47">
        <f>T400</f>
        <v>0</v>
      </c>
      <c r="U399" s="24">
        <f t="shared" si="104"/>
        <v>1160</v>
      </c>
      <c r="V399" s="47">
        <f>V400</f>
        <v>0</v>
      </c>
      <c r="W399" s="24">
        <f t="shared" si="105"/>
        <v>1160</v>
      </c>
      <c r="X399" s="47">
        <f>X400</f>
        <v>0</v>
      </c>
      <c r="Y399" s="24">
        <f t="shared" si="106"/>
        <v>1160</v>
      </c>
      <c r="Z399" s="189"/>
    </row>
    <row r="400" spans="1:27" s="6" customFormat="1" x14ac:dyDescent="0.25">
      <c r="A400" s="30" t="s">
        <v>66</v>
      </c>
      <c r="B400" s="21" t="s">
        <v>182</v>
      </c>
      <c r="C400" s="76" t="s">
        <v>871</v>
      </c>
      <c r="D400" s="21" t="s">
        <v>42</v>
      </c>
      <c r="E400" s="24"/>
      <c r="F400" s="24"/>
      <c r="G400" s="24"/>
      <c r="H400" s="39">
        <v>120</v>
      </c>
      <c r="I400" s="24">
        <f t="shared" si="72"/>
        <v>120</v>
      </c>
      <c r="J400" s="69"/>
      <c r="K400" s="24">
        <f t="shared" si="73"/>
        <v>120</v>
      </c>
      <c r="L400" s="94">
        <v>240</v>
      </c>
      <c r="M400" s="24">
        <f t="shared" si="74"/>
        <v>360</v>
      </c>
      <c r="N400" s="43">
        <v>800</v>
      </c>
      <c r="O400" s="24">
        <f t="shared" si="75"/>
        <v>1160</v>
      </c>
      <c r="P400" s="69"/>
      <c r="Q400" s="24">
        <f t="shared" si="92"/>
        <v>1160</v>
      </c>
      <c r="R400" s="69"/>
      <c r="S400" s="24">
        <f t="shared" si="88"/>
        <v>1160</v>
      </c>
      <c r="T400" s="69"/>
      <c r="U400" s="24">
        <f t="shared" si="104"/>
        <v>1160</v>
      </c>
      <c r="V400" s="69"/>
      <c r="W400" s="24">
        <f t="shared" si="105"/>
        <v>1160</v>
      </c>
      <c r="X400" s="69"/>
      <c r="Y400" s="24">
        <f t="shared" si="106"/>
        <v>1160</v>
      </c>
      <c r="Z400" s="189"/>
      <c r="AA400" s="189">
        <f>Y400+Z400</f>
        <v>1160</v>
      </c>
    </row>
    <row r="401" spans="1:27" s="6" customFormat="1" ht="24" x14ac:dyDescent="0.25">
      <c r="A401" s="72" t="s">
        <v>708</v>
      </c>
      <c r="B401" s="20" t="s">
        <v>182</v>
      </c>
      <c r="C401" s="54" t="s">
        <v>872</v>
      </c>
      <c r="D401" s="20"/>
      <c r="E401" s="24"/>
      <c r="F401" s="24"/>
      <c r="G401" s="24"/>
      <c r="H401" s="47">
        <f>H402</f>
        <v>90</v>
      </c>
      <c r="I401" s="24">
        <f t="shared" si="72"/>
        <v>90</v>
      </c>
      <c r="J401" s="47">
        <f>J402</f>
        <v>0</v>
      </c>
      <c r="K401" s="24">
        <f t="shared" si="73"/>
        <v>90</v>
      </c>
      <c r="L401" s="47">
        <f>L402</f>
        <v>180</v>
      </c>
      <c r="M401" s="24">
        <f t="shared" si="74"/>
        <v>270</v>
      </c>
      <c r="N401" s="47">
        <f>N402</f>
        <v>600</v>
      </c>
      <c r="O401" s="24">
        <f t="shared" si="75"/>
        <v>870</v>
      </c>
      <c r="P401" s="47">
        <f>P402</f>
        <v>0</v>
      </c>
      <c r="Q401" s="24">
        <f t="shared" si="92"/>
        <v>870</v>
      </c>
      <c r="R401" s="47">
        <f>R402</f>
        <v>0</v>
      </c>
      <c r="S401" s="24">
        <f t="shared" si="88"/>
        <v>870</v>
      </c>
      <c r="T401" s="47">
        <f>T402</f>
        <v>0</v>
      </c>
      <c r="U401" s="24">
        <f t="shared" si="104"/>
        <v>870</v>
      </c>
      <c r="V401" s="47">
        <f>V402</f>
        <v>0</v>
      </c>
      <c r="W401" s="24">
        <f t="shared" si="105"/>
        <v>870</v>
      </c>
      <c r="X401" s="47">
        <f>X402</f>
        <v>0</v>
      </c>
      <c r="Y401" s="24">
        <f t="shared" si="106"/>
        <v>870</v>
      </c>
      <c r="Z401" s="189"/>
    </row>
    <row r="402" spans="1:27" s="6" customFormat="1" x14ac:dyDescent="0.25">
      <c r="A402" s="30" t="s">
        <v>66</v>
      </c>
      <c r="B402" s="21" t="s">
        <v>182</v>
      </c>
      <c r="C402" s="76" t="s">
        <v>872</v>
      </c>
      <c r="D402" s="21" t="s">
        <v>42</v>
      </c>
      <c r="E402" s="24"/>
      <c r="F402" s="24"/>
      <c r="G402" s="24"/>
      <c r="H402" s="39">
        <v>90</v>
      </c>
      <c r="I402" s="24">
        <f t="shared" si="72"/>
        <v>90</v>
      </c>
      <c r="J402" s="69"/>
      <c r="K402" s="24">
        <f t="shared" si="73"/>
        <v>90</v>
      </c>
      <c r="L402" s="94">
        <v>180</v>
      </c>
      <c r="M402" s="24">
        <f t="shared" si="74"/>
        <v>270</v>
      </c>
      <c r="N402" s="43">
        <v>600</v>
      </c>
      <c r="O402" s="24">
        <f t="shared" si="75"/>
        <v>870</v>
      </c>
      <c r="P402" s="69"/>
      <c r="Q402" s="24">
        <f t="shared" si="92"/>
        <v>870</v>
      </c>
      <c r="R402" s="69"/>
      <c r="S402" s="24">
        <f t="shared" si="88"/>
        <v>870</v>
      </c>
      <c r="T402" s="69"/>
      <c r="U402" s="24">
        <f t="shared" si="104"/>
        <v>870</v>
      </c>
      <c r="V402" s="69"/>
      <c r="W402" s="24">
        <f t="shared" si="105"/>
        <v>870</v>
      </c>
      <c r="X402" s="69"/>
      <c r="Y402" s="24">
        <f t="shared" si="106"/>
        <v>870</v>
      </c>
      <c r="Z402" s="189"/>
      <c r="AA402" s="189">
        <f>Y402+Z402</f>
        <v>870</v>
      </c>
    </row>
    <row r="403" spans="1:27" s="6" customFormat="1" x14ac:dyDescent="0.25">
      <c r="A403" s="72" t="s">
        <v>709</v>
      </c>
      <c r="B403" s="20" t="s">
        <v>182</v>
      </c>
      <c r="C403" s="54" t="s">
        <v>873</v>
      </c>
      <c r="D403" s="20"/>
      <c r="E403" s="24"/>
      <c r="F403" s="24"/>
      <c r="G403" s="24"/>
      <c r="H403" s="47">
        <f>H404</f>
        <v>118</v>
      </c>
      <c r="I403" s="24">
        <f t="shared" si="72"/>
        <v>118</v>
      </c>
      <c r="J403" s="47">
        <f>J404</f>
        <v>0</v>
      </c>
      <c r="K403" s="24">
        <f t="shared" si="73"/>
        <v>118</v>
      </c>
      <c r="L403" s="47">
        <f>L404</f>
        <v>236.1</v>
      </c>
      <c r="M403" s="24">
        <f t="shared" si="74"/>
        <v>354.1</v>
      </c>
      <c r="N403" s="47">
        <f>N404</f>
        <v>786.9</v>
      </c>
      <c r="O403" s="24">
        <f t="shared" si="75"/>
        <v>1141</v>
      </c>
      <c r="P403" s="47">
        <f>P404</f>
        <v>0</v>
      </c>
      <c r="Q403" s="24">
        <f t="shared" si="92"/>
        <v>1141</v>
      </c>
      <c r="R403" s="47">
        <f>R404</f>
        <v>0</v>
      </c>
      <c r="S403" s="24">
        <f t="shared" si="88"/>
        <v>1141</v>
      </c>
      <c r="T403" s="47">
        <f>T404</f>
        <v>0</v>
      </c>
      <c r="U403" s="24">
        <f t="shared" si="104"/>
        <v>1141</v>
      </c>
      <c r="V403" s="47">
        <f>V404</f>
        <v>0</v>
      </c>
      <c r="W403" s="24">
        <f t="shared" si="105"/>
        <v>1141</v>
      </c>
      <c r="X403" s="47">
        <f>X404</f>
        <v>0</v>
      </c>
      <c r="Y403" s="24">
        <f t="shared" si="106"/>
        <v>1141</v>
      </c>
      <c r="Z403" s="189"/>
    </row>
    <row r="404" spans="1:27" s="6" customFormat="1" x14ac:dyDescent="0.25">
      <c r="A404" s="30" t="s">
        <v>66</v>
      </c>
      <c r="B404" s="21" t="s">
        <v>182</v>
      </c>
      <c r="C404" s="76" t="s">
        <v>873</v>
      </c>
      <c r="D404" s="21" t="s">
        <v>42</v>
      </c>
      <c r="E404" s="24"/>
      <c r="F404" s="24"/>
      <c r="G404" s="24"/>
      <c r="H404" s="39">
        <v>118</v>
      </c>
      <c r="I404" s="24">
        <f t="shared" si="72"/>
        <v>118</v>
      </c>
      <c r="J404" s="69"/>
      <c r="K404" s="24">
        <f t="shared" si="73"/>
        <v>118</v>
      </c>
      <c r="L404" s="94">
        <v>236.1</v>
      </c>
      <c r="M404" s="24">
        <f t="shared" si="74"/>
        <v>354.1</v>
      </c>
      <c r="N404" s="43">
        <v>786.9</v>
      </c>
      <c r="O404" s="24">
        <f t="shared" si="75"/>
        <v>1141</v>
      </c>
      <c r="P404" s="69"/>
      <c r="Q404" s="24">
        <f t="shared" si="92"/>
        <v>1141</v>
      </c>
      <c r="R404" s="69"/>
      <c r="S404" s="24">
        <f t="shared" si="88"/>
        <v>1141</v>
      </c>
      <c r="T404" s="69"/>
      <c r="U404" s="24">
        <f t="shared" si="104"/>
        <v>1141</v>
      </c>
      <c r="V404" s="69"/>
      <c r="W404" s="24">
        <f t="shared" si="105"/>
        <v>1141</v>
      </c>
      <c r="X404" s="69"/>
      <c r="Y404" s="24">
        <f t="shared" si="106"/>
        <v>1141</v>
      </c>
      <c r="Z404" s="189"/>
      <c r="AA404" s="189">
        <f>Y404+Z404</f>
        <v>1141</v>
      </c>
    </row>
    <row r="405" spans="1:27" s="6" customFormat="1" x14ac:dyDescent="0.25">
      <c r="A405" s="72" t="s">
        <v>710</v>
      </c>
      <c r="B405" s="20" t="s">
        <v>182</v>
      </c>
      <c r="C405" s="54" t="s">
        <v>874</v>
      </c>
      <c r="D405" s="20"/>
      <c r="E405" s="24"/>
      <c r="F405" s="24"/>
      <c r="G405" s="24"/>
      <c r="H405" s="47">
        <f>H406</f>
        <v>96.2</v>
      </c>
      <c r="I405" s="24">
        <f t="shared" si="72"/>
        <v>96.2</v>
      </c>
      <c r="J405" s="47">
        <f>J406</f>
        <v>0</v>
      </c>
      <c r="K405" s="24">
        <f t="shared" si="73"/>
        <v>96.2</v>
      </c>
      <c r="L405" s="47">
        <f>L406</f>
        <v>192.4</v>
      </c>
      <c r="M405" s="24">
        <f t="shared" si="74"/>
        <v>288.60000000000002</v>
      </c>
      <c r="N405" s="47">
        <f>N406</f>
        <v>641.29999999999995</v>
      </c>
      <c r="O405" s="24">
        <f t="shared" si="75"/>
        <v>929.9</v>
      </c>
      <c r="P405" s="47">
        <f>P406</f>
        <v>0</v>
      </c>
      <c r="Q405" s="24">
        <f t="shared" si="92"/>
        <v>929.9</v>
      </c>
      <c r="R405" s="47">
        <f>R406</f>
        <v>0</v>
      </c>
      <c r="S405" s="24">
        <f t="shared" si="88"/>
        <v>929.9</v>
      </c>
      <c r="T405" s="47">
        <f>T406</f>
        <v>0</v>
      </c>
      <c r="U405" s="24">
        <f t="shared" si="104"/>
        <v>929.9</v>
      </c>
      <c r="V405" s="47">
        <f>V406</f>
        <v>0</v>
      </c>
      <c r="W405" s="24">
        <f t="shared" si="105"/>
        <v>929.9</v>
      </c>
      <c r="X405" s="47">
        <f>X406</f>
        <v>0</v>
      </c>
      <c r="Y405" s="24">
        <f t="shared" si="106"/>
        <v>929.9</v>
      </c>
      <c r="Z405" s="189"/>
    </row>
    <row r="406" spans="1:27" s="6" customFormat="1" x14ac:dyDescent="0.25">
      <c r="A406" s="30" t="s">
        <v>66</v>
      </c>
      <c r="B406" s="21" t="s">
        <v>182</v>
      </c>
      <c r="C406" s="76" t="s">
        <v>874</v>
      </c>
      <c r="D406" s="21" t="s">
        <v>42</v>
      </c>
      <c r="E406" s="24"/>
      <c r="F406" s="24"/>
      <c r="G406" s="24"/>
      <c r="H406" s="39">
        <v>96.2</v>
      </c>
      <c r="I406" s="24">
        <f t="shared" si="72"/>
        <v>96.2</v>
      </c>
      <c r="J406" s="69"/>
      <c r="K406" s="24">
        <f t="shared" si="73"/>
        <v>96.2</v>
      </c>
      <c r="L406" s="94">
        <v>192.4</v>
      </c>
      <c r="M406" s="24">
        <f t="shared" si="74"/>
        <v>288.60000000000002</v>
      </c>
      <c r="N406" s="43">
        <v>641.29999999999995</v>
      </c>
      <c r="O406" s="24">
        <f t="shared" si="75"/>
        <v>929.9</v>
      </c>
      <c r="P406" s="69"/>
      <c r="Q406" s="24">
        <f t="shared" si="92"/>
        <v>929.9</v>
      </c>
      <c r="R406" s="69"/>
      <c r="S406" s="24">
        <f t="shared" si="88"/>
        <v>929.9</v>
      </c>
      <c r="T406" s="69"/>
      <c r="U406" s="24">
        <f t="shared" si="104"/>
        <v>929.9</v>
      </c>
      <c r="V406" s="69"/>
      <c r="W406" s="24">
        <f t="shared" si="105"/>
        <v>929.9</v>
      </c>
      <c r="X406" s="69"/>
      <c r="Y406" s="24">
        <f t="shared" si="106"/>
        <v>929.9</v>
      </c>
      <c r="Z406" s="189"/>
      <c r="AA406" s="189">
        <f>Y406+Z406</f>
        <v>929.9</v>
      </c>
    </row>
    <row r="407" spans="1:27" s="6" customFormat="1" hidden="1" x14ac:dyDescent="0.25">
      <c r="A407" s="72" t="s">
        <v>711</v>
      </c>
      <c r="B407" s="20" t="s">
        <v>182</v>
      </c>
      <c r="C407" s="54" t="s">
        <v>717</v>
      </c>
      <c r="D407" s="20"/>
      <c r="E407" s="24"/>
      <c r="F407" s="24"/>
      <c r="G407" s="24"/>
      <c r="H407" s="47">
        <f>H408</f>
        <v>180</v>
      </c>
      <c r="I407" s="24">
        <f t="shared" si="72"/>
        <v>180</v>
      </c>
      <c r="J407" s="47">
        <f>J408</f>
        <v>0</v>
      </c>
      <c r="K407" s="24">
        <f t="shared" si="73"/>
        <v>180</v>
      </c>
      <c r="L407" s="47">
        <f>L408</f>
        <v>-180</v>
      </c>
      <c r="M407" s="24">
        <f t="shared" si="74"/>
        <v>0</v>
      </c>
      <c r="N407" s="47">
        <f>N408</f>
        <v>0</v>
      </c>
      <c r="O407" s="24">
        <f t="shared" si="75"/>
        <v>0</v>
      </c>
      <c r="P407" s="47">
        <f>P408</f>
        <v>0</v>
      </c>
      <c r="Q407" s="24">
        <f t="shared" si="92"/>
        <v>0</v>
      </c>
      <c r="R407" s="47">
        <f>R408</f>
        <v>0</v>
      </c>
      <c r="S407" s="24">
        <f t="shared" si="88"/>
        <v>0</v>
      </c>
      <c r="T407" s="47">
        <f>T408</f>
        <v>0</v>
      </c>
      <c r="U407" s="24">
        <f t="shared" si="104"/>
        <v>0</v>
      </c>
      <c r="V407" s="47">
        <f>V408</f>
        <v>0</v>
      </c>
      <c r="W407" s="24">
        <f t="shared" si="105"/>
        <v>0</v>
      </c>
      <c r="X407" s="47">
        <f>X408</f>
        <v>0</v>
      </c>
      <c r="Y407" s="24">
        <f t="shared" si="106"/>
        <v>0</v>
      </c>
      <c r="Z407" s="189"/>
    </row>
    <row r="408" spans="1:27" s="6" customFormat="1" hidden="1" x14ac:dyDescent="0.25">
      <c r="A408" s="30" t="s">
        <v>66</v>
      </c>
      <c r="B408" s="21" t="s">
        <v>182</v>
      </c>
      <c r="C408" s="76" t="s">
        <v>717</v>
      </c>
      <c r="D408" s="21" t="s">
        <v>42</v>
      </c>
      <c r="E408" s="24"/>
      <c r="F408" s="24"/>
      <c r="G408" s="24"/>
      <c r="H408" s="39">
        <v>180</v>
      </c>
      <c r="I408" s="24">
        <f t="shared" si="72"/>
        <v>180</v>
      </c>
      <c r="J408" s="69"/>
      <c r="K408" s="24">
        <f t="shared" si="73"/>
        <v>180</v>
      </c>
      <c r="L408" s="94">
        <v>-180</v>
      </c>
      <c r="M408" s="24">
        <f t="shared" si="74"/>
        <v>0</v>
      </c>
      <c r="N408" s="69"/>
      <c r="O408" s="24">
        <f t="shared" si="75"/>
        <v>0</v>
      </c>
      <c r="P408" s="69"/>
      <c r="Q408" s="24">
        <f t="shared" si="92"/>
        <v>0</v>
      </c>
      <c r="R408" s="69"/>
      <c r="S408" s="24">
        <f t="shared" si="88"/>
        <v>0</v>
      </c>
      <c r="T408" s="69"/>
      <c r="U408" s="24">
        <f t="shared" si="104"/>
        <v>0</v>
      </c>
      <c r="V408" s="69"/>
      <c r="W408" s="24">
        <f t="shared" si="105"/>
        <v>0</v>
      </c>
      <c r="X408" s="69"/>
      <c r="Y408" s="24">
        <f t="shared" si="106"/>
        <v>0</v>
      </c>
      <c r="Z408" s="189"/>
      <c r="AA408" s="189">
        <f>Y408+Z408</f>
        <v>0</v>
      </c>
    </row>
    <row r="409" spans="1:27" s="6" customFormat="1" x14ac:dyDescent="0.25">
      <c r="A409" s="72" t="s">
        <v>712</v>
      </c>
      <c r="B409" s="20" t="s">
        <v>182</v>
      </c>
      <c r="C409" s="54" t="s">
        <v>875</v>
      </c>
      <c r="D409" s="20"/>
      <c r="E409" s="24"/>
      <c r="F409" s="24"/>
      <c r="G409" s="24"/>
      <c r="H409" s="47">
        <f>H410</f>
        <v>147.69999999999999</v>
      </c>
      <c r="I409" s="24">
        <f t="shared" si="72"/>
        <v>147.69999999999999</v>
      </c>
      <c r="J409" s="47">
        <f>J410</f>
        <v>0</v>
      </c>
      <c r="K409" s="24">
        <f t="shared" si="73"/>
        <v>147.69999999999999</v>
      </c>
      <c r="L409" s="47">
        <f>L410</f>
        <v>295.39999999999998</v>
      </c>
      <c r="M409" s="24">
        <f t="shared" si="74"/>
        <v>443.09999999999997</v>
      </c>
      <c r="N409" s="47">
        <f>N410</f>
        <v>984.6</v>
      </c>
      <c r="O409" s="24">
        <f t="shared" si="75"/>
        <v>1427.7</v>
      </c>
      <c r="P409" s="47">
        <f>P410</f>
        <v>0</v>
      </c>
      <c r="Q409" s="24">
        <f t="shared" si="92"/>
        <v>1427.7</v>
      </c>
      <c r="R409" s="47">
        <f>R410</f>
        <v>0</v>
      </c>
      <c r="S409" s="24">
        <f t="shared" si="88"/>
        <v>1427.7</v>
      </c>
      <c r="T409" s="47">
        <f>T410</f>
        <v>0</v>
      </c>
      <c r="U409" s="24">
        <f t="shared" si="104"/>
        <v>1427.7</v>
      </c>
      <c r="V409" s="47">
        <f>V410</f>
        <v>0</v>
      </c>
      <c r="W409" s="24">
        <f t="shared" si="105"/>
        <v>1427.7</v>
      </c>
      <c r="X409" s="47">
        <f>X410</f>
        <v>-0.1</v>
      </c>
      <c r="Y409" s="24">
        <f t="shared" si="106"/>
        <v>1427.6000000000001</v>
      </c>
      <c r="Z409" s="189"/>
    </row>
    <row r="410" spans="1:27" s="6" customFormat="1" x14ac:dyDescent="0.25">
      <c r="A410" s="30" t="s">
        <v>66</v>
      </c>
      <c r="B410" s="21" t="s">
        <v>182</v>
      </c>
      <c r="C410" s="76" t="s">
        <v>875</v>
      </c>
      <c r="D410" s="21" t="s">
        <v>42</v>
      </c>
      <c r="E410" s="24"/>
      <c r="F410" s="24"/>
      <c r="G410" s="24"/>
      <c r="H410" s="39">
        <v>147.69999999999999</v>
      </c>
      <c r="I410" s="24">
        <f t="shared" si="72"/>
        <v>147.69999999999999</v>
      </c>
      <c r="J410" s="69"/>
      <c r="K410" s="24">
        <f t="shared" si="73"/>
        <v>147.69999999999999</v>
      </c>
      <c r="L410" s="94">
        <v>295.39999999999998</v>
      </c>
      <c r="M410" s="24">
        <f t="shared" si="74"/>
        <v>443.09999999999997</v>
      </c>
      <c r="N410" s="43">
        <v>984.6</v>
      </c>
      <c r="O410" s="24">
        <f t="shared" si="75"/>
        <v>1427.7</v>
      </c>
      <c r="P410" s="69"/>
      <c r="Q410" s="24">
        <f t="shared" si="92"/>
        <v>1427.7</v>
      </c>
      <c r="R410" s="69"/>
      <c r="S410" s="24">
        <f t="shared" si="88"/>
        <v>1427.7</v>
      </c>
      <c r="T410" s="69"/>
      <c r="U410" s="24">
        <f t="shared" si="104"/>
        <v>1427.7</v>
      </c>
      <c r="V410" s="69"/>
      <c r="W410" s="24">
        <f t="shared" si="105"/>
        <v>1427.7</v>
      </c>
      <c r="X410" s="187">
        <v>-0.1</v>
      </c>
      <c r="Y410" s="24">
        <f t="shared" si="106"/>
        <v>1427.6000000000001</v>
      </c>
      <c r="Z410" s="189"/>
      <c r="AA410" s="189">
        <f>Y410+Z410</f>
        <v>1427.6000000000001</v>
      </c>
    </row>
    <row r="411" spans="1:27" s="6" customFormat="1" ht="24" x14ac:dyDescent="0.25">
      <c r="A411" s="72" t="s">
        <v>713</v>
      </c>
      <c r="B411" s="20" t="s">
        <v>182</v>
      </c>
      <c r="C411" s="54" t="s">
        <v>876</v>
      </c>
      <c r="D411" s="20"/>
      <c r="E411" s="24"/>
      <c r="F411" s="24"/>
      <c r="G411" s="24"/>
      <c r="H411" s="47">
        <f>H412</f>
        <v>167.7</v>
      </c>
      <c r="I411" s="24">
        <f t="shared" si="72"/>
        <v>167.7</v>
      </c>
      <c r="J411" s="47">
        <f>J412</f>
        <v>0</v>
      </c>
      <c r="K411" s="24">
        <f t="shared" si="73"/>
        <v>167.7</v>
      </c>
      <c r="L411" s="47">
        <f>L412</f>
        <v>335.5</v>
      </c>
      <c r="M411" s="24">
        <f t="shared" si="74"/>
        <v>503.2</v>
      </c>
      <c r="N411" s="47">
        <f>N412</f>
        <v>1118.3</v>
      </c>
      <c r="O411" s="24">
        <f t="shared" si="75"/>
        <v>1621.5</v>
      </c>
      <c r="P411" s="47">
        <f>P412</f>
        <v>0</v>
      </c>
      <c r="Q411" s="24">
        <f t="shared" si="92"/>
        <v>1621.5</v>
      </c>
      <c r="R411" s="47">
        <f>R412</f>
        <v>0</v>
      </c>
      <c r="S411" s="24">
        <f t="shared" si="88"/>
        <v>1621.5</v>
      </c>
      <c r="T411" s="47">
        <f>T412</f>
        <v>0</v>
      </c>
      <c r="U411" s="24">
        <f t="shared" si="104"/>
        <v>1621.5</v>
      </c>
      <c r="V411" s="47">
        <f>V412</f>
        <v>0</v>
      </c>
      <c r="W411" s="24">
        <f t="shared" si="105"/>
        <v>1621.5</v>
      </c>
      <c r="X411" s="47">
        <f>X412</f>
        <v>0.1</v>
      </c>
      <c r="Y411" s="24">
        <f t="shared" si="106"/>
        <v>1621.6</v>
      </c>
      <c r="Z411" s="189"/>
    </row>
    <row r="412" spans="1:27" s="6" customFormat="1" x14ac:dyDescent="0.25">
      <c r="A412" s="30" t="s">
        <v>66</v>
      </c>
      <c r="B412" s="21" t="s">
        <v>182</v>
      </c>
      <c r="C412" s="76" t="s">
        <v>876</v>
      </c>
      <c r="D412" s="21" t="s">
        <v>42</v>
      </c>
      <c r="E412" s="24"/>
      <c r="F412" s="24"/>
      <c r="G412" s="24"/>
      <c r="H412" s="39">
        <v>167.7</v>
      </c>
      <c r="I412" s="24">
        <f t="shared" si="72"/>
        <v>167.7</v>
      </c>
      <c r="J412" s="69"/>
      <c r="K412" s="24">
        <f t="shared" si="73"/>
        <v>167.7</v>
      </c>
      <c r="L412" s="94">
        <v>335.5</v>
      </c>
      <c r="M412" s="24">
        <f t="shared" si="74"/>
        <v>503.2</v>
      </c>
      <c r="N412" s="43">
        <v>1118.3</v>
      </c>
      <c r="O412" s="24">
        <f t="shared" si="75"/>
        <v>1621.5</v>
      </c>
      <c r="P412" s="69"/>
      <c r="Q412" s="24">
        <f t="shared" si="92"/>
        <v>1621.5</v>
      </c>
      <c r="R412" s="69"/>
      <c r="S412" s="24">
        <f t="shared" si="88"/>
        <v>1621.5</v>
      </c>
      <c r="T412" s="69"/>
      <c r="U412" s="24">
        <f t="shared" si="104"/>
        <v>1621.5</v>
      </c>
      <c r="V412" s="69"/>
      <c r="W412" s="24">
        <f t="shared" si="105"/>
        <v>1621.5</v>
      </c>
      <c r="X412" s="187">
        <v>0.1</v>
      </c>
      <c r="Y412" s="24">
        <f t="shared" si="106"/>
        <v>1621.6</v>
      </c>
      <c r="Z412" s="189"/>
      <c r="AA412" s="189">
        <f>Y412+Z412</f>
        <v>1621.6</v>
      </c>
    </row>
    <row r="413" spans="1:27" s="6" customFormat="1" x14ac:dyDescent="0.25">
      <c r="A413" s="74" t="s">
        <v>714</v>
      </c>
      <c r="B413" s="20" t="s">
        <v>182</v>
      </c>
      <c r="C413" s="77" t="s">
        <v>877</v>
      </c>
      <c r="D413" s="20"/>
      <c r="E413" s="24"/>
      <c r="F413" s="24"/>
      <c r="G413" s="24"/>
      <c r="H413" s="79">
        <f>H414</f>
        <v>161.4</v>
      </c>
      <c r="I413" s="24">
        <f t="shared" si="72"/>
        <v>161.4</v>
      </c>
      <c r="J413" s="79">
        <f>J414</f>
        <v>0</v>
      </c>
      <c r="K413" s="24">
        <f t="shared" si="73"/>
        <v>161.4</v>
      </c>
      <c r="L413" s="79">
        <f>L414</f>
        <v>322.8</v>
      </c>
      <c r="M413" s="24">
        <f t="shared" si="74"/>
        <v>484.20000000000005</v>
      </c>
      <c r="N413" s="79">
        <f>N414</f>
        <v>1075.9000000000001</v>
      </c>
      <c r="O413" s="24">
        <f t="shared" si="75"/>
        <v>1560.1000000000001</v>
      </c>
      <c r="P413" s="79">
        <f>P414</f>
        <v>0</v>
      </c>
      <c r="Q413" s="24">
        <f t="shared" si="92"/>
        <v>1560.1000000000001</v>
      </c>
      <c r="R413" s="79">
        <f>R414</f>
        <v>0</v>
      </c>
      <c r="S413" s="24">
        <f t="shared" si="88"/>
        <v>1560.1000000000001</v>
      </c>
      <c r="T413" s="79">
        <f>T414</f>
        <v>0</v>
      </c>
      <c r="U413" s="24">
        <f t="shared" si="104"/>
        <v>1560.1000000000001</v>
      </c>
      <c r="V413" s="79">
        <f>V414</f>
        <v>0</v>
      </c>
      <c r="W413" s="24">
        <f t="shared" si="105"/>
        <v>1560.1000000000001</v>
      </c>
      <c r="X413" s="79">
        <f>X414</f>
        <v>0</v>
      </c>
      <c r="Y413" s="24">
        <f t="shared" si="106"/>
        <v>1560.1000000000001</v>
      </c>
      <c r="Z413" s="189"/>
    </row>
    <row r="414" spans="1:27" s="6" customFormat="1" x14ac:dyDescent="0.25">
      <c r="A414" s="30" t="s">
        <v>66</v>
      </c>
      <c r="B414" s="21" t="s">
        <v>182</v>
      </c>
      <c r="C414" s="78" t="s">
        <v>877</v>
      </c>
      <c r="D414" s="21" t="s">
        <v>42</v>
      </c>
      <c r="E414" s="24"/>
      <c r="F414" s="24"/>
      <c r="G414" s="24"/>
      <c r="H414" s="80">
        <v>161.4</v>
      </c>
      <c r="I414" s="24">
        <f t="shared" si="72"/>
        <v>161.4</v>
      </c>
      <c r="J414" s="83"/>
      <c r="K414" s="24">
        <f t="shared" si="73"/>
        <v>161.4</v>
      </c>
      <c r="L414" s="95">
        <v>322.8</v>
      </c>
      <c r="M414" s="24">
        <f t="shared" si="74"/>
        <v>484.20000000000005</v>
      </c>
      <c r="N414" s="116">
        <v>1075.9000000000001</v>
      </c>
      <c r="O414" s="24">
        <f t="shared" si="75"/>
        <v>1560.1000000000001</v>
      </c>
      <c r="P414" s="83"/>
      <c r="Q414" s="24">
        <f t="shared" si="92"/>
        <v>1560.1000000000001</v>
      </c>
      <c r="R414" s="83"/>
      <c r="S414" s="24">
        <f t="shared" si="88"/>
        <v>1560.1000000000001</v>
      </c>
      <c r="T414" s="83"/>
      <c r="U414" s="24">
        <f t="shared" si="104"/>
        <v>1560.1000000000001</v>
      </c>
      <c r="V414" s="83"/>
      <c r="W414" s="24">
        <f t="shared" si="105"/>
        <v>1560.1000000000001</v>
      </c>
      <c r="X414" s="83"/>
      <c r="Y414" s="24">
        <f t="shared" si="106"/>
        <v>1560.1000000000001</v>
      </c>
      <c r="Z414" s="189"/>
      <c r="AA414" s="189">
        <f>Y414+Z414</f>
        <v>1560.1000000000001</v>
      </c>
    </row>
    <row r="415" spans="1:27" s="6" customFormat="1" ht="36.75" x14ac:dyDescent="0.25">
      <c r="A415" s="40" t="s">
        <v>820</v>
      </c>
      <c r="B415" s="55" t="s">
        <v>182</v>
      </c>
      <c r="C415" s="101" t="s">
        <v>821</v>
      </c>
      <c r="D415" s="49"/>
      <c r="E415" s="24"/>
      <c r="F415" s="24"/>
      <c r="G415" s="24"/>
      <c r="H415" s="80"/>
      <c r="I415" s="24"/>
      <c r="J415" s="83"/>
      <c r="K415" s="24"/>
      <c r="L415" s="85">
        <f>L416</f>
        <v>300</v>
      </c>
      <c r="M415" s="24">
        <f t="shared" si="74"/>
        <v>300</v>
      </c>
      <c r="N415" s="85">
        <f>N416</f>
        <v>0</v>
      </c>
      <c r="O415" s="24">
        <f t="shared" si="75"/>
        <v>300</v>
      </c>
      <c r="P415" s="85">
        <f>P416</f>
        <v>0</v>
      </c>
      <c r="Q415" s="24">
        <f t="shared" si="92"/>
        <v>300</v>
      </c>
      <c r="R415" s="85">
        <f>R416</f>
        <v>0</v>
      </c>
      <c r="S415" s="24">
        <f t="shared" si="88"/>
        <v>300</v>
      </c>
      <c r="T415" s="85">
        <f>T416</f>
        <v>0</v>
      </c>
      <c r="U415" s="24">
        <f t="shared" si="104"/>
        <v>300</v>
      </c>
      <c r="V415" s="85">
        <f>V416</f>
        <v>0</v>
      </c>
      <c r="W415" s="24">
        <f t="shared" si="105"/>
        <v>300</v>
      </c>
      <c r="X415" s="85">
        <f>X416</f>
        <v>0</v>
      </c>
      <c r="Y415" s="24">
        <f t="shared" si="106"/>
        <v>300</v>
      </c>
      <c r="Z415" s="189"/>
    </row>
    <row r="416" spans="1:27" s="6" customFormat="1" x14ac:dyDescent="0.25">
      <c r="A416" s="100" t="s">
        <v>835</v>
      </c>
      <c r="B416" s="55" t="s">
        <v>182</v>
      </c>
      <c r="C416" s="101" t="s">
        <v>822</v>
      </c>
      <c r="D416" s="49"/>
      <c r="E416" s="24"/>
      <c r="F416" s="24"/>
      <c r="G416" s="24"/>
      <c r="H416" s="80"/>
      <c r="I416" s="24"/>
      <c r="J416" s="83"/>
      <c r="K416" s="24"/>
      <c r="L416" s="85">
        <f>L417</f>
        <v>300</v>
      </c>
      <c r="M416" s="24">
        <f t="shared" si="74"/>
        <v>300</v>
      </c>
      <c r="N416" s="85">
        <f>N417</f>
        <v>0</v>
      </c>
      <c r="O416" s="24">
        <f t="shared" si="75"/>
        <v>300</v>
      </c>
      <c r="P416" s="85">
        <f>P417</f>
        <v>0</v>
      </c>
      <c r="Q416" s="24">
        <f t="shared" si="92"/>
        <v>300</v>
      </c>
      <c r="R416" s="85">
        <f>R417</f>
        <v>0</v>
      </c>
      <c r="S416" s="24">
        <f t="shared" si="88"/>
        <v>300</v>
      </c>
      <c r="T416" s="85">
        <f>T417</f>
        <v>0</v>
      </c>
      <c r="U416" s="24">
        <f t="shared" si="104"/>
        <v>300</v>
      </c>
      <c r="V416" s="85">
        <f>V417</f>
        <v>0</v>
      </c>
      <c r="W416" s="24">
        <f t="shared" si="105"/>
        <v>300</v>
      </c>
      <c r="X416" s="85">
        <f>X417</f>
        <v>0</v>
      </c>
      <c r="Y416" s="24">
        <f t="shared" si="106"/>
        <v>300</v>
      </c>
      <c r="Z416" s="189"/>
    </row>
    <row r="417" spans="1:27" s="6" customFormat="1" x14ac:dyDescent="0.25">
      <c r="A417" s="30" t="s">
        <v>66</v>
      </c>
      <c r="B417" s="56" t="s">
        <v>182</v>
      </c>
      <c r="C417" s="142" t="s">
        <v>822</v>
      </c>
      <c r="D417" s="49" t="s">
        <v>42</v>
      </c>
      <c r="E417" s="24"/>
      <c r="F417" s="24"/>
      <c r="G417" s="24"/>
      <c r="H417" s="80"/>
      <c r="I417" s="24"/>
      <c r="J417" s="83"/>
      <c r="K417" s="24"/>
      <c r="L417" s="102">
        <f>150+150</f>
        <v>300</v>
      </c>
      <c r="M417" s="24">
        <f t="shared" si="74"/>
        <v>300</v>
      </c>
      <c r="N417" s="84"/>
      <c r="O417" s="24">
        <f t="shared" si="75"/>
        <v>300</v>
      </c>
      <c r="P417" s="84"/>
      <c r="Q417" s="24">
        <f t="shared" si="92"/>
        <v>300</v>
      </c>
      <c r="R417" s="84"/>
      <c r="S417" s="24">
        <f t="shared" si="88"/>
        <v>300</v>
      </c>
      <c r="T417" s="84"/>
      <c r="U417" s="24">
        <f t="shared" si="104"/>
        <v>300</v>
      </c>
      <c r="V417" s="84"/>
      <c r="W417" s="24">
        <f t="shared" si="105"/>
        <v>300</v>
      </c>
      <c r="X417" s="84"/>
      <c r="Y417" s="24">
        <f t="shared" si="106"/>
        <v>300</v>
      </c>
      <c r="Z417" s="189"/>
      <c r="AA417" s="189">
        <f>Y417+Z417</f>
        <v>300</v>
      </c>
    </row>
    <row r="418" spans="1:27" s="6" customFormat="1" x14ac:dyDescent="0.25">
      <c r="A418" s="40" t="s">
        <v>838</v>
      </c>
      <c r="B418" s="55" t="s">
        <v>182</v>
      </c>
      <c r="C418" s="101" t="s">
        <v>819</v>
      </c>
      <c r="D418" s="21"/>
      <c r="E418" s="24"/>
      <c r="F418" s="24"/>
      <c r="G418" s="24"/>
      <c r="H418" s="80"/>
      <c r="I418" s="24"/>
      <c r="J418" s="79">
        <f>J419</f>
        <v>100</v>
      </c>
      <c r="K418" s="24">
        <f t="shared" si="73"/>
        <v>100</v>
      </c>
      <c r="L418" s="79">
        <f>L419</f>
        <v>1220</v>
      </c>
      <c r="M418" s="24">
        <f t="shared" si="74"/>
        <v>1320</v>
      </c>
      <c r="N418" s="79">
        <f>N419</f>
        <v>-792</v>
      </c>
      <c r="O418" s="24">
        <f t="shared" si="75"/>
        <v>528</v>
      </c>
      <c r="P418" s="79">
        <f>P419+P421+P423+P425+P427+P429+P431+P433+P435+P437+P439+P441+P443+P445+P447+P449+P451+P453+P455+P457+P459+P461+P463+P465+P467+P469+P471+P473+P475+P477+P479+P481+P483+P485+P487+P489+P491+P493+P495+P497+P499+P501+P503+P505+P507+P509+P511+P513+P515+P517+P519+P521+P523+P525+P527+P529+P531+P533+P535+P537+P539+P541++P543+P545+P547+P549+P551+P553+P555+P557+P559+P561+P563+P565+P567+P569+P571+P573+P575+P577+P579+P581+P583+P585+P587+P589+P591+P593+P595+P597+P599+P601+P603+P605+P607+P609+P611+P613+P615+P617+P619+P621+P623+P625+P627+P629+P631+P633+P635+P637+P639+P641+P643+P645+P647+P649+P651+P653+P655+P657+P659+P661+P663+P665+P667+P669+P671+P673+P675+P677+P679+P681+P683+P685+P687</f>
        <v>144868.09999999998</v>
      </c>
      <c r="Q418" s="24">
        <f t="shared" si="92"/>
        <v>145396.09999999998</v>
      </c>
      <c r="R418" s="79">
        <f>R419+R421+R423+R425+R427+R429+R431+R433+R435+R437+R439+R441+R443+R445+R447+R449+R451+R453+R455+R457+R459+R461+R463+R465+R467+R469+R471+R473+R475+R477+R479+R481+R483+R485+R487+R489+R491+R493+R495+R497+R499+R501+R503+R505+R507+R509+R511+R513+R515+R517+R519+R521+R523+R525+R527+R529+R531+R533+R535+R537+R539+R541++R543+R545+R547+R549+R551+R553+R555+R557+R559+R561+R563+R565+R567+R569+R571+R573+R575+R577+R579+R581+R583+R585+R587+R589+R591+R593+R595+R597+R599+R601+R603+R605+R607+R609+R611+R613+R615+R617+R619+R621+R623+R625+R627+R629+R631+R633+R635+R637+R639+R641+R643+R645+R647+R649+R651+R653+R655+R657+R659+R661+R663+R665+R667+R669+R671+R673+R675+R677+R679+R681+R683+R685+R687</f>
        <v>-86920.89999999998</v>
      </c>
      <c r="S418" s="24">
        <f t="shared" si="88"/>
        <v>58475.199999999997</v>
      </c>
      <c r="T418" s="79">
        <f>T419+T421+T423+T425+T427+T429+T431+T433+T435+T437+T439+T441+T443+T445+T447+T449+T451+T453+T455+T457+T459+T461+T463+T465+T467+T469+T471+T473+T475+T477+T479+T481+T483+T485+T487+T489+T491+T493+T495+T497+T499+T501+T503+T505+T507+T509+T511+T513+T515+T517+T519+T521+T523+T525+T527+T529+T531+T533+T535+T537+T539+T541++T543+T545+T547+T549+T551+T553+T555+T557+T559+T561+T563+T565+T567+T569+T571+T573+T575+T577+T579+T581+T583+T585+T587+T589+T591+T593+T595+T597+T599+T601+T603+T605+T607+T609+T611+T613+T615+T617+T619+T621+T623+T625+T627+T629+T631+T633+T635+T637+T639+T641+T643+T645+T647+T649+T651+T653+T655+T657+T659+T661+T663+T665+T667+T669+T671+T673+T675+T677+T679+T681+T683+T685+T687+T689+T691+T693+T695+T697+T699+T701+T703+T705+T707+T709+T711+T713+T715+T717+T719+T721+T723+T725+T727+T729+T731+T733+T735+T737+T739+T741+T743+T745+T747+T749+T751+T753+T755+T757+T759+T761+T763+T765+T767+T769+T771</f>
        <v>0</v>
      </c>
      <c r="U418" s="24">
        <f t="shared" si="104"/>
        <v>58475.199999999997</v>
      </c>
      <c r="V418" s="79">
        <f>V419+V421+V423+V425+V427+V429+V431+V433+V435+V437+V439+V441+V443+V445+V447+V449+V451+V453+V455+V457+V459+V461+V463+V465+V467+V469+V471+V473+V475+V477+V479+V481+V483+V485+V487+V489+V491+V493+V495+V497+V499+V501+V503+V505+V507+V509+V511+V513+V515+V517+V519+V521+V523+V525+V527+V529+V531+V533+V535+V537+V539+V541++V543+V545+V547+V549+V551+V553+V555+V557+V559+V561+V563+V565+V567+V569+V571+V573+V575+V577+V579+V581+V583+V585+V587+V589+V591+V593+V595+V597+V599+V601+V603+V605+V607+V609+V611+V613+V615+V617+V619+V621+V623+V625+V627+V629+V631+V633+V635+V637+V639+V641+V643+V645+V647+V649+V651+V653+V655+V657+V659+V661+V663+V665+V667+V669+V671+V673+V675+V677+V679+V681+V683+V685+V687+V689+V691+V693+V695+V697+V699+V701+V703+V705+V707+V709+V711+V713+V715+V717+V719+V721+V723+V725+V727+V729+V731+V733+V735+V737+V739+V741+V743+V745+V747+V749+V751+V753+V755+V757+V759+V761+V763+V765+V767+V769+V771</f>
        <v>52000.600000000006</v>
      </c>
      <c r="W418" s="24">
        <f t="shared" si="105"/>
        <v>110475.8</v>
      </c>
      <c r="X418" s="79">
        <f>X419+X421+X423+X425+X427+X429+X431+X433+X435+X437+X439+X441+X443+X445+X447+X449+X451+X453+X455+X457+X459+X461+X463+X465+X467+X469+X471+X473+X475+X477+X479+X481+X483+X485+X487+X489+X491+X493+X495+X497+X499+X501+X503+X505+X507+X509+X511+X513+X515+X517+X519+X521+X523+X525+X527+X529+X531+X533+X535+X537+X539+X541++X543+X545+X547+X549+X551+X553+X555+X557+X559+X561+X563+X565+X567+X569+X571+X573+X575+X577+X579+X581+X583+X585+X587+X589+X591+X593+X595+X597+X599+X601+X603+X605+X607+X609+X611+X613+X615+X617+X619+X621+X623+X625+X627+X629+X631+X633+X635+X637+X639+X641+X643+X645+X647+X649+X651+X653+X655+X657+X659+X661+X663+X665+X667+X669+X671+X673+X675+X677+X679+X681+X683+X685+X687+X689+X691+X693+X695+X697+X699+X701+X703+X705+X707+X709+X711+X713+X715+X717+X719+X721+X723+X725+X727+X729+X731+X733+X735+X737+X739+X741+X743+X745+X747+X749+X751+X753+X755+X757+X759+X761+X763+X765+X767+X769+X771</f>
        <v>-31430.1</v>
      </c>
      <c r="Y418" s="24">
        <f t="shared" si="106"/>
        <v>79045.700000000012</v>
      </c>
      <c r="Z418" s="189"/>
    </row>
    <row r="419" spans="1:27" s="6" customFormat="1" x14ac:dyDescent="0.25">
      <c r="A419" s="40" t="s">
        <v>777</v>
      </c>
      <c r="B419" s="55" t="s">
        <v>182</v>
      </c>
      <c r="C419" s="101" t="s">
        <v>778</v>
      </c>
      <c r="D419" s="20"/>
      <c r="E419" s="24"/>
      <c r="F419" s="24"/>
      <c r="G419" s="24"/>
      <c r="H419" s="80"/>
      <c r="I419" s="24"/>
      <c r="J419" s="79">
        <f>J420</f>
        <v>100</v>
      </c>
      <c r="K419" s="24">
        <f t="shared" si="73"/>
        <v>100</v>
      </c>
      <c r="L419" s="79">
        <f>L420</f>
        <v>1220</v>
      </c>
      <c r="M419" s="24">
        <f t="shared" si="74"/>
        <v>1320</v>
      </c>
      <c r="N419" s="79">
        <f>N420</f>
        <v>-792</v>
      </c>
      <c r="O419" s="24">
        <f t="shared" si="75"/>
        <v>528</v>
      </c>
      <c r="P419" s="79">
        <f>P420</f>
        <v>0</v>
      </c>
      <c r="Q419" s="24">
        <f t="shared" si="92"/>
        <v>528</v>
      </c>
      <c r="R419" s="79">
        <f>R420</f>
        <v>0</v>
      </c>
      <c r="S419" s="24">
        <f t="shared" si="88"/>
        <v>528</v>
      </c>
      <c r="T419" s="79">
        <f>T420</f>
        <v>0</v>
      </c>
      <c r="U419" s="24">
        <f t="shared" si="104"/>
        <v>528</v>
      </c>
      <c r="V419" s="79">
        <f>V420</f>
        <v>0</v>
      </c>
      <c r="W419" s="24">
        <f t="shared" si="105"/>
        <v>528</v>
      </c>
      <c r="X419" s="79">
        <f>X420</f>
        <v>0</v>
      </c>
      <c r="Y419" s="24">
        <f t="shared" si="106"/>
        <v>528</v>
      </c>
      <c r="Z419" s="189"/>
    </row>
    <row r="420" spans="1:27" s="6" customFormat="1" x14ac:dyDescent="0.25">
      <c r="A420" s="30" t="s">
        <v>66</v>
      </c>
      <c r="B420" s="56" t="s">
        <v>182</v>
      </c>
      <c r="C420" s="142" t="s">
        <v>778</v>
      </c>
      <c r="D420" s="21" t="s">
        <v>42</v>
      </c>
      <c r="E420" s="24"/>
      <c r="F420" s="24"/>
      <c r="G420" s="24"/>
      <c r="H420" s="80"/>
      <c r="I420" s="24"/>
      <c r="J420" s="80">
        <v>100</v>
      </c>
      <c r="K420" s="24">
        <f t="shared" si="73"/>
        <v>100</v>
      </c>
      <c r="L420" s="95">
        <f>164+792+264</f>
        <v>1220</v>
      </c>
      <c r="M420" s="24">
        <f t="shared" si="74"/>
        <v>1320</v>
      </c>
      <c r="N420" s="119">
        <v>-792</v>
      </c>
      <c r="O420" s="24">
        <f t="shared" si="75"/>
        <v>528</v>
      </c>
      <c r="P420" s="83"/>
      <c r="Q420" s="24">
        <f t="shared" si="92"/>
        <v>528</v>
      </c>
      <c r="R420" s="83"/>
      <c r="S420" s="24">
        <f t="shared" si="88"/>
        <v>528</v>
      </c>
      <c r="T420" s="83"/>
      <c r="U420" s="24">
        <f t="shared" si="104"/>
        <v>528</v>
      </c>
      <c r="V420" s="83"/>
      <c r="W420" s="24">
        <f t="shared" si="105"/>
        <v>528</v>
      </c>
      <c r="X420" s="83"/>
      <c r="Y420" s="24">
        <f t="shared" si="106"/>
        <v>528</v>
      </c>
      <c r="Z420" s="189"/>
      <c r="AA420" s="189">
        <f>Y420+Z420</f>
        <v>528</v>
      </c>
    </row>
    <row r="421" spans="1:27" s="6" customFormat="1" x14ac:dyDescent="0.25">
      <c r="A421" s="128" t="s">
        <v>918</v>
      </c>
      <c r="B421" s="20" t="s">
        <v>182</v>
      </c>
      <c r="C421" s="131" t="s">
        <v>1074</v>
      </c>
      <c r="D421" s="21"/>
      <c r="E421" s="24"/>
      <c r="F421" s="24"/>
      <c r="G421" s="24"/>
      <c r="H421" s="80"/>
      <c r="I421" s="24"/>
      <c r="J421" s="80"/>
      <c r="K421" s="24"/>
      <c r="L421" s="95"/>
      <c r="M421" s="24"/>
      <c r="N421" s="119"/>
      <c r="O421" s="24"/>
      <c r="P421" s="79">
        <f t="shared" ref="P421:X421" si="107">P422</f>
        <v>500</v>
      </c>
      <c r="Q421" s="24">
        <f t="shared" si="92"/>
        <v>500</v>
      </c>
      <c r="R421" s="79">
        <f t="shared" si="107"/>
        <v>-300</v>
      </c>
      <c r="S421" s="24">
        <f t="shared" si="88"/>
        <v>200</v>
      </c>
      <c r="T421" s="79">
        <f t="shared" si="107"/>
        <v>0</v>
      </c>
      <c r="U421" s="24">
        <f t="shared" si="104"/>
        <v>200</v>
      </c>
      <c r="V421" s="79">
        <f t="shared" si="107"/>
        <v>0</v>
      </c>
      <c r="W421" s="24">
        <f t="shared" si="105"/>
        <v>200</v>
      </c>
      <c r="X421" s="79">
        <f t="shared" si="107"/>
        <v>0</v>
      </c>
      <c r="Y421" s="24">
        <f t="shared" si="106"/>
        <v>200</v>
      </c>
      <c r="Z421" s="189"/>
    </row>
    <row r="422" spans="1:27" s="6" customFormat="1" x14ac:dyDescent="0.25">
      <c r="A422" s="30" t="s">
        <v>66</v>
      </c>
      <c r="B422" s="21" t="s">
        <v>182</v>
      </c>
      <c r="C422" s="132" t="s">
        <v>1074</v>
      </c>
      <c r="D422" s="81" t="s">
        <v>42</v>
      </c>
      <c r="E422" s="24"/>
      <c r="F422" s="24"/>
      <c r="G422" s="24"/>
      <c r="H422" s="80"/>
      <c r="I422" s="24"/>
      <c r="J422" s="80"/>
      <c r="K422" s="24"/>
      <c r="L422" s="95"/>
      <c r="M422" s="24"/>
      <c r="N422" s="119"/>
      <c r="O422" s="24"/>
      <c r="P422" s="95">
        <v>500</v>
      </c>
      <c r="Q422" s="24">
        <f t="shared" si="92"/>
        <v>500</v>
      </c>
      <c r="R422" s="80">
        <v>-300</v>
      </c>
      <c r="S422" s="24">
        <f t="shared" si="88"/>
        <v>200</v>
      </c>
      <c r="T422" s="83"/>
      <c r="U422" s="24">
        <f t="shared" si="104"/>
        <v>200</v>
      </c>
      <c r="V422" s="83"/>
      <c r="W422" s="24">
        <f t="shared" si="105"/>
        <v>200</v>
      </c>
      <c r="X422" s="83"/>
      <c r="Y422" s="24">
        <f t="shared" si="106"/>
        <v>200</v>
      </c>
      <c r="Z422" s="189"/>
      <c r="AA422" s="189">
        <f>Y422+Z422</f>
        <v>200</v>
      </c>
    </row>
    <row r="423" spans="1:27" s="6" customFormat="1" ht="15" customHeight="1" x14ac:dyDescent="0.25">
      <c r="A423" s="128" t="s">
        <v>919</v>
      </c>
      <c r="B423" s="20" t="s">
        <v>182</v>
      </c>
      <c r="C423" s="131" t="s">
        <v>1075</v>
      </c>
      <c r="D423" s="21"/>
      <c r="E423" s="24"/>
      <c r="F423" s="24"/>
      <c r="G423" s="24"/>
      <c r="H423" s="80"/>
      <c r="I423" s="24"/>
      <c r="J423" s="80"/>
      <c r="K423" s="24"/>
      <c r="L423" s="95"/>
      <c r="M423" s="24"/>
      <c r="N423" s="119"/>
      <c r="O423" s="24"/>
      <c r="P423" s="79">
        <f t="shared" ref="P423:X423" si="108">P424</f>
        <v>525</v>
      </c>
      <c r="Q423" s="24">
        <f t="shared" si="92"/>
        <v>525</v>
      </c>
      <c r="R423" s="79">
        <f t="shared" si="108"/>
        <v>-315</v>
      </c>
      <c r="S423" s="24">
        <f t="shared" si="88"/>
        <v>210</v>
      </c>
      <c r="T423" s="79">
        <f t="shared" si="108"/>
        <v>0</v>
      </c>
      <c r="U423" s="24">
        <f t="shared" si="104"/>
        <v>210</v>
      </c>
      <c r="V423" s="79">
        <f t="shared" si="108"/>
        <v>0</v>
      </c>
      <c r="W423" s="24">
        <f t="shared" si="105"/>
        <v>210</v>
      </c>
      <c r="X423" s="79">
        <f t="shared" si="108"/>
        <v>0</v>
      </c>
      <c r="Y423" s="24">
        <f t="shared" si="106"/>
        <v>210</v>
      </c>
      <c r="Z423" s="189"/>
    </row>
    <row r="424" spans="1:27" s="6" customFormat="1" x14ac:dyDescent="0.25">
      <c r="A424" s="30" t="s">
        <v>66</v>
      </c>
      <c r="B424" s="21" t="s">
        <v>182</v>
      </c>
      <c r="C424" s="132" t="s">
        <v>1075</v>
      </c>
      <c r="D424" s="81" t="s">
        <v>42</v>
      </c>
      <c r="E424" s="24"/>
      <c r="F424" s="24"/>
      <c r="G424" s="24"/>
      <c r="H424" s="80"/>
      <c r="I424" s="24"/>
      <c r="J424" s="80"/>
      <c r="K424" s="24"/>
      <c r="L424" s="95"/>
      <c r="M424" s="24"/>
      <c r="N424" s="119"/>
      <c r="O424" s="24"/>
      <c r="P424" s="95">
        <v>525</v>
      </c>
      <c r="Q424" s="24">
        <f t="shared" si="92"/>
        <v>525</v>
      </c>
      <c r="R424" s="80">
        <v>-315</v>
      </c>
      <c r="S424" s="24">
        <f t="shared" si="88"/>
        <v>210</v>
      </c>
      <c r="T424" s="83"/>
      <c r="U424" s="24">
        <f t="shared" si="104"/>
        <v>210</v>
      </c>
      <c r="V424" s="83"/>
      <c r="W424" s="24">
        <f t="shared" si="105"/>
        <v>210</v>
      </c>
      <c r="X424" s="83"/>
      <c r="Y424" s="24">
        <f t="shared" si="106"/>
        <v>210</v>
      </c>
      <c r="Z424" s="189"/>
      <c r="AA424" s="189">
        <f>Y424+Z424</f>
        <v>210</v>
      </c>
    </row>
    <row r="425" spans="1:27" s="6" customFormat="1" x14ac:dyDescent="0.25">
      <c r="A425" s="128" t="s">
        <v>920</v>
      </c>
      <c r="B425" s="20" t="s">
        <v>182</v>
      </c>
      <c r="C425" s="131" t="s">
        <v>1076</v>
      </c>
      <c r="D425" s="21"/>
      <c r="E425" s="24"/>
      <c r="F425" s="24"/>
      <c r="G425" s="24"/>
      <c r="H425" s="80"/>
      <c r="I425" s="24"/>
      <c r="J425" s="80"/>
      <c r="K425" s="24"/>
      <c r="L425" s="95"/>
      <c r="M425" s="24"/>
      <c r="N425" s="119"/>
      <c r="O425" s="24"/>
      <c r="P425" s="79">
        <f t="shared" ref="P425:X425" si="109">P426</f>
        <v>250</v>
      </c>
      <c r="Q425" s="24">
        <f t="shared" si="92"/>
        <v>250</v>
      </c>
      <c r="R425" s="79">
        <f t="shared" si="109"/>
        <v>-150</v>
      </c>
      <c r="S425" s="24">
        <f t="shared" si="88"/>
        <v>100</v>
      </c>
      <c r="T425" s="79">
        <f t="shared" si="109"/>
        <v>0</v>
      </c>
      <c r="U425" s="24">
        <f t="shared" si="104"/>
        <v>100</v>
      </c>
      <c r="V425" s="79">
        <f t="shared" si="109"/>
        <v>0</v>
      </c>
      <c r="W425" s="24">
        <f t="shared" si="105"/>
        <v>100</v>
      </c>
      <c r="X425" s="79">
        <f t="shared" si="109"/>
        <v>0</v>
      </c>
      <c r="Y425" s="24">
        <f t="shared" si="106"/>
        <v>100</v>
      </c>
      <c r="Z425" s="189"/>
    </row>
    <row r="426" spans="1:27" s="6" customFormat="1" x14ac:dyDescent="0.25">
      <c r="A426" s="30" t="s">
        <v>66</v>
      </c>
      <c r="B426" s="21" t="s">
        <v>182</v>
      </c>
      <c r="C426" s="132" t="s">
        <v>1076</v>
      </c>
      <c r="D426" s="81" t="s">
        <v>42</v>
      </c>
      <c r="E426" s="24"/>
      <c r="F426" s="24"/>
      <c r="G426" s="24"/>
      <c r="H426" s="80"/>
      <c r="I426" s="24"/>
      <c r="J426" s="80"/>
      <c r="K426" s="24"/>
      <c r="L426" s="95"/>
      <c r="M426" s="24"/>
      <c r="N426" s="119"/>
      <c r="O426" s="24"/>
      <c r="P426" s="95">
        <v>250</v>
      </c>
      <c r="Q426" s="24">
        <f t="shared" si="92"/>
        <v>250</v>
      </c>
      <c r="R426" s="80">
        <v>-150</v>
      </c>
      <c r="S426" s="24">
        <f t="shared" si="88"/>
        <v>100</v>
      </c>
      <c r="T426" s="83"/>
      <c r="U426" s="24">
        <f t="shared" si="104"/>
        <v>100</v>
      </c>
      <c r="V426" s="83"/>
      <c r="W426" s="24">
        <f t="shared" si="105"/>
        <v>100</v>
      </c>
      <c r="X426" s="83"/>
      <c r="Y426" s="24">
        <f t="shared" si="106"/>
        <v>100</v>
      </c>
      <c r="Z426" s="189"/>
      <c r="AA426" s="189">
        <f>Y426+Z426</f>
        <v>100</v>
      </c>
    </row>
    <row r="427" spans="1:27" s="6" customFormat="1" x14ac:dyDescent="0.25">
      <c r="A427" s="128" t="s">
        <v>921</v>
      </c>
      <c r="B427" s="20" t="s">
        <v>182</v>
      </c>
      <c r="C427" s="131" t="s">
        <v>1077</v>
      </c>
      <c r="D427" s="21"/>
      <c r="E427" s="24"/>
      <c r="F427" s="24"/>
      <c r="G427" s="24"/>
      <c r="H427" s="80"/>
      <c r="I427" s="24"/>
      <c r="J427" s="80"/>
      <c r="K427" s="24"/>
      <c r="L427" s="95"/>
      <c r="M427" s="24"/>
      <c r="N427" s="119"/>
      <c r="O427" s="24"/>
      <c r="P427" s="79">
        <f t="shared" ref="P427:X427" si="110">P428</f>
        <v>1820</v>
      </c>
      <c r="Q427" s="24">
        <f t="shared" si="92"/>
        <v>1820</v>
      </c>
      <c r="R427" s="79">
        <f t="shared" si="110"/>
        <v>-1092</v>
      </c>
      <c r="S427" s="24">
        <f t="shared" si="88"/>
        <v>728</v>
      </c>
      <c r="T427" s="79">
        <f t="shared" si="110"/>
        <v>0</v>
      </c>
      <c r="U427" s="24">
        <f t="shared" si="104"/>
        <v>728</v>
      </c>
      <c r="V427" s="79">
        <f t="shared" si="110"/>
        <v>0</v>
      </c>
      <c r="W427" s="24">
        <f t="shared" si="105"/>
        <v>728</v>
      </c>
      <c r="X427" s="79">
        <f t="shared" si="110"/>
        <v>0</v>
      </c>
      <c r="Y427" s="24">
        <f t="shared" si="106"/>
        <v>728</v>
      </c>
      <c r="Z427" s="189"/>
    </row>
    <row r="428" spans="1:27" s="6" customFormat="1" x14ac:dyDescent="0.25">
      <c r="A428" s="30" t="s">
        <v>66</v>
      </c>
      <c r="B428" s="21" t="s">
        <v>182</v>
      </c>
      <c r="C428" s="132" t="s">
        <v>1077</v>
      </c>
      <c r="D428" s="81" t="s">
        <v>42</v>
      </c>
      <c r="E428" s="24"/>
      <c r="F428" s="24"/>
      <c r="G428" s="24"/>
      <c r="H428" s="80"/>
      <c r="I428" s="24"/>
      <c r="J428" s="80"/>
      <c r="K428" s="24"/>
      <c r="L428" s="95"/>
      <c r="M428" s="24"/>
      <c r="N428" s="119"/>
      <c r="O428" s="24"/>
      <c r="P428" s="95">
        <v>1820</v>
      </c>
      <c r="Q428" s="24">
        <f t="shared" si="92"/>
        <v>1820</v>
      </c>
      <c r="R428" s="80">
        <v>-1092</v>
      </c>
      <c r="S428" s="24">
        <f t="shared" ref="S428:S682" si="111">Q428+R428</f>
        <v>728</v>
      </c>
      <c r="T428" s="83"/>
      <c r="U428" s="24">
        <f t="shared" si="104"/>
        <v>728</v>
      </c>
      <c r="V428" s="83"/>
      <c r="W428" s="24">
        <f t="shared" si="105"/>
        <v>728</v>
      </c>
      <c r="X428" s="83"/>
      <c r="Y428" s="24">
        <f t="shared" si="106"/>
        <v>728</v>
      </c>
      <c r="Z428" s="189"/>
      <c r="AA428" s="189">
        <f>Y428+Z428</f>
        <v>728</v>
      </c>
    </row>
    <row r="429" spans="1:27" s="6" customFormat="1" ht="24" x14ac:dyDescent="0.25">
      <c r="A429" s="128" t="s">
        <v>922</v>
      </c>
      <c r="B429" s="20" t="s">
        <v>182</v>
      </c>
      <c r="C429" s="131" t="s">
        <v>1078</v>
      </c>
      <c r="D429" s="21"/>
      <c r="E429" s="24"/>
      <c r="F429" s="24"/>
      <c r="G429" s="24"/>
      <c r="H429" s="80"/>
      <c r="I429" s="24"/>
      <c r="J429" s="80"/>
      <c r="K429" s="24"/>
      <c r="L429" s="95"/>
      <c r="M429" s="24"/>
      <c r="N429" s="119"/>
      <c r="O429" s="24"/>
      <c r="P429" s="79">
        <f t="shared" ref="P429:X429" si="112">P430</f>
        <v>380.6</v>
      </c>
      <c r="Q429" s="24">
        <f t="shared" si="92"/>
        <v>380.6</v>
      </c>
      <c r="R429" s="79">
        <f t="shared" si="112"/>
        <v>-228.4</v>
      </c>
      <c r="S429" s="24">
        <f t="shared" si="111"/>
        <v>152.20000000000002</v>
      </c>
      <c r="T429" s="79">
        <f t="shared" si="112"/>
        <v>0</v>
      </c>
      <c r="U429" s="24">
        <f t="shared" si="104"/>
        <v>152.20000000000002</v>
      </c>
      <c r="V429" s="79">
        <f t="shared" si="112"/>
        <v>0</v>
      </c>
      <c r="W429" s="24">
        <f t="shared" si="105"/>
        <v>152.20000000000002</v>
      </c>
      <c r="X429" s="79">
        <f t="shared" si="112"/>
        <v>0</v>
      </c>
      <c r="Y429" s="24">
        <f t="shared" si="106"/>
        <v>152.20000000000002</v>
      </c>
      <c r="Z429" s="189"/>
    </row>
    <row r="430" spans="1:27" s="6" customFormat="1" x14ac:dyDescent="0.25">
      <c r="A430" s="30" t="s">
        <v>66</v>
      </c>
      <c r="B430" s="21" t="s">
        <v>182</v>
      </c>
      <c r="C430" s="132" t="s">
        <v>1078</v>
      </c>
      <c r="D430" s="81" t="s">
        <v>42</v>
      </c>
      <c r="E430" s="24"/>
      <c r="F430" s="24"/>
      <c r="G430" s="24"/>
      <c r="H430" s="80"/>
      <c r="I430" s="24"/>
      <c r="J430" s="80"/>
      <c r="K430" s="24"/>
      <c r="L430" s="95"/>
      <c r="M430" s="24"/>
      <c r="N430" s="119"/>
      <c r="O430" s="24"/>
      <c r="P430" s="95">
        <v>380.6</v>
      </c>
      <c r="Q430" s="24">
        <f t="shared" si="92"/>
        <v>380.6</v>
      </c>
      <c r="R430" s="80">
        <v>-228.4</v>
      </c>
      <c r="S430" s="24">
        <f t="shared" si="111"/>
        <v>152.20000000000002</v>
      </c>
      <c r="T430" s="83"/>
      <c r="U430" s="24">
        <f t="shared" si="104"/>
        <v>152.20000000000002</v>
      </c>
      <c r="V430" s="83"/>
      <c r="W430" s="24">
        <f t="shared" si="105"/>
        <v>152.20000000000002</v>
      </c>
      <c r="X430" s="83"/>
      <c r="Y430" s="24">
        <f t="shared" si="106"/>
        <v>152.20000000000002</v>
      </c>
      <c r="Z430" s="189"/>
      <c r="AA430" s="189">
        <f>Y430+Z430</f>
        <v>152.20000000000002</v>
      </c>
    </row>
    <row r="431" spans="1:27" s="6" customFormat="1" x14ac:dyDescent="0.25">
      <c r="A431" s="128" t="s">
        <v>923</v>
      </c>
      <c r="B431" s="20" t="s">
        <v>182</v>
      </c>
      <c r="C431" s="131" t="s">
        <v>1079</v>
      </c>
      <c r="D431" s="21"/>
      <c r="E431" s="24"/>
      <c r="F431" s="24"/>
      <c r="G431" s="24"/>
      <c r="H431" s="80"/>
      <c r="I431" s="24"/>
      <c r="J431" s="80"/>
      <c r="K431" s="24"/>
      <c r="L431" s="95"/>
      <c r="M431" s="24"/>
      <c r="N431" s="119"/>
      <c r="O431" s="24"/>
      <c r="P431" s="79">
        <f t="shared" ref="P431:X431" si="113">P432</f>
        <v>690.5</v>
      </c>
      <c r="Q431" s="24">
        <f t="shared" si="92"/>
        <v>690.5</v>
      </c>
      <c r="R431" s="79">
        <f t="shared" si="113"/>
        <v>-414.3</v>
      </c>
      <c r="S431" s="24">
        <f t="shared" si="111"/>
        <v>276.2</v>
      </c>
      <c r="T431" s="79">
        <f t="shared" si="113"/>
        <v>0</v>
      </c>
      <c r="U431" s="24">
        <f t="shared" ref="U431:U685" si="114">S431+T431</f>
        <v>276.2</v>
      </c>
      <c r="V431" s="79">
        <f t="shared" si="113"/>
        <v>0</v>
      </c>
      <c r="W431" s="24">
        <f t="shared" si="105"/>
        <v>276.2</v>
      </c>
      <c r="X431" s="79">
        <f t="shared" si="113"/>
        <v>0</v>
      </c>
      <c r="Y431" s="24">
        <f t="shared" si="106"/>
        <v>276.2</v>
      </c>
      <c r="Z431" s="189"/>
    </row>
    <row r="432" spans="1:27" s="6" customFormat="1" x14ac:dyDescent="0.25">
      <c r="A432" s="30" t="s">
        <v>66</v>
      </c>
      <c r="B432" s="21" t="s">
        <v>182</v>
      </c>
      <c r="C432" s="132" t="s">
        <v>1079</v>
      </c>
      <c r="D432" s="81" t="s">
        <v>42</v>
      </c>
      <c r="E432" s="24"/>
      <c r="F432" s="24"/>
      <c r="G432" s="24"/>
      <c r="H432" s="80"/>
      <c r="I432" s="24"/>
      <c r="J432" s="80"/>
      <c r="K432" s="24"/>
      <c r="L432" s="95"/>
      <c r="M432" s="24"/>
      <c r="N432" s="119"/>
      <c r="O432" s="24"/>
      <c r="P432" s="95">
        <v>690.5</v>
      </c>
      <c r="Q432" s="24">
        <f t="shared" si="92"/>
        <v>690.5</v>
      </c>
      <c r="R432" s="80">
        <v>-414.3</v>
      </c>
      <c r="S432" s="24">
        <f t="shared" si="111"/>
        <v>276.2</v>
      </c>
      <c r="T432" s="83"/>
      <c r="U432" s="24">
        <f t="shared" si="114"/>
        <v>276.2</v>
      </c>
      <c r="V432" s="83"/>
      <c r="W432" s="24">
        <f t="shared" si="105"/>
        <v>276.2</v>
      </c>
      <c r="X432" s="83"/>
      <c r="Y432" s="24">
        <f t="shared" si="106"/>
        <v>276.2</v>
      </c>
      <c r="Z432" s="189"/>
      <c r="AA432" s="189">
        <f>Y432+Z432</f>
        <v>276.2</v>
      </c>
    </row>
    <row r="433" spans="1:27" s="6" customFormat="1" x14ac:dyDescent="0.25">
      <c r="A433" s="128" t="s">
        <v>924</v>
      </c>
      <c r="B433" s="20" t="s">
        <v>182</v>
      </c>
      <c r="C433" s="131" t="s">
        <v>1080</v>
      </c>
      <c r="D433" s="21"/>
      <c r="E433" s="24"/>
      <c r="F433" s="24"/>
      <c r="G433" s="24"/>
      <c r="H433" s="80"/>
      <c r="I433" s="24"/>
      <c r="J433" s="80"/>
      <c r="K433" s="24"/>
      <c r="L433" s="95"/>
      <c r="M433" s="24"/>
      <c r="N433" s="119"/>
      <c r="O433" s="24"/>
      <c r="P433" s="79">
        <f t="shared" ref="P433:X433" si="115">P434</f>
        <v>2000</v>
      </c>
      <c r="Q433" s="24">
        <f t="shared" si="92"/>
        <v>2000</v>
      </c>
      <c r="R433" s="79">
        <f t="shared" si="115"/>
        <v>-1200</v>
      </c>
      <c r="S433" s="24">
        <f t="shared" si="111"/>
        <v>800</v>
      </c>
      <c r="T433" s="79">
        <f t="shared" si="115"/>
        <v>0</v>
      </c>
      <c r="U433" s="24">
        <f t="shared" si="114"/>
        <v>800</v>
      </c>
      <c r="V433" s="79">
        <f t="shared" si="115"/>
        <v>0</v>
      </c>
      <c r="W433" s="24">
        <f t="shared" si="105"/>
        <v>800</v>
      </c>
      <c r="X433" s="79">
        <f t="shared" si="115"/>
        <v>0</v>
      </c>
      <c r="Y433" s="24">
        <f t="shared" si="106"/>
        <v>800</v>
      </c>
      <c r="Z433" s="189"/>
    </row>
    <row r="434" spans="1:27" s="6" customFormat="1" x14ac:dyDescent="0.25">
      <c r="A434" s="30" t="s">
        <v>66</v>
      </c>
      <c r="B434" s="21" t="s">
        <v>182</v>
      </c>
      <c r="C434" s="132" t="s">
        <v>1080</v>
      </c>
      <c r="D434" s="81" t="s">
        <v>42</v>
      </c>
      <c r="E434" s="24"/>
      <c r="F434" s="24"/>
      <c r="G434" s="24"/>
      <c r="H434" s="80"/>
      <c r="I434" s="24"/>
      <c r="J434" s="80"/>
      <c r="K434" s="24"/>
      <c r="L434" s="95"/>
      <c r="M434" s="24"/>
      <c r="N434" s="119"/>
      <c r="O434" s="24"/>
      <c r="P434" s="95">
        <v>2000</v>
      </c>
      <c r="Q434" s="24">
        <f t="shared" si="92"/>
        <v>2000</v>
      </c>
      <c r="R434" s="80">
        <v>-1200</v>
      </c>
      <c r="S434" s="24">
        <f t="shared" si="111"/>
        <v>800</v>
      </c>
      <c r="T434" s="83"/>
      <c r="U434" s="24">
        <f t="shared" si="114"/>
        <v>800</v>
      </c>
      <c r="V434" s="83"/>
      <c r="W434" s="24">
        <f t="shared" si="105"/>
        <v>800</v>
      </c>
      <c r="X434" s="83"/>
      <c r="Y434" s="24">
        <f t="shared" si="106"/>
        <v>800</v>
      </c>
      <c r="Z434" s="189"/>
      <c r="AA434" s="189">
        <f>Y434+Z434</f>
        <v>800</v>
      </c>
    </row>
    <row r="435" spans="1:27" s="6" customFormat="1" ht="24" x14ac:dyDescent="0.25">
      <c r="A435" s="128" t="s">
        <v>925</v>
      </c>
      <c r="B435" s="20" t="s">
        <v>182</v>
      </c>
      <c r="C435" s="131" t="s">
        <v>1081</v>
      </c>
      <c r="D435" s="21"/>
      <c r="E435" s="24"/>
      <c r="F435" s="24"/>
      <c r="G435" s="24"/>
      <c r="H435" s="80"/>
      <c r="I435" s="24"/>
      <c r="J435" s="80"/>
      <c r="K435" s="24"/>
      <c r="L435" s="95"/>
      <c r="M435" s="24"/>
      <c r="N435" s="119"/>
      <c r="O435" s="24"/>
      <c r="P435" s="79">
        <f t="shared" ref="P435:X435" si="116">P436</f>
        <v>260</v>
      </c>
      <c r="Q435" s="24">
        <f t="shared" si="92"/>
        <v>260</v>
      </c>
      <c r="R435" s="79">
        <f t="shared" si="116"/>
        <v>-156</v>
      </c>
      <c r="S435" s="24">
        <f t="shared" si="111"/>
        <v>104</v>
      </c>
      <c r="T435" s="79">
        <f t="shared" si="116"/>
        <v>0</v>
      </c>
      <c r="U435" s="24">
        <f t="shared" si="114"/>
        <v>104</v>
      </c>
      <c r="V435" s="79">
        <f t="shared" si="116"/>
        <v>0</v>
      </c>
      <c r="W435" s="24">
        <f t="shared" si="105"/>
        <v>104</v>
      </c>
      <c r="X435" s="79">
        <f t="shared" si="116"/>
        <v>0</v>
      </c>
      <c r="Y435" s="24">
        <f t="shared" si="106"/>
        <v>104</v>
      </c>
      <c r="Z435" s="189"/>
    </row>
    <row r="436" spans="1:27" s="6" customFormat="1" x14ac:dyDescent="0.25">
      <c r="A436" s="30" t="s">
        <v>66</v>
      </c>
      <c r="B436" s="21" t="s">
        <v>182</v>
      </c>
      <c r="C436" s="132" t="s">
        <v>1081</v>
      </c>
      <c r="D436" s="81" t="s">
        <v>42</v>
      </c>
      <c r="E436" s="24"/>
      <c r="F436" s="24"/>
      <c r="G436" s="24"/>
      <c r="H436" s="80"/>
      <c r="I436" s="24"/>
      <c r="J436" s="80"/>
      <c r="K436" s="24"/>
      <c r="L436" s="95"/>
      <c r="M436" s="24"/>
      <c r="N436" s="119"/>
      <c r="O436" s="24"/>
      <c r="P436" s="95">
        <v>260</v>
      </c>
      <c r="Q436" s="24">
        <f t="shared" si="92"/>
        <v>260</v>
      </c>
      <c r="R436" s="80">
        <v>-156</v>
      </c>
      <c r="S436" s="24">
        <f t="shared" si="111"/>
        <v>104</v>
      </c>
      <c r="T436" s="83"/>
      <c r="U436" s="24">
        <f t="shared" si="114"/>
        <v>104</v>
      </c>
      <c r="V436" s="83"/>
      <c r="W436" s="24">
        <f t="shared" si="105"/>
        <v>104</v>
      </c>
      <c r="X436" s="83"/>
      <c r="Y436" s="24">
        <f t="shared" si="106"/>
        <v>104</v>
      </c>
      <c r="Z436" s="189"/>
      <c r="AA436" s="189">
        <f>Y436+Z436</f>
        <v>104</v>
      </c>
    </row>
    <row r="437" spans="1:27" s="6" customFormat="1" x14ac:dyDescent="0.25">
      <c r="A437" s="128" t="s">
        <v>926</v>
      </c>
      <c r="B437" s="20" t="s">
        <v>182</v>
      </c>
      <c r="C437" s="131" t="s">
        <v>1082</v>
      </c>
      <c r="D437" s="81"/>
      <c r="E437" s="24"/>
      <c r="F437" s="24"/>
      <c r="G437" s="24"/>
      <c r="H437" s="80"/>
      <c r="I437" s="24"/>
      <c r="J437" s="80"/>
      <c r="K437" s="24"/>
      <c r="L437" s="95"/>
      <c r="M437" s="24"/>
      <c r="N437" s="119"/>
      <c r="O437" s="24"/>
      <c r="P437" s="79">
        <f t="shared" ref="P437:X437" si="117">P438</f>
        <v>1957.5</v>
      </c>
      <c r="Q437" s="24">
        <f t="shared" si="92"/>
        <v>1957.5</v>
      </c>
      <c r="R437" s="79">
        <f t="shared" si="117"/>
        <v>-1174.5</v>
      </c>
      <c r="S437" s="24">
        <f t="shared" si="111"/>
        <v>783</v>
      </c>
      <c r="T437" s="79">
        <f t="shared" si="117"/>
        <v>0</v>
      </c>
      <c r="U437" s="24">
        <f t="shared" si="114"/>
        <v>783</v>
      </c>
      <c r="V437" s="79">
        <f t="shared" si="117"/>
        <v>0</v>
      </c>
      <c r="W437" s="24">
        <f t="shared" si="105"/>
        <v>783</v>
      </c>
      <c r="X437" s="79">
        <f t="shared" si="117"/>
        <v>0</v>
      </c>
      <c r="Y437" s="24">
        <f t="shared" si="106"/>
        <v>783</v>
      </c>
      <c r="Z437" s="189"/>
    </row>
    <row r="438" spans="1:27" s="6" customFormat="1" x14ac:dyDescent="0.25">
      <c r="A438" s="30" t="s">
        <v>66</v>
      </c>
      <c r="B438" s="21" t="s">
        <v>182</v>
      </c>
      <c r="C438" s="132" t="s">
        <v>1082</v>
      </c>
      <c r="D438" s="81" t="s">
        <v>42</v>
      </c>
      <c r="E438" s="24"/>
      <c r="F438" s="24"/>
      <c r="G438" s="24"/>
      <c r="H438" s="80"/>
      <c r="I438" s="24"/>
      <c r="J438" s="80"/>
      <c r="K438" s="24"/>
      <c r="L438" s="95"/>
      <c r="M438" s="24"/>
      <c r="N438" s="119"/>
      <c r="O438" s="24"/>
      <c r="P438" s="95">
        <v>1957.5</v>
      </c>
      <c r="Q438" s="24">
        <f t="shared" si="92"/>
        <v>1957.5</v>
      </c>
      <c r="R438" s="80">
        <v>-1174.5</v>
      </c>
      <c r="S438" s="24">
        <f t="shared" si="111"/>
        <v>783</v>
      </c>
      <c r="T438" s="83"/>
      <c r="U438" s="24">
        <f t="shared" si="114"/>
        <v>783</v>
      </c>
      <c r="V438" s="83"/>
      <c r="W438" s="24">
        <f t="shared" si="105"/>
        <v>783</v>
      </c>
      <c r="X438" s="83"/>
      <c r="Y438" s="24">
        <f t="shared" si="106"/>
        <v>783</v>
      </c>
      <c r="Z438" s="189"/>
      <c r="AA438" s="189">
        <f>Y438+Z438</f>
        <v>783</v>
      </c>
    </row>
    <row r="439" spans="1:27" s="6" customFormat="1" x14ac:dyDescent="0.25">
      <c r="A439" s="128" t="s">
        <v>927</v>
      </c>
      <c r="B439" s="20" t="s">
        <v>182</v>
      </c>
      <c r="C439" s="131" t="s">
        <v>1083</v>
      </c>
      <c r="D439" s="21"/>
      <c r="E439" s="24"/>
      <c r="F439" s="24"/>
      <c r="G439" s="24"/>
      <c r="H439" s="80"/>
      <c r="I439" s="24"/>
      <c r="J439" s="80"/>
      <c r="K439" s="24"/>
      <c r="L439" s="95"/>
      <c r="M439" s="24"/>
      <c r="N439" s="119"/>
      <c r="O439" s="24"/>
      <c r="P439" s="79">
        <f t="shared" ref="P439:X439" si="118">P440</f>
        <v>850</v>
      </c>
      <c r="Q439" s="24">
        <f t="shared" si="92"/>
        <v>850</v>
      </c>
      <c r="R439" s="79">
        <f t="shared" si="118"/>
        <v>-510</v>
      </c>
      <c r="S439" s="24">
        <f t="shared" si="111"/>
        <v>340</v>
      </c>
      <c r="T439" s="79">
        <f t="shared" si="118"/>
        <v>0</v>
      </c>
      <c r="U439" s="24">
        <f t="shared" si="114"/>
        <v>340</v>
      </c>
      <c r="V439" s="79">
        <f t="shared" si="118"/>
        <v>0</v>
      </c>
      <c r="W439" s="24">
        <f t="shared" si="105"/>
        <v>340</v>
      </c>
      <c r="X439" s="79">
        <f t="shared" si="118"/>
        <v>0</v>
      </c>
      <c r="Y439" s="24">
        <f t="shared" si="106"/>
        <v>340</v>
      </c>
      <c r="Z439" s="189"/>
    </row>
    <row r="440" spans="1:27" s="6" customFormat="1" x14ac:dyDescent="0.25">
      <c r="A440" s="30" t="s">
        <v>66</v>
      </c>
      <c r="B440" s="21" t="s">
        <v>182</v>
      </c>
      <c r="C440" s="132" t="s">
        <v>1083</v>
      </c>
      <c r="D440" s="81" t="s">
        <v>42</v>
      </c>
      <c r="E440" s="24"/>
      <c r="F440" s="24"/>
      <c r="G440" s="24"/>
      <c r="H440" s="80"/>
      <c r="I440" s="24"/>
      <c r="J440" s="80"/>
      <c r="K440" s="24"/>
      <c r="L440" s="95"/>
      <c r="M440" s="24"/>
      <c r="N440" s="119"/>
      <c r="O440" s="24"/>
      <c r="P440" s="95">
        <v>850</v>
      </c>
      <c r="Q440" s="24">
        <f t="shared" si="92"/>
        <v>850</v>
      </c>
      <c r="R440" s="80">
        <v>-510</v>
      </c>
      <c r="S440" s="24">
        <f t="shared" si="111"/>
        <v>340</v>
      </c>
      <c r="T440" s="83"/>
      <c r="U440" s="24">
        <f t="shared" si="114"/>
        <v>340</v>
      </c>
      <c r="V440" s="83"/>
      <c r="W440" s="24">
        <f t="shared" si="105"/>
        <v>340</v>
      </c>
      <c r="X440" s="83"/>
      <c r="Y440" s="24">
        <f t="shared" si="106"/>
        <v>340</v>
      </c>
      <c r="Z440" s="189"/>
      <c r="AA440" s="189">
        <f>Y440+Z440</f>
        <v>340</v>
      </c>
    </row>
    <row r="441" spans="1:27" s="6" customFormat="1" x14ac:dyDescent="0.25">
      <c r="A441" s="128" t="s">
        <v>928</v>
      </c>
      <c r="B441" s="20" t="s">
        <v>182</v>
      </c>
      <c r="C441" s="131" t="s">
        <v>1084</v>
      </c>
      <c r="D441" s="21"/>
      <c r="E441" s="24"/>
      <c r="F441" s="24"/>
      <c r="G441" s="24"/>
      <c r="H441" s="80"/>
      <c r="I441" s="24"/>
      <c r="J441" s="80"/>
      <c r="K441" s="24"/>
      <c r="L441" s="95"/>
      <c r="M441" s="24"/>
      <c r="N441" s="119"/>
      <c r="O441" s="24"/>
      <c r="P441" s="79">
        <f t="shared" ref="P441:X441" si="119">P442</f>
        <v>1741.5</v>
      </c>
      <c r="Q441" s="24">
        <f t="shared" si="92"/>
        <v>1741.5</v>
      </c>
      <c r="R441" s="79">
        <f t="shared" si="119"/>
        <v>-1044.9000000000001</v>
      </c>
      <c r="S441" s="24">
        <f t="shared" si="111"/>
        <v>696.59999999999991</v>
      </c>
      <c r="T441" s="79">
        <f t="shared" si="119"/>
        <v>0</v>
      </c>
      <c r="U441" s="24">
        <f t="shared" si="114"/>
        <v>696.59999999999991</v>
      </c>
      <c r="V441" s="79">
        <f t="shared" si="119"/>
        <v>0</v>
      </c>
      <c r="W441" s="24">
        <f t="shared" si="105"/>
        <v>696.59999999999991</v>
      </c>
      <c r="X441" s="79">
        <f t="shared" si="119"/>
        <v>0</v>
      </c>
      <c r="Y441" s="24">
        <f t="shared" si="106"/>
        <v>696.59999999999991</v>
      </c>
      <c r="Z441" s="189"/>
    </row>
    <row r="442" spans="1:27" s="6" customFormat="1" x14ac:dyDescent="0.25">
      <c r="A442" s="30" t="s">
        <v>66</v>
      </c>
      <c r="B442" s="21" t="s">
        <v>182</v>
      </c>
      <c r="C442" s="132" t="s">
        <v>1084</v>
      </c>
      <c r="D442" s="81" t="s">
        <v>42</v>
      </c>
      <c r="E442" s="24"/>
      <c r="F442" s="24"/>
      <c r="G442" s="24"/>
      <c r="H442" s="80"/>
      <c r="I442" s="24"/>
      <c r="J442" s="80"/>
      <c r="K442" s="24"/>
      <c r="L442" s="95"/>
      <c r="M442" s="24"/>
      <c r="N442" s="119"/>
      <c r="O442" s="24"/>
      <c r="P442" s="95">
        <v>1741.5</v>
      </c>
      <c r="Q442" s="24">
        <f t="shared" si="92"/>
        <v>1741.5</v>
      </c>
      <c r="R442" s="80">
        <v>-1044.9000000000001</v>
      </c>
      <c r="S442" s="24">
        <f t="shared" si="111"/>
        <v>696.59999999999991</v>
      </c>
      <c r="T442" s="83"/>
      <c r="U442" s="24">
        <f t="shared" si="114"/>
        <v>696.59999999999991</v>
      </c>
      <c r="V442" s="83"/>
      <c r="W442" s="24">
        <f t="shared" si="105"/>
        <v>696.59999999999991</v>
      </c>
      <c r="X442" s="83"/>
      <c r="Y442" s="24">
        <f t="shared" si="106"/>
        <v>696.59999999999991</v>
      </c>
      <c r="Z442" s="189"/>
      <c r="AA442" s="189">
        <f>Y442+Z442</f>
        <v>696.59999999999991</v>
      </c>
    </row>
    <row r="443" spans="1:27" s="6" customFormat="1" x14ac:dyDescent="0.25">
      <c r="A443" s="128" t="s">
        <v>930</v>
      </c>
      <c r="B443" s="20" t="s">
        <v>182</v>
      </c>
      <c r="C443" s="131" t="s">
        <v>1086</v>
      </c>
      <c r="D443" s="21"/>
      <c r="E443" s="24"/>
      <c r="F443" s="24"/>
      <c r="G443" s="24"/>
      <c r="H443" s="80"/>
      <c r="I443" s="24"/>
      <c r="J443" s="80"/>
      <c r="K443" s="24"/>
      <c r="L443" s="95"/>
      <c r="M443" s="24"/>
      <c r="N443" s="119"/>
      <c r="O443" s="24"/>
      <c r="P443" s="79">
        <f t="shared" ref="P443:X443" si="120">P444</f>
        <v>1050</v>
      </c>
      <c r="Q443" s="24">
        <f t="shared" si="92"/>
        <v>1050</v>
      </c>
      <c r="R443" s="79">
        <f t="shared" si="120"/>
        <v>-630</v>
      </c>
      <c r="S443" s="24">
        <f t="shared" si="111"/>
        <v>420</v>
      </c>
      <c r="T443" s="79">
        <f t="shared" si="120"/>
        <v>0</v>
      </c>
      <c r="U443" s="24">
        <f t="shared" si="114"/>
        <v>420</v>
      </c>
      <c r="V443" s="79">
        <f t="shared" si="120"/>
        <v>0</v>
      </c>
      <c r="W443" s="24">
        <f t="shared" si="105"/>
        <v>420</v>
      </c>
      <c r="X443" s="79">
        <f t="shared" si="120"/>
        <v>0</v>
      </c>
      <c r="Y443" s="24">
        <f t="shared" si="106"/>
        <v>420</v>
      </c>
      <c r="Z443" s="189"/>
    </row>
    <row r="444" spans="1:27" s="6" customFormat="1" x14ac:dyDescent="0.25">
      <c r="A444" s="30" t="s">
        <v>66</v>
      </c>
      <c r="B444" s="21" t="s">
        <v>182</v>
      </c>
      <c r="C444" s="132" t="s">
        <v>1086</v>
      </c>
      <c r="D444" s="81" t="s">
        <v>42</v>
      </c>
      <c r="E444" s="24"/>
      <c r="F444" s="24"/>
      <c r="G444" s="24"/>
      <c r="H444" s="80"/>
      <c r="I444" s="24"/>
      <c r="J444" s="80"/>
      <c r="K444" s="24"/>
      <c r="L444" s="95"/>
      <c r="M444" s="24"/>
      <c r="N444" s="119"/>
      <c r="O444" s="24"/>
      <c r="P444" s="95">
        <v>1050</v>
      </c>
      <c r="Q444" s="24">
        <f t="shared" si="92"/>
        <v>1050</v>
      </c>
      <c r="R444" s="80">
        <v>-630</v>
      </c>
      <c r="S444" s="24">
        <f t="shared" si="111"/>
        <v>420</v>
      </c>
      <c r="T444" s="83"/>
      <c r="U444" s="24">
        <f t="shared" si="114"/>
        <v>420</v>
      </c>
      <c r="V444" s="83"/>
      <c r="W444" s="24">
        <f t="shared" si="105"/>
        <v>420</v>
      </c>
      <c r="X444" s="83"/>
      <c r="Y444" s="24">
        <f t="shared" si="106"/>
        <v>420</v>
      </c>
      <c r="Z444" s="189"/>
      <c r="AA444" s="189">
        <f>Y444+Z444</f>
        <v>420</v>
      </c>
    </row>
    <row r="445" spans="1:27" s="6" customFormat="1" ht="24" x14ac:dyDescent="0.25">
      <c r="A445" s="128" t="s">
        <v>931</v>
      </c>
      <c r="B445" s="20" t="s">
        <v>182</v>
      </c>
      <c r="C445" s="131" t="s">
        <v>1087</v>
      </c>
      <c r="D445" s="21"/>
      <c r="E445" s="24"/>
      <c r="F445" s="24"/>
      <c r="G445" s="24"/>
      <c r="H445" s="80"/>
      <c r="I445" s="24"/>
      <c r="J445" s="80"/>
      <c r="K445" s="24"/>
      <c r="L445" s="95"/>
      <c r="M445" s="24"/>
      <c r="N445" s="119"/>
      <c r="O445" s="24"/>
      <c r="P445" s="79">
        <f t="shared" ref="P445:X445" si="121">P446</f>
        <v>775</v>
      </c>
      <c r="Q445" s="24">
        <f t="shared" si="92"/>
        <v>775</v>
      </c>
      <c r="R445" s="79">
        <f t="shared" si="121"/>
        <v>-465</v>
      </c>
      <c r="S445" s="24">
        <f t="shared" si="111"/>
        <v>310</v>
      </c>
      <c r="T445" s="79">
        <f t="shared" si="121"/>
        <v>0</v>
      </c>
      <c r="U445" s="24">
        <f t="shared" si="114"/>
        <v>310</v>
      </c>
      <c r="V445" s="79">
        <f t="shared" si="121"/>
        <v>0</v>
      </c>
      <c r="W445" s="24">
        <f t="shared" si="105"/>
        <v>310</v>
      </c>
      <c r="X445" s="79">
        <f t="shared" si="121"/>
        <v>0</v>
      </c>
      <c r="Y445" s="24">
        <f t="shared" si="106"/>
        <v>310</v>
      </c>
      <c r="Z445" s="189"/>
    </row>
    <row r="446" spans="1:27" s="6" customFormat="1" x14ac:dyDescent="0.25">
      <c r="A446" s="30" t="s">
        <v>66</v>
      </c>
      <c r="B446" s="21" t="s">
        <v>182</v>
      </c>
      <c r="C446" s="132" t="s">
        <v>1087</v>
      </c>
      <c r="D446" s="81" t="s">
        <v>42</v>
      </c>
      <c r="E446" s="24"/>
      <c r="F446" s="24"/>
      <c r="G446" s="24"/>
      <c r="H446" s="80"/>
      <c r="I446" s="24"/>
      <c r="J446" s="80"/>
      <c r="K446" s="24"/>
      <c r="L446" s="95"/>
      <c r="M446" s="24"/>
      <c r="N446" s="119"/>
      <c r="O446" s="24"/>
      <c r="P446" s="95">
        <v>775</v>
      </c>
      <c r="Q446" s="24">
        <f t="shared" si="92"/>
        <v>775</v>
      </c>
      <c r="R446" s="80">
        <v>-465</v>
      </c>
      <c r="S446" s="24">
        <f t="shared" si="111"/>
        <v>310</v>
      </c>
      <c r="T446" s="83"/>
      <c r="U446" s="24">
        <f t="shared" si="114"/>
        <v>310</v>
      </c>
      <c r="V446" s="83"/>
      <c r="W446" s="24">
        <f t="shared" si="105"/>
        <v>310</v>
      </c>
      <c r="X446" s="83"/>
      <c r="Y446" s="24">
        <f t="shared" si="106"/>
        <v>310</v>
      </c>
      <c r="Z446" s="189"/>
      <c r="AA446" s="189">
        <f>Y446+Z446</f>
        <v>310</v>
      </c>
    </row>
    <row r="447" spans="1:27" s="6" customFormat="1" ht="24" x14ac:dyDescent="0.25">
      <c r="A447" s="128" t="s">
        <v>932</v>
      </c>
      <c r="B447" s="20" t="s">
        <v>182</v>
      </c>
      <c r="C447" s="131" t="s">
        <v>1088</v>
      </c>
      <c r="D447" s="21"/>
      <c r="E447" s="24"/>
      <c r="F447" s="24"/>
      <c r="G447" s="24"/>
      <c r="H447" s="80"/>
      <c r="I447" s="24"/>
      <c r="J447" s="80"/>
      <c r="K447" s="24"/>
      <c r="L447" s="95"/>
      <c r="M447" s="24"/>
      <c r="N447" s="119"/>
      <c r="O447" s="24"/>
      <c r="P447" s="79">
        <f t="shared" ref="P447:X447" si="122">P448</f>
        <v>345</v>
      </c>
      <c r="Q447" s="24">
        <f t="shared" si="92"/>
        <v>345</v>
      </c>
      <c r="R447" s="79">
        <f t="shared" si="122"/>
        <v>-207</v>
      </c>
      <c r="S447" s="24">
        <f t="shared" si="111"/>
        <v>138</v>
      </c>
      <c r="T447" s="79">
        <f t="shared" si="122"/>
        <v>0</v>
      </c>
      <c r="U447" s="24">
        <f t="shared" si="114"/>
        <v>138</v>
      </c>
      <c r="V447" s="79">
        <f t="shared" si="122"/>
        <v>0</v>
      </c>
      <c r="W447" s="24">
        <f t="shared" si="105"/>
        <v>138</v>
      </c>
      <c r="X447" s="79">
        <f t="shared" si="122"/>
        <v>0</v>
      </c>
      <c r="Y447" s="24">
        <f t="shared" si="106"/>
        <v>138</v>
      </c>
      <c r="Z447" s="189"/>
    </row>
    <row r="448" spans="1:27" s="6" customFormat="1" x14ac:dyDescent="0.25">
      <c r="A448" s="30" t="s">
        <v>66</v>
      </c>
      <c r="B448" s="21" t="s">
        <v>182</v>
      </c>
      <c r="C448" s="132" t="s">
        <v>1088</v>
      </c>
      <c r="D448" s="81" t="s">
        <v>42</v>
      </c>
      <c r="E448" s="24"/>
      <c r="F448" s="24"/>
      <c r="G448" s="24"/>
      <c r="H448" s="80"/>
      <c r="I448" s="24"/>
      <c r="J448" s="80"/>
      <c r="K448" s="24"/>
      <c r="L448" s="95"/>
      <c r="M448" s="24"/>
      <c r="N448" s="119"/>
      <c r="O448" s="24"/>
      <c r="P448" s="95">
        <v>345</v>
      </c>
      <c r="Q448" s="24">
        <f t="shared" si="92"/>
        <v>345</v>
      </c>
      <c r="R448" s="80">
        <v>-207</v>
      </c>
      <c r="S448" s="24">
        <f t="shared" si="111"/>
        <v>138</v>
      </c>
      <c r="T448" s="83"/>
      <c r="U448" s="24">
        <f t="shared" si="114"/>
        <v>138</v>
      </c>
      <c r="V448" s="83"/>
      <c r="W448" s="24">
        <f t="shared" si="105"/>
        <v>138</v>
      </c>
      <c r="X448" s="83"/>
      <c r="Y448" s="24">
        <f t="shared" si="106"/>
        <v>138</v>
      </c>
      <c r="Z448" s="189"/>
      <c r="AA448" s="189">
        <f>Y448+Z448</f>
        <v>138</v>
      </c>
    </row>
    <row r="449" spans="1:27" s="6" customFormat="1" ht="24" x14ac:dyDescent="0.25">
      <c r="A449" s="128" t="s">
        <v>933</v>
      </c>
      <c r="B449" s="20" t="s">
        <v>182</v>
      </c>
      <c r="C449" s="131" t="s">
        <v>1089</v>
      </c>
      <c r="D449" s="21"/>
      <c r="E449" s="24"/>
      <c r="F449" s="24"/>
      <c r="G449" s="24"/>
      <c r="H449" s="80"/>
      <c r="I449" s="24"/>
      <c r="J449" s="80"/>
      <c r="K449" s="24"/>
      <c r="L449" s="95"/>
      <c r="M449" s="24"/>
      <c r="N449" s="119"/>
      <c r="O449" s="24"/>
      <c r="P449" s="79">
        <f t="shared" ref="P449:X449" si="123">P450</f>
        <v>1160</v>
      </c>
      <c r="Q449" s="24">
        <f t="shared" si="92"/>
        <v>1160</v>
      </c>
      <c r="R449" s="79">
        <f t="shared" si="123"/>
        <v>-696</v>
      </c>
      <c r="S449" s="24">
        <f t="shared" si="111"/>
        <v>464</v>
      </c>
      <c r="T449" s="79">
        <f t="shared" si="123"/>
        <v>0</v>
      </c>
      <c r="U449" s="24">
        <f t="shared" si="114"/>
        <v>464</v>
      </c>
      <c r="V449" s="79">
        <f t="shared" si="123"/>
        <v>0</v>
      </c>
      <c r="W449" s="24">
        <f t="shared" si="105"/>
        <v>464</v>
      </c>
      <c r="X449" s="79">
        <f t="shared" si="123"/>
        <v>0</v>
      </c>
      <c r="Y449" s="24">
        <f t="shared" si="106"/>
        <v>464</v>
      </c>
      <c r="Z449" s="189"/>
    </row>
    <row r="450" spans="1:27" s="6" customFormat="1" x14ac:dyDescent="0.25">
      <c r="A450" s="30" t="s">
        <v>66</v>
      </c>
      <c r="B450" s="21" t="s">
        <v>182</v>
      </c>
      <c r="C450" s="132" t="s">
        <v>1089</v>
      </c>
      <c r="D450" s="81" t="s">
        <v>42</v>
      </c>
      <c r="E450" s="24"/>
      <c r="F450" s="24"/>
      <c r="G450" s="24"/>
      <c r="H450" s="80"/>
      <c r="I450" s="24"/>
      <c r="J450" s="80"/>
      <c r="K450" s="24"/>
      <c r="L450" s="95"/>
      <c r="M450" s="24"/>
      <c r="N450" s="119"/>
      <c r="O450" s="24"/>
      <c r="P450" s="95">
        <v>1160</v>
      </c>
      <c r="Q450" s="24">
        <f t="shared" si="92"/>
        <v>1160</v>
      </c>
      <c r="R450" s="80">
        <v>-696</v>
      </c>
      <c r="S450" s="24">
        <f t="shared" si="111"/>
        <v>464</v>
      </c>
      <c r="T450" s="83"/>
      <c r="U450" s="24">
        <f t="shared" si="114"/>
        <v>464</v>
      </c>
      <c r="V450" s="83"/>
      <c r="W450" s="24">
        <f t="shared" si="105"/>
        <v>464</v>
      </c>
      <c r="X450" s="83"/>
      <c r="Y450" s="24">
        <f t="shared" si="106"/>
        <v>464</v>
      </c>
      <c r="Z450" s="189"/>
      <c r="AA450" s="189">
        <f>Y450+Z450</f>
        <v>464</v>
      </c>
    </row>
    <row r="451" spans="1:27" s="6" customFormat="1" ht="24" x14ac:dyDescent="0.25">
      <c r="A451" s="129" t="s">
        <v>935</v>
      </c>
      <c r="B451" s="20" t="s">
        <v>182</v>
      </c>
      <c r="C451" s="131" t="s">
        <v>1091</v>
      </c>
      <c r="D451" s="21"/>
      <c r="E451" s="24"/>
      <c r="F451" s="24"/>
      <c r="G451" s="24"/>
      <c r="H451" s="80"/>
      <c r="I451" s="24"/>
      <c r="J451" s="80"/>
      <c r="K451" s="24"/>
      <c r="L451" s="95"/>
      <c r="M451" s="24"/>
      <c r="N451" s="119"/>
      <c r="O451" s="24"/>
      <c r="P451" s="79">
        <f t="shared" ref="P451:X451" si="124">P452</f>
        <v>717.5</v>
      </c>
      <c r="Q451" s="24">
        <f t="shared" si="92"/>
        <v>717.5</v>
      </c>
      <c r="R451" s="79">
        <f t="shared" si="124"/>
        <v>-430.5</v>
      </c>
      <c r="S451" s="24">
        <f t="shared" si="111"/>
        <v>287</v>
      </c>
      <c r="T451" s="79">
        <f t="shared" si="124"/>
        <v>0</v>
      </c>
      <c r="U451" s="24">
        <f t="shared" si="114"/>
        <v>287</v>
      </c>
      <c r="V451" s="79">
        <f t="shared" si="124"/>
        <v>0</v>
      </c>
      <c r="W451" s="24">
        <f t="shared" si="105"/>
        <v>287</v>
      </c>
      <c r="X451" s="79">
        <f t="shared" si="124"/>
        <v>0</v>
      </c>
      <c r="Y451" s="24">
        <f t="shared" si="106"/>
        <v>287</v>
      </c>
      <c r="Z451" s="189"/>
    </row>
    <row r="452" spans="1:27" s="6" customFormat="1" x14ac:dyDescent="0.25">
      <c r="A452" s="30" t="s">
        <v>66</v>
      </c>
      <c r="B452" s="21" t="s">
        <v>182</v>
      </c>
      <c r="C452" s="132" t="s">
        <v>1091</v>
      </c>
      <c r="D452" s="81" t="s">
        <v>42</v>
      </c>
      <c r="E452" s="24"/>
      <c r="F452" s="24"/>
      <c r="G452" s="24"/>
      <c r="H452" s="80"/>
      <c r="I452" s="24"/>
      <c r="J452" s="80"/>
      <c r="K452" s="24"/>
      <c r="L452" s="95"/>
      <c r="M452" s="24"/>
      <c r="N452" s="119"/>
      <c r="O452" s="24"/>
      <c r="P452" s="95">
        <v>717.5</v>
      </c>
      <c r="Q452" s="24">
        <f t="shared" si="92"/>
        <v>717.5</v>
      </c>
      <c r="R452" s="80">
        <v>-430.5</v>
      </c>
      <c r="S452" s="24">
        <f t="shared" si="111"/>
        <v>287</v>
      </c>
      <c r="T452" s="83"/>
      <c r="U452" s="24">
        <f t="shared" si="114"/>
        <v>287</v>
      </c>
      <c r="V452" s="83"/>
      <c r="W452" s="24">
        <f t="shared" si="105"/>
        <v>287</v>
      </c>
      <c r="X452" s="83"/>
      <c r="Y452" s="24">
        <f t="shared" si="106"/>
        <v>287</v>
      </c>
      <c r="Z452" s="189"/>
      <c r="AA452" s="189">
        <f>Y452+Z452</f>
        <v>287</v>
      </c>
    </row>
    <row r="453" spans="1:27" s="6" customFormat="1" ht="24" x14ac:dyDescent="0.25">
      <c r="A453" s="128" t="s">
        <v>936</v>
      </c>
      <c r="B453" s="20" t="s">
        <v>182</v>
      </c>
      <c r="C453" s="131" t="s">
        <v>1092</v>
      </c>
      <c r="D453" s="21"/>
      <c r="E453" s="24"/>
      <c r="F453" s="24"/>
      <c r="G453" s="24"/>
      <c r="H453" s="80"/>
      <c r="I453" s="24"/>
      <c r="J453" s="80"/>
      <c r="K453" s="24"/>
      <c r="L453" s="95"/>
      <c r="M453" s="24"/>
      <c r="N453" s="119"/>
      <c r="O453" s="24"/>
      <c r="P453" s="79">
        <f t="shared" ref="P453:X453" si="125">P454</f>
        <v>1800</v>
      </c>
      <c r="Q453" s="24">
        <f t="shared" si="92"/>
        <v>1800</v>
      </c>
      <c r="R453" s="79">
        <f t="shared" si="125"/>
        <v>-1080</v>
      </c>
      <c r="S453" s="24">
        <f t="shared" si="111"/>
        <v>720</v>
      </c>
      <c r="T453" s="79">
        <f t="shared" si="125"/>
        <v>0</v>
      </c>
      <c r="U453" s="24">
        <f t="shared" si="114"/>
        <v>720</v>
      </c>
      <c r="V453" s="79">
        <f t="shared" si="125"/>
        <v>0</v>
      </c>
      <c r="W453" s="24">
        <f t="shared" si="105"/>
        <v>720</v>
      </c>
      <c r="X453" s="79">
        <f t="shared" si="125"/>
        <v>0</v>
      </c>
      <c r="Y453" s="24">
        <f t="shared" si="106"/>
        <v>720</v>
      </c>
      <c r="Z453" s="189"/>
    </row>
    <row r="454" spans="1:27" s="6" customFormat="1" x14ac:dyDescent="0.25">
      <c r="A454" s="30" t="s">
        <v>66</v>
      </c>
      <c r="B454" s="21" t="s">
        <v>182</v>
      </c>
      <c r="C454" s="132" t="s">
        <v>1092</v>
      </c>
      <c r="D454" s="81" t="s">
        <v>42</v>
      </c>
      <c r="E454" s="24"/>
      <c r="F454" s="24"/>
      <c r="G454" s="24"/>
      <c r="H454" s="80"/>
      <c r="I454" s="24"/>
      <c r="J454" s="80"/>
      <c r="K454" s="24"/>
      <c r="L454" s="95"/>
      <c r="M454" s="24"/>
      <c r="N454" s="119"/>
      <c r="O454" s="24"/>
      <c r="P454" s="95">
        <v>1800</v>
      </c>
      <c r="Q454" s="24">
        <f t="shared" si="92"/>
        <v>1800</v>
      </c>
      <c r="R454" s="80">
        <v>-1080</v>
      </c>
      <c r="S454" s="24">
        <f t="shared" si="111"/>
        <v>720</v>
      </c>
      <c r="T454" s="83"/>
      <c r="U454" s="24">
        <f t="shared" si="114"/>
        <v>720</v>
      </c>
      <c r="V454" s="83"/>
      <c r="W454" s="24">
        <f t="shared" si="105"/>
        <v>720</v>
      </c>
      <c r="X454" s="83"/>
      <c r="Y454" s="24">
        <f t="shared" si="106"/>
        <v>720</v>
      </c>
      <c r="Z454" s="189"/>
      <c r="AA454" s="189">
        <f>Y454+Z454</f>
        <v>720</v>
      </c>
    </row>
    <row r="455" spans="1:27" s="6" customFormat="1" x14ac:dyDescent="0.25">
      <c r="A455" s="128" t="s">
        <v>937</v>
      </c>
      <c r="B455" s="20" t="s">
        <v>182</v>
      </c>
      <c r="C455" s="131" t="s">
        <v>1093</v>
      </c>
      <c r="D455" s="21"/>
      <c r="E455" s="24"/>
      <c r="F455" s="24"/>
      <c r="G455" s="24"/>
      <c r="H455" s="80"/>
      <c r="I455" s="24"/>
      <c r="J455" s="80"/>
      <c r="K455" s="24"/>
      <c r="L455" s="95"/>
      <c r="M455" s="24"/>
      <c r="N455" s="119"/>
      <c r="O455" s="24"/>
      <c r="P455" s="79">
        <f t="shared" ref="P455:X455" si="126">P456</f>
        <v>1300</v>
      </c>
      <c r="Q455" s="24">
        <f t="shared" si="92"/>
        <v>1300</v>
      </c>
      <c r="R455" s="79">
        <f t="shared" si="126"/>
        <v>-780</v>
      </c>
      <c r="S455" s="24">
        <f t="shared" si="111"/>
        <v>520</v>
      </c>
      <c r="T455" s="79">
        <f t="shared" si="126"/>
        <v>0</v>
      </c>
      <c r="U455" s="24">
        <f t="shared" si="114"/>
        <v>520</v>
      </c>
      <c r="V455" s="79">
        <f t="shared" si="126"/>
        <v>0</v>
      </c>
      <c r="W455" s="24">
        <f t="shared" si="105"/>
        <v>520</v>
      </c>
      <c r="X455" s="79">
        <f t="shared" si="126"/>
        <v>0</v>
      </c>
      <c r="Y455" s="24">
        <f t="shared" si="106"/>
        <v>520</v>
      </c>
      <c r="Z455" s="189"/>
    </row>
    <row r="456" spans="1:27" s="6" customFormat="1" x14ac:dyDescent="0.25">
      <c r="A456" s="30" t="s">
        <v>66</v>
      </c>
      <c r="B456" s="21" t="s">
        <v>182</v>
      </c>
      <c r="C456" s="132" t="s">
        <v>1093</v>
      </c>
      <c r="D456" s="81" t="s">
        <v>42</v>
      </c>
      <c r="E456" s="24"/>
      <c r="F456" s="24"/>
      <c r="G456" s="24"/>
      <c r="H456" s="80"/>
      <c r="I456" s="24"/>
      <c r="J456" s="80"/>
      <c r="K456" s="24"/>
      <c r="L456" s="95"/>
      <c r="M456" s="24"/>
      <c r="N456" s="119"/>
      <c r="O456" s="24"/>
      <c r="P456" s="95">
        <v>1300</v>
      </c>
      <c r="Q456" s="24">
        <f t="shared" si="92"/>
        <v>1300</v>
      </c>
      <c r="R456" s="80">
        <v>-780</v>
      </c>
      <c r="S456" s="24">
        <f t="shared" si="111"/>
        <v>520</v>
      </c>
      <c r="T456" s="83"/>
      <c r="U456" s="24">
        <f t="shared" si="114"/>
        <v>520</v>
      </c>
      <c r="V456" s="83"/>
      <c r="W456" s="24">
        <f t="shared" si="105"/>
        <v>520</v>
      </c>
      <c r="X456" s="83"/>
      <c r="Y456" s="24">
        <f t="shared" si="106"/>
        <v>520</v>
      </c>
      <c r="Z456" s="189"/>
      <c r="AA456" s="189">
        <f>Y456+Z456</f>
        <v>520</v>
      </c>
    </row>
    <row r="457" spans="1:27" s="6" customFormat="1" x14ac:dyDescent="0.25">
      <c r="A457" s="128" t="s">
        <v>939</v>
      </c>
      <c r="B457" s="20" t="s">
        <v>182</v>
      </c>
      <c r="C457" s="131" t="s">
        <v>1095</v>
      </c>
      <c r="D457" s="21"/>
      <c r="E457" s="24"/>
      <c r="F457" s="24"/>
      <c r="G457" s="24"/>
      <c r="H457" s="80"/>
      <c r="I457" s="24"/>
      <c r="J457" s="80"/>
      <c r="K457" s="24"/>
      <c r="L457" s="95"/>
      <c r="M457" s="24"/>
      <c r="N457" s="119"/>
      <c r="O457" s="24"/>
      <c r="P457" s="79">
        <f t="shared" ref="P457:X457" si="127">P458</f>
        <v>2748.1</v>
      </c>
      <c r="Q457" s="24">
        <f t="shared" si="92"/>
        <v>2748.1</v>
      </c>
      <c r="R457" s="79">
        <f t="shared" si="127"/>
        <v>-1648.9</v>
      </c>
      <c r="S457" s="24">
        <f t="shared" si="111"/>
        <v>1099.1999999999998</v>
      </c>
      <c r="T457" s="79">
        <f t="shared" si="127"/>
        <v>0</v>
      </c>
      <c r="U457" s="24">
        <f t="shared" si="114"/>
        <v>1099.1999999999998</v>
      </c>
      <c r="V457" s="79">
        <f t="shared" si="127"/>
        <v>0</v>
      </c>
      <c r="W457" s="24">
        <f t="shared" si="105"/>
        <v>1099.1999999999998</v>
      </c>
      <c r="X457" s="79">
        <f t="shared" si="127"/>
        <v>0</v>
      </c>
      <c r="Y457" s="24">
        <f t="shared" si="106"/>
        <v>1099.1999999999998</v>
      </c>
      <c r="Z457" s="189"/>
    </row>
    <row r="458" spans="1:27" s="6" customFormat="1" x14ac:dyDescent="0.25">
      <c r="A458" s="30" t="s">
        <v>66</v>
      </c>
      <c r="B458" s="21" t="s">
        <v>182</v>
      </c>
      <c r="C458" s="132" t="s">
        <v>1095</v>
      </c>
      <c r="D458" s="81" t="s">
        <v>42</v>
      </c>
      <c r="E458" s="24"/>
      <c r="F458" s="24"/>
      <c r="G458" s="24"/>
      <c r="H458" s="80"/>
      <c r="I458" s="24"/>
      <c r="J458" s="80"/>
      <c r="K458" s="24"/>
      <c r="L458" s="95"/>
      <c r="M458" s="24"/>
      <c r="N458" s="119"/>
      <c r="O458" s="24"/>
      <c r="P458" s="95">
        <v>2748.1</v>
      </c>
      <c r="Q458" s="24">
        <f t="shared" si="92"/>
        <v>2748.1</v>
      </c>
      <c r="R458" s="80">
        <v>-1648.9</v>
      </c>
      <c r="S458" s="24">
        <f t="shared" si="111"/>
        <v>1099.1999999999998</v>
      </c>
      <c r="T458" s="83"/>
      <c r="U458" s="24">
        <f t="shared" si="114"/>
        <v>1099.1999999999998</v>
      </c>
      <c r="V458" s="83"/>
      <c r="W458" s="24">
        <f t="shared" si="105"/>
        <v>1099.1999999999998</v>
      </c>
      <c r="X458" s="83"/>
      <c r="Y458" s="24">
        <f t="shared" si="106"/>
        <v>1099.1999999999998</v>
      </c>
      <c r="Z458" s="189"/>
      <c r="AA458" s="189">
        <f>Y458+Z458</f>
        <v>1099.1999999999998</v>
      </c>
    </row>
    <row r="459" spans="1:27" s="6" customFormat="1" ht="24" x14ac:dyDescent="0.25">
      <c r="A459" s="128" t="s">
        <v>940</v>
      </c>
      <c r="B459" s="20" t="s">
        <v>182</v>
      </c>
      <c r="C459" s="131" t="s">
        <v>1096</v>
      </c>
      <c r="D459" s="21"/>
      <c r="E459" s="24"/>
      <c r="F459" s="24"/>
      <c r="G459" s="24"/>
      <c r="H459" s="80"/>
      <c r="I459" s="24"/>
      <c r="J459" s="80"/>
      <c r="K459" s="24"/>
      <c r="L459" s="95"/>
      <c r="M459" s="24"/>
      <c r="N459" s="119"/>
      <c r="O459" s="24"/>
      <c r="P459" s="79">
        <f t="shared" ref="P459:X459" si="128">P460</f>
        <v>1600</v>
      </c>
      <c r="Q459" s="24">
        <f t="shared" si="92"/>
        <v>1600</v>
      </c>
      <c r="R459" s="79">
        <f t="shared" si="128"/>
        <v>-960</v>
      </c>
      <c r="S459" s="24">
        <f t="shared" si="111"/>
        <v>640</v>
      </c>
      <c r="T459" s="79">
        <f t="shared" si="128"/>
        <v>0</v>
      </c>
      <c r="U459" s="24">
        <f t="shared" si="114"/>
        <v>640</v>
      </c>
      <c r="V459" s="79">
        <f t="shared" si="128"/>
        <v>0</v>
      </c>
      <c r="W459" s="24">
        <f t="shared" ref="W459:W713" si="129">U459+V459</f>
        <v>640</v>
      </c>
      <c r="X459" s="79">
        <f t="shared" si="128"/>
        <v>-206.4</v>
      </c>
      <c r="Y459" s="24">
        <f t="shared" ref="Y459:Y713" si="130">W459+X459</f>
        <v>433.6</v>
      </c>
      <c r="Z459" s="189"/>
    </row>
    <row r="460" spans="1:27" s="6" customFormat="1" x14ac:dyDescent="0.25">
      <c r="A460" s="30" t="s">
        <v>66</v>
      </c>
      <c r="B460" s="21" t="s">
        <v>182</v>
      </c>
      <c r="C460" s="132" t="s">
        <v>1096</v>
      </c>
      <c r="D460" s="81" t="s">
        <v>42</v>
      </c>
      <c r="E460" s="24"/>
      <c r="F460" s="24"/>
      <c r="G460" s="24"/>
      <c r="H460" s="80"/>
      <c r="I460" s="24"/>
      <c r="J460" s="80"/>
      <c r="K460" s="24"/>
      <c r="L460" s="95"/>
      <c r="M460" s="24"/>
      <c r="N460" s="119"/>
      <c r="O460" s="24"/>
      <c r="P460" s="95">
        <v>1600</v>
      </c>
      <c r="Q460" s="24">
        <f t="shared" si="92"/>
        <v>1600</v>
      </c>
      <c r="R460" s="80">
        <v>-960</v>
      </c>
      <c r="S460" s="24">
        <f t="shared" si="111"/>
        <v>640</v>
      </c>
      <c r="T460" s="83"/>
      <c r="U460" s="24">
        <f t="shared" si="114"/>
        <v>640</v>
      </c>
      <c r="V460" s="83"/>
      <c r="W460" s="24">
        <f t="shared" si="129"/>
        <v>640</v>
      </c>
      <c r="X460" s="80">
        <v>-206.4</v>
      </c>
      <c r="Y460" s="24">
        <f t="shared" si="130"/>
        <v>433.6</v>
      </c>
      <c r="Z460" s="189"/>
      <c r="AA460" s="189">
        <f>Y460+Z460</f>
        <v>433.6</v>
      </c>
    </row>
    <row r="461" spans="1:27" s="6" customFormat="1" x14ac:dyDescent="0.25">
      <c r="A461" s="128" t="s">
        <v>941</v>
      </c>
      <c r="B461" s="20" t="s">
        <v>182</v>
      </c>
      <c r="C461" s="131" t="s">
        <v>1097</v>
      </c>
      <c r="D461" s="21"/>
      <c r="E461" s="24"/>
      <c r="F461" s="24"/>
      <c r="G461" s="24"/>
      <c r="H461" s="80"/>
      <c r="I461" s="24"/>
      <c r="J461" s="80"/>
      <c r="K461" s="24"/>
      <c r="L461" s="95"/>
      <c r="M461" s="24"/>
      <c r="N461" s="119"/>
      <c r="O461" s="24"/>
      <c r="P461" s="79">
        <f t="shared" ref="P461:X461" si="131">P462</f>
        <v>1315.1</v>
      </c>
      <c r="Q461" s="24">
        <f t="shared" si="92"/>
        <v>1315.1</v>
      </c>
      <c r="R461" s="79">
        <f t="shared" si="131"/>
        <v>-789</v>
      </c>
      <c r="S461" s="24">
        <f t="shared" si="111"/>
        <v>526.09999999999991</v>
      </c>
      <c r="T461" s="79">
        <f t="shared" si="131"/>
        <v>0</v>
      </c>
      <c r="U461" s="24">
        <f t="shared" si="114"/>
        <v>526.09999999999991</v>
      </c>
      <c r="V461" s="79">
        <f t="shared" si="131"/>
        <v>0</v>
      </c>
      <c r="W461" s="24">
        <f t="shared" si="129"/>
        <v>526.09999999999991</v>
      </c>
      <c r="X461" s="79">
        <f t="shared" si="131"/>
        <v>0</v>
      </c>
      <c r="Y461" s="24">
        <f t="shared" si="130"/>
        <v>526.09999999999991</v>
      </c>
      <c r="Z461" s="189"/>
    </row>
    <row r="462" spans="1:27" s="6" customFormat="1" x14ac:dyDescent="0.25">
      <c r="A462" s="30" t="s">
        <v>66</v>
      </c>
      <c r="B462" s="21" t="s">
        <v>182</v>
      </c>
      <c r="C462" s="132" t="s">
        <v>1097</v>
      </c>
      <c r="D462" s="81" t="s">
        <v>42</v>
      </c>
      <c r="E462" s="24"/>
      <c r="F462" s="24"/>
      <c r="G462" s="24"/>
      <c r="H462" s="80"/>
      <c r="I462" s="24"/>
      <c r="J462" s="80"/>
      <c r="K462" s="24"/>
      <c r="L462" s="95"/>
      <c r="M462" s="24"/>
      <c r="N462" s="119"/>
      <c r="O462" s="24"/>
      <c r="P462" s="95">
        <v>1315.1</v>
      </c>
      <c r="Q462" s="24">
        <f t="shared" si="92"/>
        <v>1315.1</v>
      </c>
      <c r="R462" s="80">
        <v>-789</v>
      </c>
      <c r="S462" s="24">
        <f t="shared" si="111"/>
        <v>526.09999999999991</v>
      </c>
      <c r="T462" s="83"/>
      <c r="U462" s="24">
        <f t="shared" si="114"/>
        <v>526.09999999999991</v>
      </c>
      <c r="V462" s="83"/>
      <c r="W462" s="24">
        <f t="shared" si="129"/>
        <v>526.09999999999991</v>
      </c>
      <c r="X462" s="83"/>
      <c r="Y462" s="24">
        <f t="shared" si="130"/>
        <v>526.09999999999991</v>
      </c>
      <c r="Z462" s="189"/>
      <c r="AA462" s="189">
        <f>Y462+Z462</f>
        <v>526.09999999999991</v>
      </c>
    </row>
    <row r="463" spans="1:27" s="6" customFormat="1" x14ac:dyDescent="0.25">
      <c r="A463" s="128" t="s">
        <v>942</v>
      </c>
      <c r="B463" s="20" t="s">
        <v>182</v>
      </c>
      <c r="C463" s="131" t="s">
        <v>1098</v>
      </c>
      <c r="D463" s="21"/>
      <c r="E463" s="24"/>
      <c r="F463" s="24"/>
      <c r="G463" s="24"/>
      <c r="H463" s="80"/>
      <c r="I463" s="24"/>
      <c r="J463" s="80"/>
      <c r="K463" s="24"/>
      <c r="L463" s="95"/>
      <c r="M463" s="24"/>
      <c r="N463" s="119"/>
      <c r="O463" s="24"/>
      <c r="P463" s="79">
        <f t="shared" ref="P463:X463" si="132">P464</f>
        <v>1725</v>
      </c>
      <c r="Q463" s="24">
        <f t="shared" si="92"/>
        <v>1725</v>
      </c>
      <c r="R463" s="79">
        <f t="shared" si="132"/>
        <v>-1035</v>
      </c>
      <c r="S463" s="24">
        <f t="shared" si="111"/>
        <v>690</v>
      </c>
      <c r="T463" s="79">
        <f t="shared" si="132"/>
        <v>0</v>
      </c>
      <c r="U463" s="24">
        <f t="shared" si="114"/>
        <v>690</v>
      </c>
      <c r="V463" s="79">
        <f t="shared" si="132"/>
        <v>0</v>
      </c>
      <c r="W463" s="24">
        <f t="shared" si="129"/>
        <v>690</v>
      </c>
      <c r="X463" s="79">
        <f t="shared" si="132"/>
        <v>0</v>
      </c>
      <c r="Y463" s="24">
        <f t="shared" si="130"/>
        <v>690</v>
      </c>
      <c r="Z463" s="189"/>
    </row>
    <row r="464" spans="1:27" s="6" customFormat="1" x14ac:dyDescent="0.25">
      <c r="A464" s="30" t="s">
        <v>66</v>
      </c>
      <c r="B464" s="21" t="s">
        <v>182</v>
      </c>
      <c r="C464" s="132" t="s">
        <v>1098</v>
      </c>
      <c r="D464" s="81" t="s">
        <v>42</v>
      </c>
      <c r="E464" s="24"/>
      <c r="F464" s="24"/>
      <c r="G464" s="24"/>
      <c r="H464" s="80"/>
      <c r="I464" s="24"/>
      <c r="J464" s="80"/>
      <c r="K464" s="24"/>
      <c r="L464" s="95"/>
      <c r="M464" s="24"/>
      <c r="N464" s="119"/>
      <c r="O464" s="24"/>
      <c r="P464" s="95">
        <v>1725</v>
      </c>
      <c r="Q464" s="24">
        <f t="shared" si="92"/>
        <v>1725</v>
      </c>
      <c r="R464" s="80">
        <v>-1035</v>
      </c>
      <c r="S464" s="24">
        <f t="shared" si="111"/>
        <v>690</v>
      </c>
      <c r="T464" s="83"/>
      <c r="U464" s="24">
        <f t="shared" si="114"/>
        <v>690</v>
      </c>
      <c r="V464" s="83"/>
      <c r="W464" s="24">
        <f t="shared" si="129"/>
        <v>690</v>
      </c>
      <c r="X464" s="83"/>
      <c r="Y464" s="24">
        <f t="shared" si="130"/>
        <v>690</v>
      </c>
      <c r="Z464" s="189"/>
      <c r="AA464" s="189">
        <f>Y464+Z464</f>
        <v>690</v>
      </c>
    </row>
    <row r="465" spans="1:27" s="6" customFormat="1" x14ac:dyDescent="0.25">
      <c r="A465" s="128" t="s">
        <v>944</v>
      </c>
      <c r="B465" s="20" t="s">
        <v>182</v>
      </c>
      <c r="C465" s="131" t="s">
        <v>1100</v>
      </c>
      <c r="D465" s="21"/>
      <c r="E465" s="24"/>
      <c r="F465" s="24"/>
      <c r="G465" s="24"/>
      <c r="H465" s="80"/>
      <c r="I465" s="24"/>
      <c r="J465" s="80"/>
      <c r="K465" s="24"/>
      <c r="L465" s="95"/>
      <c r="M465" s="24"/>
      <c r="N465" s="119"/>
      <c r="O465" s="24"/>
      <c r="P465" s="79">
        <f t="shared" ref="P465:X465" si="133">P466</f>
        <v>1000.1</v>
      </c>
      <c r="Q465" s="24">
        <f t="shared" si="92"/>
        <v>1000.1</v>
      </c>
      <c r="R465" s="79">
        <f t="shared" si="133"/>
        <v>-600</v>
      </c>
      <c r="S465" s="24">
        <f t="shared" si="111"/>
        <v>400.1</v>
      </c>
      <c r="T465" s="79">
        <f t="shared" si="133"/>
        <v>0</v>
      </c>
      <c r="U465" s="24">
        <f t="shared" si="114"/>
        <v>400.1</v>
      </c>
      <c r="V465" s="79">
        <f t="shared" si="133"/>
        <v>0</v>
      </c>
      <c r="W465" s="24">
        <f t="shared" si="129"/>
        <v>400.1</v>
      </c>
      <c r="X465" s="79">
        <f t="shared" si="133"/>
        <v>0</v>
      </c>
      <c r="Y465" s="24">
        <f t="shared" si="130"/>
        <v>400.1</v>
      </c>
      <c r="Z465" s="189"/>
    </row>
    <row r="466" spans="1:27" s="6" customFormat="1" x14ac:dyDescent="0.25">
      <c r="A466" s="30" t="s">
        <v>66</v>
      </c>
      <c r="B466" s="21" t="s">
        <v>182</v>
      </c>
      <c r="C466" s="132" t="s">
        <v>1100</v>
      </c>
      <c r="D466" s="81" t="s">
        <v>42</v>
      </c>
      <c r="E466" s="24"/>
      <c r="F466" s="24"/>
      <c r="G466" s="24"/>
      <c r="H466" s="80"/>
      <c r="I466" s="24"/>
      <c r="J466" s="80"/>
      <c r="K466" s="24"/>
      <c r="L466" s="95"/>
      <c r="M466" s="24"/>
      <c r="N466" s="119"/>
      <c r="O466" s="24"/>
      <c r="P466" s="95">
        <v>1000.1</v>
      </c>
      <c r="Q466" s="24">
        <f t="shared" si="92"/>
        <v>1000.1</v>
      </c>
      <c r="R466" s="80">
        <v>-600</v>
      </c>
      <c r="S466" s="24">
        <f t="shared" si="111"/>
        <v>400.1</v>
      </c>
      <c r="T466" s="83"/>
      <c r="U466" s="24">
        <f t="shared" si="114"/>
        <v>400.1</v>
      </c>
      <c r="V466" s="83"/>
      <c r="W466" s="24">
        <f t="shared" si="129"/>
        <v>400.1</v>
      </c>
      <c r="X466" s="83"/>
      <c r="Y466" s="24">
        <f t="shared" si="130"/>
        <v>400.1</v>
      </c>
      <c r="Z466" s="189"/>
      <c r="AA466" s="189">
        <f>Y466+Z466</f>
        <v>400.1</v>
      </c>
    </row>
    <row r="467" spans="1:27" s="6" customFormat="1" ht="24" x14ac:dyDescent="0.25">
      <c r="A467" s="128" t="s">
        <v>946</v>
      </c>
      <c r="B467" s="20" t="s">
        <v>182</v>
      </c>
      <c r="C467" s="131" t="s">
        <v>1102</v>
      </c>
      <c r="D467" s="21"/>
      <c r="E467" s="24"/>
      <c r="F467" s="24"/>
      <c r="G467" s="24"/>
      <c r="H467" s="80"/>
      <c r="I467" s="24"/>
      <c r="J467" s="80"/>
      <c r="K467" s="24"/>
      <c r="L467" s="95"/>
      <c r="M467" s="24"/>
      <c r="N467" s="119"/>
      <c r="O467" s="24"/>
      <c r="P467" s="79">
        <f t="shared" ref="P467:X467" si="134">P468</f>
        <v>570</v>
      </c>
      <c r="Q467" s="24">
        <f t="shared" si="92"/>
        <v>570</v>
      </c>
      <c r="R467" s="79">
        <f t="shared" si="134"/>
        <v>-342</v>
      </c>
      <c r="S467" s="24">
        <f t="shared" si="111"/>
        <v>228</v>
      </c>
      <c r="T467" s="79">
        <f t="shared" si="134"/>
        <v>0</v>
      </c>
      <c r="U467" s="24">
        <f t="shared" si="114"/>
        <v>228</v>
      </c>
      <c r="V467" s="79">
        <f t="shared" si="134"/>
        <v>0</v>
      </c>
      <c r="W467" s="24">
        <f t="shared" si="129"/>
        <v>228</v>
      </c>
      <c r="X467" s="79">
        <f t="shared" si="134"/>
        <v>0</v>
      </c>
      <c r="Y467" s="24">
        <f t="shared" si="130"/>
        <v>228</v>
      </c>
      <c r="Z467" s="189"/>
    </row>
    <row r="468" spans="1:27" s="6" customFormat="1" x14ac:dyDescent="0.25">
      <c r="A468" s="30" t="s">
        <v>66</v>
      </c>
      <c r="B468" s="21" t="s">
        <v>182</v>
      </c>
      <c r="C468" s="132" t="s">
        <v>1102</v>
      </c>
      <c r="D468" s="81" t="s">
        <v>42</v>
      </c>
      <c r="E468" s="24"/>
      <c r="F468" s="24"/>
      <c r="G468" s="24"/>
      <c r="H468" s="80"/>
      <c r="I468" s="24"/>
      <c r="J468" s="80"/>
      <c r="K468" s="24"/>
      <c r="L468" s="95"/>
      <c r="M468" s="24"/>
      <c r="N468" s="119"/>
      <c r="O468" s="24"/>
      <c r="P468" s="95">
        <v>570</v>
      </c>
      <c r="Q468" s="24">
        <f t="shared" si="92"/>
        <v>570</v>
      </c>
      <c r="R468" s="80">
        <v>-342</v>
      </c>
      <c r="S468" s="24">
        <f t="shared" si="111"/>
        <v>228</v>
      </c>
      <c r="T468" s="83"/>
      <c r="U468" s="24">
        <f t="shared" si="114"/>
        <v>228</v>
      </c>
      <c r="V468" s="83"/>
      <c r="W468" s="24">
        <f t="shared" si="129"/>
        <v>228</v>
      </c>
      <c r="X468" s="83"/>
      <c r="Y468" s="24">
        <f t="shared" si="130"/>
        <v>228</v>
      </c>
      <c r="Z468" s="189"/>
      <c r="AA468" s="189">
        <f>Y468+Z468</f>
        <v>228</v>
      </c>
    </row>
    <row r="469" spans="1:27" s="6" customFormat="1" x14ac:dyDescent="0.25">
      <c r="A469" s="128" t="s">
        <v>947</v>
      </c>
      <c r="B469" s="20" t="s">
        <v>182</v>
      </c>
      <c r="C469" s="131" t="s">
        <v>1103</v>
      </c>
      <c r="D469" s="21"/>
      <c r="E469" s="24"/>
      <c r="F469" s="24"/>
      <c r="G469" s="24"/>
      <c r="H469" s="80"/>
      <c r="I469" s="24"/>
      <c r="J469" s="80"/>
      <c r="K469" s="24"/>
      <c r="L469" s="95"/>
      <c r="M469" s="24"/>
      <c r="N469" s="119"/>
      <c r="O469" s="24"/>
      <c r="P469" s="79">
        <f t="shared" ref="P469:X469" si="135">P470</f>
        <v>8500</v>
      </c>
      <c r="Q469" s="24">
        <f t="shared" si="92"/>
        <v>8500</v>
      </c>
      <c r="R469" s="79">
        <f t="shared" si="135"/>
        <v>-5100</v>
      </c>
      <c r="S469" s="24">
        <f t="shared" si="111"/>
        <v>3400</v>
      </c>
      <c r="T469" s="79">
        <f t="shared" si="135"/>
        <v>0</v>
      </c>
      <c r="U469" s="24">
        <f t="shared" si="114"/>
        <v>3400</v>
      </c>
      <c r="V469" s="79">
        <f t="shared" si="135"/>
        <v>0</v>
      </c>
      <c r="W469" s="24">
        <f t="shared" si="129"/>
        <v>3400</v>
      </c>
      <c r="X469" s="79">
        <f t="shared" si="135"/>
        <v>0</v>
      </c>
      <c r="Y469" s="24">
        <f t="shared" si="130"/>
        <v>3400</v>
      </c>
      <c r="Z469" s="189"/>
    </row>
    <row r="470" spans="1:27" s="6" customFormat="1" x14ac:dyDescent="0.25">
      <c r="A470" s="30" t="s">
        <v>66</v>
      </c>
      <c r="B470" s="21" t="s">
        <v>182</v>
      </c>
      <c r="C470" s="132" t="s">
        <v>1103</v>
      </c>
      <c r="D470" s="81" t="s">
        <v>42</v>
      </c>
      <c r="E470" s="24"/>
      <c r="F470" s="24"/>
      <c r="G470" s="24"/>
      <c r="H470" s="80"/>
      <c r="I470" s="24"/>
      <c r="J470" s="80"/>
      <c r="K470" s="24"/>
      <c r="L470" s="95"/>
      <c r="M470" s="24"/>
      <c r="N470" s="119"/>
      <c r="O470" s="24"/>
      <c r="P470" s="95">
        <v>8500</v>
      </c>
      <c r="Q470" s="24">
        <f t="shared" si="92"/>
        <v>8500</v>
      </c>
      <c r="R470" s="80">
        <v>-5100</v>
      </c>
      <c r="S470" s="24">
        <f t="shared" si="111"/>
        <v>3400</v>
      </c>
      <c r="T470" s="83"/>
      <c r="U470" s="24">
        <f t="shared" si="114"/>
        <v>3400</v>
      </c>
      <c r="V470" s="83"/>
      <c r="W470" s="24">
        <f t="shared" si="129"/>
        <v>3400</v>
      </c>
      <c r="X470" s="83"/>
      <c r="Y470" s="24">
        <f t="shared" si="130"/>
        <v>3400</v>
      </c>
      <c r="Z470" s="189"/>
      <c r="AA470" s="189">
        <f>Y470+Z470</f>
        <v>3400</v>
      </c>
    </row>
    <row r="471" spans="1:27" s="6" customFormat="1" ht="24" x14ac:dyDescent="0.25">
      <c r="A471" s="128" t="s">
        <v>951</v>
      </c>
      <c r="B471" s="20" t="s">
        <v>182</v>
      </c>
      <c r="C471" s="131" t="s">
        <v>1107</v>
      </c>
      <c r="D471" s="21"/>
      <c r="E471" s="24"/>
      <c r="F471" s="24"/>
      <c r="G471" s="24"/>
      <c r="H471" s="80"/>
      <c r="I471" s="24"/>
      <c r="J471" s="80"/>
      <c r="K471" s="24"/>
      <c r="L471" s="95"/>
      <c r="M471" s="24"/>
      <c r="N471" s="119"/>
      <c r="O471" s="24"/>
      <c r="P471" s="79">
        <f t="shared" ref="P471:X471" si="136">P472</f>
        <v>5294</v>
      </c>
      <c r="Q471" s="24">
        <f t="shared" si="92"/>
        <v>5294</v>
      </c>
      <c r="R471" s="79">
        <f t="shared" si="136"/>
        <v>-3176.4</v>
      </c>
      <c r="S471" s="24">
        <f t="shared" si="111"/>
        <v>2117.6</v>
      </c>
      <c r="T471" s="79">
        <f t="shared" si="136"/>
        <v>0</v>
      </c>
      <c r="U471" s="24">
        <f t="shared" si="114"/>
        <v>2117.6</v>
      </c>
      <c r="V471" s="79">
        <f t="shared" si="136"/>
        <v>0</v>
      </c>
      <c r="W471" s="24">
        <f t="shared" si="129"/>
        <v>2117.6</v>
      </c>
      <c r="X471" s="79">
        <f t="shared" si="136"/>
        <v>0</v>
      </c>
      <c r="Y471" s="24">
        <f t="shared" si="130"/>
        <v>2117.6</v>
      </c>
      <c r="Z471" s="189"/>
    </row>
    <row r="472" spans="1:27" s="6" customFormat="1" x14ac:dyDescent="0.25">
      <c r="A472" s="30" t="s">
        <v>66</v>
      </c>
      <c r="B472" s="21" t="s">
        <v>182</v>
      </c>
      <c r="C472" s="132" t="s">
        <v>1107</v>
      </c>
      <c r="D472" s="81" t="s">
        <v>42</v>
      </c>
      <c r="E472" s="24"/>
      <c r="F472" s="24"/>
      <c r="G472" s="24"/>
      <c r="H472" s="80"/>
      <c r="I472" s="24"/>
      <c r="J472" s="80"/>
      <c r="K472" s="24"/>
      <c r="L472" s="95"/>
      <c r="M472" s="24"/>
      <c r="N472" s="119"/>
      <c r="O472" s="24"/>
      <c r="P472" s="95">
        <v>5294</v>
      </c>
      <c r="Q472" s="24">
        <f t="shared" si="92"/>
        <v>5294</v>
      </c>
      <c r="R472" s="80">
        <v>-3176.4</v>
      </c>
      <c r="S472" s="24">
        <f t="shared" si="111"/>
        <v>2117.6</v>
      </c>
      <c r="T472" s="83"/>
      <c r="U472" s="24">
        <f t="shared" si="114"/>
        <v>2117.6</v>
      </c>
      <c r="V472" s="83"/>
      <c r="W472" s="24">
        <f t="shared" si="129"/>
        <v>2117.6</v>
      </c>
      <c r="X472" s="83"/>
      <c r="Y472" s="24">
        <f t="shared" si="130"/>
        <v>2117.6</v>
      </c>
      <c r="Z472" s="189"/>
      <c r="AA472" s="189">
        <f>Y472+Z472</f>
        <v>2117.6</v>
      </c>
    </row>
    <row r="473" spans="1:27" s="6" customFormat="1" ht="24" x14ac:dyDescent="0.25">
      <c r="A473" s="128" t="s">
        <v>954</v>
      </c>
      <c r="B473" s="20" t="s">
        <v>182</v>
      </c>
      <c r="C473" s="131" t="s">
        <v>1110</v>
      </c>
      <c r="D473" s="21"/>
      <c r="E473" s="24"/>
      <c r="F473" s="24"/>
      <c r="G473" s="24"/>
      <c r="H473" s="80"/>
      <c r="I473" s="24"/>
      <c r="J473" s="80"/>
      <c r="K473" s="24"/>
      <c r="L473" s="95"/>
      <c r="M473" s="24"/>
      <c r="N473" s="119"/>
      <c r="O473" s="24"/>
      <c r="P473" s="79">
        <f t="shared" ref="P473:X473" si="137">P474</f>
        <v>937.5</v>
      </c>
      <c r="Q473" s="24">
        <f t="shared" si="92"/>
        <v>937.5</v>
      </c>
      <c r="R473" s="79">
        <f t="shared" si="137"/>
        <v>-562.5</v>
      </c>
      <c r="S473" s="24">
        <f t="shared" si="111"/>
        <v>375</v>
      </c>
      <c r="T473" s="79">
        <f t="shared" si="137"/>
        <v>0</v>
      </c>
      <c r="U473" s="24">
        <f t="shared" si="114"/>
        <v>375</v>
      </c>
      <c r="V473" s="79">
        <f t="shared" si="137"/>
        <v>0</v>
      </c>
      <c r="W473" s="24">
        <f t="shared" si="129"/>
        <v>375</v>
      </c>
      <c r="X473" s="79">
        <f t="shared" si="137"/>
        <v>0</v>
      </c>
      <c r="Y473" s="24">
        <f t="shared" si="130"/>
        <v>375</v>
      </c>
      <c r="Z473" s="189"/>
    </row>
    <row r="474" spans="1:27" s="6" customFormat="1" x14ac:dyDescent="0.25">
      <c r="A474" s="30" t="s">
        <v>66</v>
      </c>
      <c r="B474" s="21" t="s">
        <v>182</v>
      </c>
      <c r="C474" s="132" t="s">
        <v>1110</v>
      </c>
      <c r="D474" s="81" t="s">
        <v>42</v>
      </c>
      <c r="E474" s="24"/>
      <c r="F474" s="24"/>
      <c r="G474" s="24"/>
      <c r="H474" s="80"/>
      <c r="I474" s="24"/>
      <c r="J474" s="80"/>
      <c r="K474" s="24"/>
      <c r="L474" s="95"/>
      <c r="M474" s="24"/>
      <c r="N474" s="119"/>
      <c r="O474" s="24"/>
      <c r="P474" s="95">
        <v>937.5</v>
      </c>
      <c r="Q474" s="24">
        <f t="shared" si="92"/>
        <v>937.5</v>
      </c>
      <c r="R474" s="80">
        <v>-562.5</v>
      </c>
      <c r="S474" s="24">
        <f t="shared" si="111"/>
        <v>375</v>
      </c>
      <c r="T474" s="83"/>
      <c r="U474" s="24">
        <f t="shared" si="114"/>
        <v>375</v>
      </c>
      <c r="V474" s="83"/>
      <c r="W474" s="24">
        <f t="shared" si="129"/>
        <v>375</v>
      </c>
      <c r="X474" s="83"/>
      <c r="Y474" s="24">
        <f t="shared" si="130"/>
        <v>375</v>
      </c>
      <c r="Z474" s="189"/>
      <c r="AA474" s="189">
        <f>Y474+Z474</f>
        <v>375</v>
      </c>
    </row>
    <row r="475" spans="1:27" s="6" customFormat="1" ht="24" x14ac:dyDescent="0.25">
      <c r="A475" s="128" t="s">
        <v>955</v>
      </c>
      <c r="B475" s="20" t="s">
        <v>182</v>
      </c>
      <c r="C475" s="131" t="s">
        <v>1111</v>
      </c>
      <c r="D475" s="21"/>
      <c r="E475" s="24"/>
      <c r="F475" s="24"/>
      <c r="G475" s="24"/>
      <c r="H475" s="80"/>
      <c r="I475" s="24"/>
      <c r="J475" s="80"/>
      <c r="K475" s="24"/>
      <c r="L475" s="95"/>
      <c r="M475" s="24"/>
      <c r="N475" s="119"/>
      <c r="O475" s="24"/>
      <c r="P475" s="79">
        <f t="shared" ref="P475:X475" si="138">P476</f>
        <v>1575</v>
      </c>
      <c r="Q475" s="24">
        <f t="shared" si="92"/>
        <v>1575</v>
      </c>
      <c r="R475" s="79">
        <f t="shared" si="138"/>
        <v>-945</v>
      </c>
      <c r="S475" s="24">
        <f t="shared" si="111"/>
        <v>630</v>
      </c>
      <c r="T475" s="79">
        <f t="shared" si="138"/>
        <v>0</v>
      </c>
      <c r="U475" s="24">
        <f t="shared" si="114"/>
        <v>630</v>
      </c>
      <c r="V475" s="79">
        <f t="shared" si="138"/>
        <v>0</v>
      </c>
      <c r="W475" s="24">
        <f t="shared" si="129"/>
        <v>630</v>
      </c>
      <c r="X475" s="79">
        <f t="shared" si="138"/>
        <v>0</v>
      </c>
      <c r="Y475" s="24">
        <f t="shared" si="130"/>
        <v>630</v>
      </c>
      <c r="Z475" s="189"/>
    </row>
    <row r="476" spans="1:27" s="6" customFormat="1" x14ac:dyDescent="0.25">
      <c r="A476" s="30" t="s">
        <v>66</v>
      </c>
      <c r="B476" s="21" t="s">
        <v>182</v>
      </c>
      <c r="C476" s="132" t="s">
        <v>1111</v>
      </c>
      <c r="D476" s="81" t="s">
        <v>42</v>
      </c>
      <c r="E476" s="24"/>
      <c r="F476" s="24"/>
      <c r="G476" s="24"/>
      <c r="H476" s="80"/>
      <c r="I476" s="24"/>
      <c r="J476" s="80"/>
      <c r="K476" s="24"/>
      <c r="L476" s="95"/>
      <c r="M476" s="24"/>
      <c r="N476" s="119"/>
      <c r="O476" s="24"/>
      <c r="P476" s="95">
        <v>1575</v>
      </c>
      <c r="Q476" s="24">
        <f t="shared" si="92"/>
        <v>1575</v>
      </c>
      <c r="R476" s="80">
        <v>-945</v>
      </c>
      <c r="S476" s="24">
        <f t="shared" si="111"/>
        <v>630</v>
      </c>
      <c r="T476" s="83"/>
      <c r="U476" s="24">
        <f t="shared" si="114"/>
        <v>630</v>
      </c>
      <c r="V476" s="83"/>
      <c r="W476" s="24">
        <f t="shared" si="129"/>
        <v>630</v>
      </c>
      <c r="X476" s="83"/>
      <c r="Y476" s="24">
        <f t="shared" si="130"/>
        <v>630</v>
      </c>
      <c r="Z476" s="189"/>
      <c r="AA476" s="189">
        <f>Y476+Z476</f>
        <v>630</v>
      </c>
    </row>
    <row r="477" spans="1:27" s="6" customFormat="1" x14ac:dyDescent="0.25">
      <c r="A477" s="128" t="s">
        <v>956</v>
      </c>
      <c r="B477" s="20" t="s">
        <v>182</v>
      </c>
      <c r="C477" s="131" t="s">
        <v>1112</v>
      </c>
      <c r="D477" s="21"/>
      <c r="E477" s="24"/>
      <c r="F477" s="24"/>
      <c r="G477" s="24"/>
      <c r="H477" s="80"/>
      <c r="I477" s="24"/>
      <c r="J477" s="80"/>
      <c r="K477" s="24"/>
      <c r="L477" s="95"/>
      <c r="M477" s="24"/>
      <c r="N477" s="119"/>
      <c r="O477" s="24"/>
      <c r="P477" s="79">
        <f t="shared" ref="P477:X477" si="139">P478</f>
        <v>875</v>
      </c>
      <c r="Q477" s="24">
        <f t="shared" si="92"/>
        <v>875</v>
      </c>
      <c r="R477" s="79">
        <f t="shared" si="139"/>
        <v>-525</v>
      </c>
      <c r="S477" s="24">
        <f t="shared" si="111"/>
        <v>350</v>
      </c>
      <c r="T477" s="79">
        <f t="shared" si="139"/>
        <v>0</v>
      </c>
      <c r="U477" s="24">
        <f t="shared" si="114"/>
        <v>350</v>
      </c>
      <c r="V477" s="79">
        <f t="shared" si="139"/>
        <v>0</v>
      </c>
      <c r="W477" s="24">
        <f t="shared" si="129"/>
        <v>350</v>
      </c>
      <c r="X477" s="79">
        <f t="shared" si="139"/>
        <v>0</v>
      </c>
      <c r="Y477" s="24">
        <f t="shared" si="130"/>
        <v>350</v>
      </c>
      <c r="Z477" s="189"/>
    </row>
    <row r="478" spans="1:27" s="6" customFormat="1" x14ac:dyDescent="0.25">
      <c r="A478" s="30" t="s">
        <v>66</v>
      </c>
      <c r="B478" s="21" t="s">
        <v>182</v>
      </c>
      <c r="C478" s="136" t="s">
        <v>1112</v>
      </c>
      <c r="D478" s="81" t="s">
        <v>42</v>
      </c>
      <c r="E478" s="24"/>
      <c r="F478" s="24"/>
      <c r="G478" s="24"/>
      <c r="H478" s="80"/>
      <c r="I478" s="24"/>
      <c r="J478" s="80"/>
      <c r="K478" s="24"/>
      <c r="L478" s="95"/>
      <c r="M478" s="24"/>
      <c r="N478" s="119"/>
      <c r="O478" s="24"/>
      <c r="P478" s="95">
        <v>875</v>
      </c>
      <c r="Q478" s="24">
        <f t="shared" si="92"/>
        <v>875</v>
      </c>
      <c r="R478" s="80">
        <v>-525</v>
      </c>
      <c r="S478" s="24">
        <f t="shared" si="111"/>
        <v>350</v>
      </c>
      <c r="T478" s="83"/>
      <c r="U478" s="24">
        <f t="shared" si="114"/>
        <v>350</v>
      </c>
      <c r="V478" s="83"/>
      <c r="W478" s="24">
        <f t="shared" si="129"/>
        <v>350</v>
      </c>
      <c r="X478" s="83"/>
      <c r="Y478" s="24">
        <f t="shared" si="130"/>
        <v>350</v>
      </c>
      <c r="Z478" s="189"/>
      <c r="AA478" s="189">
        <f>Y478+Z478</f>
        <v>350</v>
      </c>
    </row>
    <row r="479" spans="1:27" s="6" customFormat="1" ht="62.25" customHeight="1" x14ac:dyDescent="0.25">
      <c r="A479" s="128" t="s">
        <v>958</v>
      </c>
      <c r="B479" s="20" t="s">
        <v>182</v>
      </c>
      <c r="C479" s="134" t="s">
        <v>1114</v>
      </c>
      <c r="D479" s="21"/>
      <c r="E479" s="24"/>
      <c r="F479" s="24"/>
      <c r="G479" s="24"/>
      <c r="H479" s="80"/>
      <c r="I479" s="24"/>
      <c r="J479" s="80"/>
      <c r="K479" s="24"/>
      <c r="L479" s="95"/>
      <c r="M479" s="24"/>
      <c r="N479" s="119"/>
      <c r="O479" s="24"/>
      <c r="P479" s="79">
        <f t="shared" ref="P479:X479" si="140">P480</f>
        <v>335.2</v>
      </c>
      <c r="Q479" s="24">
        <f t="shared" si="92"/>
        <v>335.2</v>
      </c>
      <c r="R479" s="79">
        <f t="shared" si="140"/>
        <v>-201.1</v>
      </c>
      <c r="S479" s="24">
        <f t="shared" si="111"/>
        <v>134.1</v>
      </c>
      <c r="T479" s="79">
        <f t="shared" si="140"/>
        <v>0</v>
      </c>
      <c r="U479" s="24">
        <f t="shared" si="114"/>
        <v>134.1</v>
      </c>
      <c r="V479" s="79">
        <f t="shared" si="140"/>
        <v>0</v>
      </c>
      <c r="W479" s="24">
        <f t="shared" si="129"/>
        <v>134.1</v>
      </c>
      <c r="X479" s="79">
        <f t="shared" si="140"/>
        <v>0</v>
      </c>
      <c r="Y479" s="24">
        <f t="shared" si="130"/>
        <v>134.1</v>
      </c>
      <c r="Z479" s="189"/>
    </row>
    <row r="480" spans="1:27" s="6" customFormat="1" x14ac:dyDescent="0.25">
      <c r="A480" s="30" t="s">
        <v>66</v>
      </c>
      <c r="B480" s="21" t="s">
        <v>182</v>
      </c>
      <c r="C480" s="136" t="s">
        <v>1114</v>
      </c>
      <c r="D480" s="81" t="s">
        <v>42</v>
      </c>
      <c r="E480" s="24"/>
      <c r="F480" s="24"/>
      <c r="G480" s="24"/>
      <c r="H480" s="80"/>
      <c r="I480" s="24"/>
      <c r="J480" s="80"/>
      <c r="K480" s="24"/>
      <c r="L480" s="95"/>
      <c r="M480" s="24"/>
      <c r="N480" s="119"/>
      <c r="O480" s="24"/>
      <c r="P480" s="95">
        <v>335.2</v>
      </c>
      <c r="Q480" s="24">
        <f t="shared" si="92"/>
        <v>335.2</v>
      </c>
      <c r="R480" s="80">
        <v>-201.1</v>
      </c>
      <c r="S480" s="24">
        <f t="shared" si="111"/>
        <v>134.1</v>
      </c>
      <c r="T480" s="83"/>
      <c r="U480" s="24">
        <f t="shared" si="114"/>
        <v>134.1</v>
      </c>
      <c r="V480" s="83"/>
      <c r="W480" s="24">
        <f t="shared" si="129"/>
        <v>134.1</v>
      </c>
      <c r="X480" s="83"/>
      <c r="Y480" s="24">
        <f t="shared" si="130"/>
        <v>134.1</v>
      </c>
      <c r="Z480" s="189"/>
      <c r="AA480" s="189">
        <f>Y480+Z480</f>
        <v>134.1</v>
      </c>
    </row>
    <row r="481" spans="1:27" s="6" customFormat="1" ht="24" x14ac:dyDescent="0.25">
      <c r="A481" s="128" t="s">
        <v>959</v>
      </c>
      <c r="B481" s="20" t="s">
        <v>182</v>
      </c>
      <c r="C481" s="134" t="s">
        <v>1115</v>
      </c>
      <c r="D481" s="21"/>
      <c r="E481" s="24"/>
      <c r="F481" s="24"/>
      <c r="G481" s="24"/>
      <c r="H481" s="80"/>
      <c r="I481" s="24"/>
      <c r="J481" s="80"/>
      <c r="K481" s="24"/>
      <c r="L481" s="95"/>
      <c r="M481" s="24"/>
      <c r="N481" s="119"/>
      <c r="O481" s="24"/>
      <c r="P481" s="79">
        <f t="shared" ref="P481:X481" si="141">P482</f>
        <v>306</v>
      </c>
      <c r="Q481" s="24">
        <f t="shared" si="92"/>
        <v>306</v>
      </c>
      <c r="R481" s="79">
        <f t="shared" si="141"/>
        <v>-183.6</v>
      </c>
      <c r="S481" s="24">
        <f t="shared" si="111"/>
        <v>122.4</v>
      </c>
      <c r="T481" s="79">
        <f t="shared" si="141"/>
        <v>0</v>
      </c>
      <c r="U481" s="24">
        <f t="shared" si="114"/>
        <v>122.4</v>
      </c>
      <c r="V481" s="79">
        <f t="shared" si="141"/>
        <v>0</v>
      </c>
      <c r="W481" s="24">
        <f t="shared" si="129"/>
        <v>122.4</v>
      </c>
      <c r="X481" s="79">
        <f t="shared" si="141"/>
        <v>0</v>
      </c>
      <c r="Y481" s="24">
        <f t="shared" si="130"/>
        <v>122.4</v>
      </c>
      <c r="Z481" s="189"/>
    </row>
    <row r="482" spans="1:27" s="6" customFormat="1" x14ac:dyDescent="0.25">
      <c r="A482" s="30" t="s">
        <v>66</v>
      </c>
      <c r="B482" s="21" t="s">
        <v>182</v>
      </c>
      <c r="C482" s="136" t="s">
        <v>1115</v>
      </c>
      <c r="D482" s="81" t="s">
        <v>42</v>
      </c>
      <c r="E482" s="24"/>
      <c r="F482" s="24"/>
      <c r="G482" s="24"/>
      <c r="H482" s="80"/>
      <c r="I482" s="24"/>
      <c r="J482" s="80"/>
      <c r="K482" s="24"/>
      <c r="L482" s="95"/>
      <c r="M482" s="24"/>
      <c r="N482" s="119"/>
      <c r="O482" s="24"/>
      <c r="P482" s="95">
        <v>306</v>
      </c>
      <c r="Q482" s="24">
        <f t="shared" si="92"/>
        <v>306</v>
      </c>
      <c r="R482" s="80">
        <v>-183.6</v>
      </c>
      <c r="S482" s="24">
        <f t="shared" si="111"/>
        <v>122.4</v>
      </c>
      <c r="T482" s="83"/>
      <c r="U482" s="24">
        <f t="shared" si="114"/>
        <v>122.4</v>
      </c>
      <c r="V482" s="83"/>
      <c r="W482" s="24">
        <f t="shared" si="129"/>
        <v>122.4</v>
      </c>
      <c r="X482" s="83"/>
      <c r="Y482" s="24">
        <f t="shared" si="130"/>
        <v>122.4</v>
      </c>
      <c r="Z482" s="189"/>
      <c r="AA482" s="189">
        <f>Y482+Z482</f>
        <v>122.4</v>
      </c>
    </row>
    <row r="483" spans="1:27" s="6" customFormat="1" x14ac:dyDescent="0.25">
      <c r="A483" s="128" t="s">
        <v>961</v>
      </c>
      <c r="B483" s="20" t="s">
        <v>182</v>
      </c>
      <c r="C483" s="134" t="s">
        <v>1117</v>
      </c>
      <c r="D483" s="21"/>
      <c r="E483" s="24"/>
      <c r="F483" s="24"/>
      <c r="G483" s="24"/>
      <c r="H483" s="80"/>
      <c r="I483" s="24"/>
      <c r="J483" s="80"/>
      <c r="K483" s="24"/>
      <c r="L483" s="95"/>
      <c r="M483" s="24"/>
      <c r="N483" s="119"/>
      <c r="O483" s="24"/>
      <c r="P483" s="79">
        <f t="shared" ref="P483:X483" si="142">P484</f>
        <v>845</v>
      </c>
      <c r="Q483" s="24">
        <f t="shared" si="92"/>
        <v>845</v>
      </c>
      <c r="R483" s="79">
        <f t="shared" si="142"/>
        <v>-507</v>
      </c>
      <c r="S483" s="24">
        <f t="shared" si="111"/>
        <v>338</v>
      </c>
      <c r="T483" s="79">
        <f t="shared" si="142"/>
        <v>0</v>
      </c>
      <c r="U483" s="24">
        <f t="shared" si="114"/>
        <v>338</v>
      </c>
      <c r="V483" s="79">
        <f t="shared" si="142"/>
        <v>0</v>
      </c>
      <c r="W483" s="24">
        <f t="shared" si="129"/>
        <v>338</v>
      </c>
      <c r="X483" s="79">
        <f t="shared" si="142"/>
        <v>0</v>
      </c>
      <c r="Y483" s="24">
        <f t="shared" si="130"/>
        <v>338</v>
      </c>
      <c r="Z483" s="189"/>
    </row>
    <row r="484" spans="1:27" s="6" customFormat="1" x14ac:dyDescent="0.25">
      <c r="A484" s="30" t="s">
        <v>66</v>
      </c>
      <c r="B484" s="21" t="s">
        <v>182</v>
      </c>
      <c r="C484" s="136" t="s">
        <v>1117</v>
      </c>
      <c r="D484" s="81" t="s">
        <v>42</v>
      </c>
      <c r="E484" s="24"/>
      <c r="F484" s="24"/>
      <c r="G484" s="24"/>
      <c r="H484" s="80"/>
      <c r="I484" s="24"/>
      <c r="J484" s="80"/>
      <c r="K484" s="24"/>
      <c r="L484" s="95"/>
      <c r="M484" s="24"/>
      <c r="N484" s="119"/>
      <c r="O484" s="24"/>
      <c r="P484" s="95">
        <v>845</v>
      </c>
      <c r="Q484" s="24">
        <f t="shared" si="92"/>
        <v>845</v>
      </c>
      <c r="R484" s="80">
        <v>-507</v>
      </c>
      <c r="S484" s="24">
        <f t="shared" si="111"/>
        <v>338</v>
      </c>
      <c r="T484" s="83"/>
      <c r="U484" s="24">
        <f t="shared" si="114"/>
        <v>338</v>
      </c>
      <c r="V484" s="83"/>
      <c r="W484" s="24">
        <f t="shared" si="129"/>
        <v>338</v>
      </c>
      <c r="X484" s="83"/>
      <c r="Y484" s="24">
        <f t="shared" si="130"/>
        <v>338</v>
      </c>
      <c r="Z484" s="189"/>
      <c r="AA484" s="189">
        <f>Y484+Z484</f>
        <v>338</v>
      </c>
    </row>
    <row r="485" spans="1:27" s="6" customFormat="1" x14ac:dyDescent="0.25">
      <c r="A485" s="128" t="s">
        <v>962</v>
      </c>
      <c r="B485" s="20" t="s">
        <v>182</v>
      </c>
      <c r="C485" s="131" t="s">
        <v>1118</v>
      </c>
      <c r="D485" s="21"/>
      <c r="E485" s="24"/>
      <c r="F485" s="24"/>
      <c r="G485" s="24"/>
      <c r="H485" s="80"/>
      <c r="I485" s="24"/>
      <c r="J485" s="80"/>
      <c r="K485" s="24"/>
      <c r="L485" s="95"/>
      <c r="M485" s="24"/>
      <c r="N485" s="119"/>
      <c r="O485" s="24"/>
      <c r="P485" s="79">
        <f t="shared" ref="P485:X485" si="143">P486</f>
        <v>500</v>
      </c>
      <c r="Q485" s="24">
        <f t="shared" si="92"/>
        <v>500</v>
      </c>
      <c r="R485" s="79">
        <f t="shared" si="143"/>
        <v>-300</v>
      </c>
      <c r="S485" s="24">
        <f t="shared" si="111"/>
        <v>200</v>
      </c>
      <c r="T485" s="79">
        <f t="shared" si="143"/>
        <v>0</v>
      </c>
      <c r="U485" s="24">
        <f t="shared" si="114"/>
        <v>200</v>
      </c>
      <c r="V485" s="79">
        <f t="shared" si="143"/>
        <v>0</v>
      </c>
      <c r="W485" s="24">
        <f t="shared" si="129"/>
        <v>200</v>
      </c>
      <c r="X485" s="79">
        <f t="shared" si="143"/>
        <v>0</v>
      </c>
      <c r="Y485" s="24">
        <f t="shared" si="130"/>
        <v>200</v>
      </c>
      <c r="Z485" s="189"/>
    </row>
    <row r="486" spans="1:27" s="6" customFormat="1" x14ac:dyDescent="0.25">
      <c r="A486" s="30" t="s">
        <v>66</v>
      </c>
      <c r="B486" s="21" t="s">
        <v>182</v>
      </c>
      <c r="C486" s="136" t="s">
        <v>1118</v>
      </c>
      <c r="D486" s="81" t="s">
        <v>42</v>
      </c>
      <c r="E486" s="24"/>
      <c r="F486" s="24"/>
      <c r="G486" s="24"/>
      <c r="H486" s="80"/>
      <c r="I486" s="24"/>
      <c r="J486" s="80"/>
      <c r="K486" s="24"/>
      <c r="L486" s="95"/>
      <c r="M486" s="24"/>
      <c r="N486" s="119"/>
      <c r="O486" s="24"/>
      <c r="P486" s="95">
        <v>500</v>
      </c>
      <c r="Q486" s="24">
        <f t="shared" si="92"/>
        <v>500</v>
      </c>
      <c r="R486" s="80">
        <v>-300</v>
      </c>
      <c r="S486" s="24">
        <f t="shared" si="111"/>
        <v>200</v>
      </c>
      <c r="T486" s="83"/>
      <c r="U486" s="24">
        <f t="shared" si="114"/>
        <v>200</v>
      </c>
      <c r="V486" s="83"/>
      <c r="W486" s="24">
        <f t="shared" si="129"/>
        <v>200</v>
      </c>
      <c r="X486" s="83"/>
      <c r="Y486" s="24">
        <f t="shared" si="130"/>
        <v>200</v>
      </c>
      <c r="Z486" s="189"/>
      <c r="AA486" s="189">
        <f>Y486+Z486</f>
        <v>200</v>
      </c>
    </row>
    <row r="487" spans="1:27" s="6" customFormat="1" x14ac:dyDescent="0.25">
      <c r="A487" s="128" t="s">
        <v>963</v>
      </c>
      <c r="B487" s="20" t="s">
        <v>182</v>
      </c>
      <c r="C487" s="131" t="s">
        <v>1119</v>
      </c>
      <c r="D487" s="21"/>
      <c r="E487" s="24"/>
      <c r="F487" s="24"/>
      <c r="G487" s="24"/>
      <c r="H487" s="80"/>
      <c r="I487" s="24"/>
      <c r="J487" s="80"/>
      <c r="K487" s="24"/>
      <c r="L487" s="95"/>
      <c r="M487" s="24"/>
      <c r="N487" s="119"/>
      <c r="O487" s="24"/>
      <c r="P487" s="79">
        <f t="shared" ref="P487:X487" si="144">P488</f>
        <v>525</v>
      </c>
      <c r="Q487" s="24">
        <f t="shared" si="92"/>
        <v>525</v>
      </c>
      <c r="R487" s="79">
        <f t="shared" si="144"/>
        <v>-315</v>
      </c>
      <c r="S487" s="24">
        <f t="shared" si="111"/>
        <v>210</v>
      </c>
      <c r="T487" s="79">
        <f t="shared" si="144"/>
        <v>0</v>
      </c>
      <c r="U487" s="24">
        <f t="shared" si="114"/>
        <v>210</v>
      </c>
      <c r="V487" s="79">
        <f t="shared" si="144"/>
        <v>0</v>
      </c>
      <c r="W487" s="24">
        <f t="shared" si="129"/>
        <v>210</v>
      </c>
      <c r="X487" s="79">
        <f t="shared" si="144"/>
        <v>0</v>
      </c>
      <c r="Y487" s="24">
        <f t="shared" si="130"/>
        <v>210</v>
      </c>
      <c r="Z487" s="189"/>
    </row>
    <row r="488" spans="1:27" s="6" customFormat="1" x14ac:dyDescent="0.25">
      <c r="A488" s="30" t="s">
        <v>66</v>
      </c>
      <c r="B488" s="21" t="s">
        <v>182</v>
      </c>
      <c r="C488" s="132" t="s">
        <v>1119</v>
      </c>
      <c r="D488" s="81" t="s">
        <v>42</v>
      </c>
      <c r="E488" s="24"/>
      <c r="F488" s="24"/>
      <c r="G488" s="24"/>
      <c r="H488" s="80"/>
      <c r="I488" s="24"/>
      <c r="J488" s="80"/>
      <c r="K488" s="24"/>
      <c r="L488" s="95"/>
      <c r="M488" s="24"/>
      <c r="N488" s="119"/>
      <c r="O488" s="24"/>
      <c r="P488" s="95">
        <v>525</v>
      </c>
      <c r="Q488" s="24">
        <f t="shared" si="92"/>
        <v>525</v>
      </c>
      <c r="R488" s="80">
        <v>-315</v>
      </c>
      <c r="S488" s="24">
        <f t="shared" si="111"/>
        <v>210</v>
      </c>
      <c r="T488" s="83"/>
      <c r="U488" s="24">
        <f t="shared" si="114"/>
        <v>210</v>
      </c>
      <c r="V488" s="83"/>
      <c r="W488" s="24">
        <f t="shared" si="129"/>
        <v>210</v>
      </c>
      <c r="X488" s="83"/>
      <c r="Y488" s="24">
        <f t="shared" si="130"/>
        <v>210</v>
      </c>
      <c r="Z488" s="189"/>
      <c r="AA488" s="189">
        <f>Y488+Z488</f>
        <v>210</v>
      </c>
    </row>
    <row r="489" spans="1:27" s="6" customFormat="1" x14ac:dyDescent="0.25">
      <c r="A489" s="128" t="s">
        <v>964</v>
      </c>
      <c r="B489" s="20" t="s">
        <v>182</v>
      </c>
      <c r="C489" s="131" t="s">
        <v>1120</v>
      </c>
      <c r="D489" s="21"/>
      <c r="E489" s="24"/>
      <c r="F489" s="24"/>
      <c r="G489" s="24"/>
      <c r="H489" s="80"/>
      <c r="I489" s="24"/>
      <c r="J489" s="80"/>
      <c r="K489" s="24"/>
      <c r="L489" s="95"/>
      <c r="M489" s="24"/>
      <c r="N489" s="119"/>
      <c r="O489" s="24"/>
      <c r="P489" s="79">
        <f t="shared" ref="P489:X489" si="145">P490</f>
        <v>1200</v>
      </c>
      <c r="Q489" s="24">
        <f t="shared" si="92"/>
        <v>1200</v>
      </c>
      <c r="R489" s="79">
        <f t="shared" si="145"/>
        <v>-720</v>
      </c>
      <c r="S489" s="24">
        <f t="shared" si="111"/>
        <v>480</v>
      </c>
      <c r="T489" s="79">
        <f t="shared" si="145"/>
        <v>0</v>
      </c>
      <c r="U489" s="24">
        <f t="shared" si="114"/>
        <v>480</v>
      </c>
      <c r="V489" s="79">
        <f t="shared" si="145"/>
        <v>0</v>
      </c>
      <c r="W489" s="24">
        <f t="shared" si="129"/>
        <v>480</v>
      </c>
      <c r="X489" s="79">
        <f t="shared" si="145"/>
        <v>0</v>
      </c>
      <c r="Y489" s="24">
        <f t="shared" si="130"/>
        <v>480</v>
      </c>
      <c r="Z489" s="189"/>
    </row>
    <row r="490" spans="1:27" s="6" customFormat="1" x14ac:dyDescent="0.25">
      <c r="A490" s="30" t="s">
        <v>66</v>
      </c>
      <c r="B490" s="21" t="s">
        <v>182</v>
      </c>
      <c r="C490" s="132" t="s">
        <v>1120</v>
      </c>
      <c r="D490" s="81" t="s">
        <v>42</v>
      </c>
      <c r="E490" s="24"/>
      <c r="F490" s="24"/>
      <c r="G490" s="24"/>
      <c r="H490" s="80"/>
      <c r="I490" s="24"/>
      <c r="J490" s="80"/>
      <c r="K490" s="24"/>
      <c r="L490" s="95"/>
      <c r="M490" s="24"/>
      <c r="N490" s="119"/>
      <c r="O490" s="24"/>
      <c r="P490" s="95">
        <v>1200</v>
      </c>
      <c r="Q490" s="24">
        <f t="shared" si="92"/>
        <v>1200</v>
      </c>
      <c r="R490" s="80">
        <v>-720</v>
      </c>
      <c r="S490" s="24">
        <f t="shared" si="111"/>
        <v>480</v>
      </c>
      <c r="T490" s="83"/>
      <c r="U490" s="24">
        <f t="shared" si="114"/>
        <v>480</v>
      </c>
      <c r="V490" s="83"/>
      <c r="W490" s="24">
        <f t="shared" si="129"/>
        <v>480</v>
      </c>
      <c r="X490" s="83"/>
      <c r="Y490" s="24">
        <f t="shared" si="130"/>
        <v>480</v>
      </c>
      <c r="Z490" s="189"/>
      <c r="AA490" s="189">
        <f>Y490+Z490</f>
        <v>480</v>
      </c>
    </row>
    <row r="491" spans="1:27" s="6" customFormat="1" x14ac:dyDescent="0.25">
      <c r="A491" s="128" t="s">
        <v>965</v>
      </c>
      <c r="B491" s="20" t="s">
        <v>182</v>
      </c>
      <c r="C491" s="131" t="s">
        <v>1121</v>
      </c>
      <c r="D491" s="21"/>
      <c r="E491" s="24"/>
      <c r="F491" s="24"/>
      <c r="G491" s="24"/>
      <c r="H491" s="80"/>
      <c r="I491" s="24"/>
      <c r="J491" s="80"/>
      <c r="K491" s="24"/>
      <c r="L491" s="95"/>
      <c r="M491" s="24"/>
      <c r="N491" s="119"/>
      <c r="O491" s="24"/>
      <c r="P491" s="79">
        <f t="shared" ref="P491:X491" si="146">P492</f>
        <v>3160</v>
      </c>
      <c r="Q491" s="24">
        <f t="shared" si="92"/>
        <v>3160</v>
      </c>
      <c r="R491" s="79">
        <f t="shared" si="146"/>
        <v>-1896</v>
      </c>
      <c r="S491" s="24">
        <f t="shared" si="111"/>
        <v>1264</v>
      </c>
      <c r="T491" s="79">
        <f t="shared" si="146"/>
        <v>0</v>
      </c>
      <c r="U491" s="24">
        <f t="shared" si="114"/>
        <v>1264</v>
      </c>
      <c r="V491" s="79">
        <f t="shared" si="146"/>
        <v>0</v>
      </c>
      <c r="W491" s="24">
        <f t="shared" si="129"/>
        <v>1264</v>
      </c>
      <c r="X491" s="79">
        <f t="shared" si="146"/>
        <v>0</v>
      </c>
      <c r="Y491" s="24">
        <f t="shared" si="130"/>
        <v>1264</v>
      </c>
      <c r="Z491" s="189"/>
    </row>
    <row r="492" spans="1:27" s="6" customFormat="1" x14ac:dyDescent="0.25">
      <c r="A492" s="30" t="s">
        <v>66</v>
      </c>
      <c r="B492" s="21" t="s">
        <v>182</v>
      </c>
      <c r="C492" s="132" t="s">
        <v>1121</v>
      </c>
      <c r="D492" s="81" t="s">
        <v>42</v>
      </c>
      <c r="E492" s="24"/>
      <c r="F492" s="24"/>
      <c r="G492" s="24"/>
      <c r="H492" s="80"/>
      <c r="I492" s="24"/>
      <c r="J492" s="80"/>
      <c r="K492" s="24"/>
      <c r="L492" s="95"/>
      <c r="M492" s="24"/>
      <c r="N492" s="119"/>
      <c r="O492" s="24"/>
      <c r="P492" s="95">
        <v>3160</v>
      </c>
      <c r="Q492" s="24">
        <f t="shared" si="92"/>
        <v>3160</v>
      </c>
      <c r="R492" s="80">
        <v>-1896</v>
      </c>
      <c r="S492" s="24">
        <f t="shared" si="111"/>
        <v>1264</v>
      </c>
      <c r="T492" s="83"/>
      <c r="U492" s="24">
        <f t="shared" si="114"/>
        <v>1264</v>
      </c>
      <c r="V492" s="83"/>
      <c r="W492" s="24">
        <f t="shared" si="129"/>
        <v>1264</v>
      </c>
      <c r="X492" s="83"/>
      <c r="Y492" s="24">
        <f t="shared" si="130"/>
        <v>1264</v>
      </c>
      <c r="Z492" s="189"/>
      <c r="AA492" s="189">
        <f>Y492+Z492</f>
        <v>1264</v>
      </c>
    </row>
    <row r="493" spans="1:27" s="6" customFormat="1" x14ac:dyDescent="0.25">
      <c r="A493" s="128" t="s">
        <v>966</v>
      </c>
      <c r="B493" s="20" t="s">
        <v>182</v>
      </c>
      <c r="C493" s="131" t="s">
        <v>1122</v>
      </c>
      <c r="D493" s="21"/>
      <c r="E493" s="24"/>
      <c r="F493" s="24"/>
      <c r="G493" s="24"/>
      <c r="H493" s="80"/>
      <c r="I493" s="24"/>
      <c r="J493" s="80"/>
      <c r="K493" s="24"/>
      <c r="L493" s="95"/>
      <c r="M493" s="24"/>
      <c r="N493" s="119"/>
      <c r="O493" s="24"/>
      <c r="P493" s="79">
        <f t="shared" ref="P493:X493" si="147">P494</f>
        <v>500</v>
      </c>
      <c r="Q493" s="24">
        <f t="shared" si="92"/>
        <v>500</v>
      </c>
      <c r="R493" s="79">
        <f t="shared" si="147"/>
        <v>-300</v>
      </c>
      <c r="S493" s="24">
        <f t="shared" si="111"/>
        <v>200</v>
      </c>
      <c r="T493" s="79">
        <f t="shared" si="147"/>
        <v>0</v>
      </c>
      <c r="U493" s="24">
        <f t="shared" si="114"/>
        <v>200</v>
      </c>
      <c r="V493" s="79">
        <f t="shared" si="147"/>
        <v>0</v>
      </c>
      <c r="W493" s="24">
        <f t="shared" si="129"/>
        <v>200</v>
      </c>
      <c r="X493" s="79">
        <f t="shared" si="147"/>
        <v>0</v>
      </c>
      <c r="Y493" s="24">
        <f t="shared" si="130"/>
        <v>200</v>
      </c>
      <c r="Z493" s="189"/>
    </row>
    <row r="494" spans="1:27" s="6" customFormat="1" x14ac:dyDescent="0.25">
      <c r="A494" s="30" t="s">
        <v>66</v>
      </c>
      <c r="B494" s="21" t="s">
        <v>182</v>
      </c>
      <c r="C494" s="132" t="s">
        <v>1122</v>
      </c>
      <c r="D494" s="81" t="s">
        <v>42</v>
      </c>
      <c r="E494" s="24"/>
      <c r="F494" s="24"/>
      <c r="G494" s="24"/>
      <c r="H494" s="80"/>
      <c r="I494" s="24"/>
      <c r="J494" s="80"/>
      <c r="K494" s="24"/>
      <c r="L494" s="95"/>
      <c r="M494" s="24"/>
      <c r="N494" s="119"/>
      <c r="O494" s="24"/>
      <c r="P494" s="95">
        <v>500</v>
      </c>
      <c r="Q494" s="24">
        <f t="shared" si="92"/>
        <v>500</v>
      </c>
      <c r="R494" s="80">
        <v>-300</v>
      </c>
      <c r="S494" s="24">
        <f t="shared" si="111"/>
        <v>200</v>
      </c>
      <c r="T494" s="83"/>
      <c r="U494" s="24">
        <f t="shared" si="114"/>
        <v>200</v>
      </c>
      <c r="V494" s="83"/>
      <c r="W494" s="24">
        <f t="shared" si="129"/>
        <v>200</v>
      </c>
      <c r="X494" s="83"/>
      <c r="Y494" s="24">
        <f t="shared" si="130"/>
        <v>200</v>
      </c>
      <c r="Z494" s="189"/>
      <c r="AA494" s="189">
        <f>Y494+Z494</f>
        <v>200</v>
      </c>
    </row>
    <row r="495" spans="1:27" s="6" customFormat="1" x14ac:dyDescent="0.25">
      <c r="A495" s="128" t="s">
        <v>967</v>
      </c>
      <c r="B495" s="20" t="s">
        <v>182</v>
      </c>
      <c r="C495" s="131" t="s">
        <v>1123</v>
      </c>
      <c r="D495" s="21"/>
      <c r="E495" s="24"/>
      <c r="F495" s="24"/>
      <c r="G495" s="24"/>
      <c r="H495" s="80"/>
      <c r="I495" s="24"/>
      <c r="J495" s="80"/>
      <c r="K495" s="24"/>
      <c r="L495" s="95"/>
      <c r="M495" s="24"/>
      <c r="N495" s="119"/>
      <c r="O495" s="24"/>
      <c r="P495" s="79">
        <f t="shared" ref="P495:X495" si="148">P496</f>
        <v>830</v>
      </c>
      <c r="Q495" s="24">
        <f t="shared" si="92"/>
        <v>830</v>
      </c>
      <c r="R495" s="79">
        <f t="shared" si="148"/>
        <v>-498</v>
      </c>
      <c r="S495" s="24">
        <f t="shared" si="111"/>
        <v>332</v>
      </c>
      <c r="T495" s="79">
        <f t="shared" si="148"/>
        <v>0</v>
      </c>
      <c r="U495" s="24">
        <f t="shared" si="114"/>
        <v>332</v>
      </c>
      <c r="V495" s="79">
        <f t="shared" si="148"/>
        <v>0</v>
      </c>
      <c r="W495" s="24">
        <f t="shared" si="129"/>
        <v>332</v>
      </c>
      <c r="X495" s="79">
        <f t="shared" si="148"/>
        <v>0</v>
      </c>
      <c r="Y495" s="24">
        <f t="shared" si="130"/>
        <v>332</v>
      </c>
      <c r="Z495" s="189"/>
    </row>
    <row r="496" spans="1:27" s="6" customFormat="1" x14ac:dyDescent="0.25">
      <c r="A496" s="30" t="s">
        <v>66</v>
      </c>
      <c r="B496" s="21" t="s">
        <v>182</v>
      </c>
      <c r="C496" s="132" t="s">
        <v>1123</v>
      </c>
      <c r="D496" s="81" t="s">
        <v>42</v>
      </c>
      <c r="E496" s="24"/>
      <c r="F496" s="24"/>
      <c r="G496" s="24"/>
      <c r="H496" s="80"/>
      <c r="I496" s="24"/>
      <c r="J496" s="80"/>
      <c r="K496" s="24"/>
      <c r="L496" s="95"/>
      <c r="M496" s="24"/>
      <c r="N496" s="119"/>
      <c r="O496" s="24"/>
      <c r="P496" s="95">
        <v>830</v>
      </c>
      <c r="Q496" s="24">
        <f t="shared" si="92"/>
        <v>830</v>
      </c>
      <c r="R496" s="80">
        <v>-498</v>
      </c>
      <c r="S496" s="24">
        <f t="shared" si="111"/>
        <v>332</v>
      </c>
      <c r="T496" s="83"/>
      <c r="U496" s="24">
        <f t="shared" si="114"/>
        <v>332</v>
      </c>
      <c r="V496" s="83"/>
      <c r="W496" s="24">
        <f t="shared" si="129"/>
        <v>332</v>
      </c>
      <c r="X496" s="83"/>
      <c r="Y496" s="24">
        <f t="shared" si="130"/>
        <v>332</v>
      </c>
      <c r="Z496" s="189"/>
      <c r="AA496" s="189">
        <f>Y496+Z496</f>
        <v>332</v>
      </c>
    </row>
    <row r="497" spans="1:27" s="6" customFormat="1" x14ac:dyDescent="0.25">
      <c r="A497" s="128" t="s">
        <v>968</v>
      </c>
      <c r="B497" s="20" t="s">
        <v>182</v>
      </c>
      <c r="C497" s="131" t="s">
        <v>1124</v>
      </c>
      <c r="D497" s="21"/>
      <c r="E497" s="24"/>
      <c r="F497" s="24"/>
      <c r="G497" s="24"/>
      <c r="H497" s="80"/>
      <c r="I497" s="24"/>
      <c r="J497" s="80"/>
      <c r="K497" s="24"/>
      <c r="L497" s="95"/>
      <c r="M497" s="24"/>
      <c r="N497" s="119"/>
      <c r="O497" s="24"/>
      <c r="P497" s="79">
        <f t="shared" ref="P497:X497" si="149">P498</f>
        <v>900</v>
      </c>
      <c r="Q497" s="24">
        <f t="shared" si="92"/>
        <v>900</v>
      </c>
      <c r="R497" s="79">
        <f t="shared" si="149"/>
        <v>-540</v>
      </c>
      <c r="S497" s="24">
        <f t="shared" si="111"/>
        <v>360</v>
      </c>
      <c r="T497" s="79">
        <f t="shared" si="149"/>
        <v>0</v>
      </c>
      <c r="U497" s="24">
        <f t="shared" si="114"/>
        <v>360</v>
      </c>
      <c r="V497" s="79">
        <f t="shared" si="149"/>
        <v>0</v>
      </c>
      <c r="W497" s="24">
        <f t="shared" si="129"/>
        <v>360</v>
      </c>
      <c r="X497" s="79">
        <f t="shared" si="149"/>
        <v>0</v>
      </c>
      <c r="Y497" s="24">
        <f t="shared" si="130"/>
        <v>360</v>
      </c>
      <c r="Z497" s="189"/>
    </row>
    <row r="498" spans="1:27" s="6" customFormat="1" x14ac:dyDescent="0.25">
      <c r="A498" s="30" t="s">
        <v>66</v>
      </c>
      <c r="B498" s="21" t="s">
        <v>182</v>
      </c>
      <c r="C498" s="132" t="s">
        <v>1124</v>
      </c>
      <c r="D498" s="81" t="s">
        <v>42</v>
      </c>
      <c r="E498" s="24"/>
      <c r="F498" s="24"/>
      <c r="G498" s="24"/>
      <c r="H498" s="80"/>
      <c r="I498" s="24"/>
      <c r="J498" s="80"/>
      <c r="K498" s="24"/>
      <c r="L498" s="95"/>
      <c r="M498" s="24"/>
      <c r="N498" s="119"/>
      <c r="O498" s="24"/>
      <c r="P498" s="95">
        <v>900</v>
      </c>
      <c r="Q498" s="24">
        <f t="shared" si="92"/>
        <v>900</v>
      </c>
      <c r="R498" s="80">
        <v>-540</v>
      </c>
      <c r="S498" s="24">
        <f t="shared" si="111"/>
        <v>360</v>
      </c>
      <c r="T498" s="83"/>
      <c r="U498" s="24">
        <f t="shared" si="114"/>
        <v>360</v>
      </c>
      <c r="V498" s="83"/>
      <c r="W498" s="24">
        <f t="shared" si="129"/>
        <v>360</v>
      </c>
      <c r="X498" s="83"/>
      <c r="Y498" s="24">
        <f t="shared" si="130"/>
        <v>360</v>
      </c>
      <c r="Z498" s="189"/>
      <c r="AA498" s="189">
        <f>Y498+Z498</f>
        <v>360</v>
      </c>
    </row>
    <row r="499" spans="1:27" s="6" customFormat="1" x14ac:dyDescent="0.25">
      <c r="A499" s="128" t="s">
        <v>969</v>
      </c>
      <c r="B499" s="20" t="s">
        <v>182</v>
      </c>
      <c r="C499" s="131" t="s">
        <v>1125</v>
      </c>
      <c r="D499" s="21"/>
      <c r="E499" s="24"/>
      <c r="F499" s="24"/>
      <c r="G499" s="24"/>
      <c r="H499" s="80"/>
      <c r="I499" s="24"/>
      <c r="J499" s="80"/>
      <c r="K499" s="24"/>
      <c r="L499" s="95"/>
      <c r="M499" s="24"/>
      <c r="N499" s="119"/>
      <c r="O499" s="24"/>
      <c r="P499" s="79">
        <f t="shared" ref="P499:X499" si="150">P500</f>
        <v>525</v>
      </c>
      <c r="Q499" s="24">
        <f t="shared" si="92"/>
        <v>525</v>
      </c>
      <c r="R499" s="79">
        <f t="shared" si="150"/>
        <v>-315</v>
      </c>
      <c r="S499" s="24">
        <f t="shared" si="111"/>
        <v>210</v>
      </c>
      <c r="T499" s="79">
        <f t="shared" si="150"/>
        <v>0</v>
      </c>
      <c r="U499" s="24">
        <f t="shared" si="114"/>
        <v>210</v>
      </c>
      <c r="V499" s="79">
        <f t="shared" si="150"/>
        <v>0</v>
      </c>
      <c r="W499" s="24">
        <f t="shared" si="129"/>
        <v>210</v>
      </c>
      <c r="X499" s="79">
        <f t="shared" si="150"/>
        <v>0</v>
      </c>
      <c r="Y499" s="24">
        <f t="shared" si="130"/>
        <v>210</v>
      </c>
      <c r="Z499" s="189"/>
    </row>
    <row r="500" spans="1:27" s="6" customFormat="1" x14ac:dyDescent="0.25">
      <c r="A500" s="30" t="s">
        <v>66</v>
      </c>
      <c r="B500" s="21" t="s">
        <v>182</v>
      </c>
      <c r="C500" s="132" t="s">
        <v>1125</v>
      </c>
      <c r="D500" s="81" t="s">
        <v>42</v>
      </c>
      <c r="E500" s="24"/>
      <c r="F500" s="24"/>
      <c r="G500" s="24"/>
      <c r="H500" s="80"/>
      <c r="I500" s="24"/>
      <c r="J500" s="80"/>
      <c r="K500" s="24"/>
      <c r="L500" s="95"/>
      <c r="M500" s="24"/>
      <c r="N500" s="119"/>
      <c r="O500" s="24"/>
      <c r="P500" s="95">
        <v>525</v>
      </c>
      <c r="Q500" s="24">
        <f t="shared" si="92"/>
        <v>525</v>
      </c>
      <c r="R500" s="80">
        <v>-315</v>
      </c>
      <c r="S500" s="24">
        <f t="shared" si="111"/>
        <v>210</v>
      </c>
      <c r="T500" s="83"/>
      <c r="U500" s="24">
        <f t="shared" si="114"/>
        <v>210</v>
      </c>
      <c r="V500" s="83"/>
      <c r="W500" s="24">
        <f t="shared" si="129"/>
        <v>210</v>
      </c>
      <c r="X500" s="83"/>
      <c r="Y500" s="24">
        <f t="shared" si="130"/>
        <v>210</v>
      </c>
      <c r="Z500" s="189"/>
      <c r="AA500" s="189">
        <f>Y500+Z500</f>
        <v>210</v>
      </c>
    </row>
    <row r="501" spans="1:27" s="6" customFormat="1" x14ac:dyDescent="0.25">
      <c r="A501" s="130" t="s">
        <v>970</v>
      </c>
      <c r="B501" s="20" t="s">
        <v>182</v>
      </c>
      <c r="C501" s="131" t="s">
        <v>1126</v>
      </c>
      <c r="D501" s="21"/>
      <c r="E501" s="24"/>
      <c r="F501" s="24"/>
      <c r="G501" s="24"/>
      <c r="H501" s="80"/>
      <c r="I501" s="24"/>
      <c r="J501" s="80"/>
      <c r="K501" s="24"/>
      <c r="L501" s="95"/>
      <c r="M501" s="24"/>
      <c r="N501" s="119"/>
      <c r="O501" s="24"/>
      <c r="P501" s="79">
        <f t="shared" ref="P501:X501" si="151">P502</f>
        <v>6661</v>
      </c>
      <c r="Q501" s="24">
        <f t="shared" si="92"/>
        <v>6661</v>
      </c>
      <c r="R501" s="79">
        <f t="shared" si="151"/>
        <v>-3996.6</v>
      </c>
      <c r="S501" s="24">
        <f t="shared" si="111"/>
        <v>2664.4</v>
      </c>
      <c r="T501" s="79">
        <f t="shared" si="151"/>
        <v>0</v>
      </c>
      <c r="U501" s="24">
        <f t="shared" si="114"/>
        <v>2664.4</v>
      </c>
      <c r="V501" s="79">
        <f t="shared" si="151"/>
        <v>0</v>
      </c>
      <c r="W501" s="24">
        <f t="shared" si="129"/>
        <v>2664.4</v>
      </c>
      <c r="X501" s="79">
        <f t="shared" si="151"/>
        <v>0</v>
      </c>
      <c r="Y501" s="24">
        <f t="shared" si="130"/>
        <v>2664.4</v>
      </c>
      <c r="Z501" s="189"/>
    </row>
    <row r="502" spans="1:27" s="6" customFormat="1" x14ac:dyDescent="0.25">
      <c r="A502" s="30" t="s">
        <v>66</v>
      </c>
      <c r="B502" s="21" t="s">
        <v>182</v>
      </c>
      <c r="C502" s="132" t="s">
        <v>1126</v>
      </c>
      <c r="D502" s="81" t="s">
        <v>42</v>
      </c>
      <c r="E502" s="24"/>
      <c r="F502" s="24"/>
      <c r="G502" s="24"/>
      <c r="H502" s="80"/>
      <c r="I502" s="24"/>
      <c r="J502" s="80"/>
      <c r="K502" s="24"/>
      <c r="L502" s="95"/>
      <c r="M502" s="24"/>
      <c r="N502" s="119"/>
      <c r="O502" s="24"/>
      <c r="P502" s="95">
        <v>6661</v>
      </c>
      <c r="Q502" s="24">
        <f t="shared" si="92"/>
        <v>6661</v>
      </c>
      <c r="R502" s="80">
        <v>-3996.6</v>
      </c>
      <c r="S502" s="24">
        <f t="shared" si="111"/>
        <v>2664.4</v>
      </c>
      <c r="T502" s="83"/>
      <c r="U502" s="24">
        <f t="shared" si="114"/>
        <v>2664.4</v>
      </c>
      <c r="V502" s="83"/>
      <c r="W502" s="24">
        <f t="shared" si="129"/>
        <v>2664.4</v>
      </c>
      <c r="X502" s="83"/>
      <c r="Y502" s="24">
        <f t="shared" si="130"/>
        <v>2664.4</v>
      </c>
      <c r="Z502" s="189"/>
      <c r="AA502" s="189">
        <f>Y502+Z502</f>
        <v>2664.4</v>
      </c>
    </row>
    <row r="503" spans="1:27" s="6" customFormat="1" x14ac:dyDescent="0.25">
      <c r="A503" s="128" t="s">
        <v>971</v>
      </c>
      <c r="B503" s="20" t="s">
        <v>182</v>
      </c>
      <c r="C503" s="131" t="s">
        <v>1127</v>
      </c>
      <c r="D503" s="21"/>
      <c r="E503" s="24"/>
      <c r="F503" s="24"/>
      <c r="G503" s="24"/>
      <c r="H503" s="80"/>
      <c r="I503" s="24"/>
      <c r="J503" s="80"/>
      <c r="K503" s="24"/>
      <c r="L503" s="95"/>
      <c r="M503" s="24"/>
      <c r="N503" s="119"/>
      <c r="O503" s="24"/>
      <c r="P503" s="79">
        <f t="shared" ref="P503:X503" si="152">P504</f>
        <v>7045</v>
      </c>
      <c r="Q503" s="24">
        <f t="shared" ref="Q503:Q558" si="153">O503+P503</f>
        <v>7045</v>
      </c>
      <c r="R503" s="79">
        <f t="shared" si="152"/>
        <v>-4227</v>
      </c>
      <c r="S503" s="24">
        <f t="shared" si="111"/>
        <v>2818</v>
      </c>
      <c r="T503" s="79">
        <f t="shared" si="152"/>
        <v>0</v>
      </c>
      <c r="U503" s="24">
        <f t="shared" si="114"/>
        <v>2818</v>
      </c>
      <c r="V503" s="79">
        <f t="shared" si="152"/>
        <v>0</v>
      </c>
      <c r="W503" s="24">
        <f t="shared" si="129"/>
        <v>2818</v>
      </c>
      <c r="X503" s="79">
        <f t="shared" si="152"/>
        <v>0</v>
      </c>
      <c r="Y503" s="24">
        <f t="shared" si="130"/>
        <v>2818</v>
      </c>
      <c r="Z503" s="189"/>
    </row>
    <row r="504" spans="1:27" s="6" customFormat="1" x14ac:dyDescent="0.25">
      <c r="A504" s="30" t="s">
        <v>66</v>
      </c>
      <c r="B504" s="21" t="s">
        <v>182</v>
      </c>
      <c r="C504" s="136" t="s">
        <v>1127</v>
      </c>
      <c r="D504" s="81" t="s">
        <v>42</v>
      </c>
      <c r="E504" s="24"/>
      <c r="F504" s="24"/>
      <c r="G504" s="24"/>
      <c r="H504" s="80"/>
      <c r="I504" s="24"/>
      <c r="J504" s="80"/>
      <c r="K504" s="24"/>
      <c r="L504" s="95"/>
      <c r="M504" s="24"/>
      <c r="N504" s="119"/>
      <c r="O504" s="24"/>
      <c r="P504" s="95">
        <v>7045</v>
      </c>
      <c r="Q504" s="24">
        <f t="shared" si="153"/>
        <v>7045</v>
      </c>
      <c r="R504" s="80">
        <v>-4227</v>
      </c>
      <c r="S504" s="24">
        <f t="shared" si="111"/>
        <v>2818</v>
      </c>
      <c r="T504" s="83"/>
      <c r="U504" s="24">
        <f t="shared" si="114"/>
        <v>2818</v>
      </c>
      <c r="V504" s="83"/>
      <c r="W504" s="24">
        <f t="shared" si="129"/>
        <v>2818</v>
      </c>
      <c r="X504" s="83"/>
      <c r="Y504" s="24">
        <f t="shared" si="130"/>
        <v>2818</v>
      </c>
      <c r="Z504" s="189"/>
      <c r="AA504" s="189">
        <f>Y504+Z504</f>
        <v>2818</v>
      </c>
    </row>
    <row r="505" spans="1:27" s="6" customFormat="1" ht="24" x14ac:dyDescent="0.25">
      <c r="A505" s="128" t="s">
        <v>973</v>
      </c>
      <c r="B505" s="20" t="s">
        <v>182</v>
      </c>
      <c r="C505" s="134" t="s">
        <v>1129</v>
      </c>
      <c r="D505" s="21"/>
      <c r="E505" s="24"/>
      <c r="F505" s="24"/>
      <c r="G505" s="24"/>
      <c r="H505" s="80"/>
      <c r="I505" s="24"/>
      <c r="J505" s="80"/>
      <c r="K505" s="24"/>
      <c r="L505" s="95"/>
      <c r="M505" s="24"/>
      <c r="N505" s="119"/>
      <c r="O505" s="24"/>
      <c r="P505" s="79">
        <f t="shared" ref="P505:X505" si="154">P506</f>
        <v>6850</v>
      </c>
      <c r="Q505" s="24">
        <f t="shared" si="153"/>
        <v>6850</v>
      </c>
      <c r="R505" s="79">
        <f t="shared" si="154"/>
        <v>-4110</v>
      </c>
      <c r="S505" s="24">
        <f t="shared" si="111"/>
        <v>2740</v>
      </c>
      <c r="T505" s="79">
        <f t="shared" si="154"/>
        <v>0</v>
      </c>
      <c r="U505" s="24">
        <f t="shared" si="114"/>
        <v>2740</v>
      </c>
      <c r="V505" s="79">
        <f t="shared" si="154"/>
        <v>0</v>
      </c>
      <c r="W505" s="24">
        <f t="shared" si="129"/>
        <v>2740</v>
      </c>
      <c r="X505" s="79">
        <f t="shared" si="154"/>
        <v>0</v>
      </c>
      <c r="Y505" s="24">
        <f t="shared" si="130"/>
        <v>2740</v>
      </c>
      <c r="Z505" s="189"/>
    </row>
    <row r="506" spans="1:27" s="6" customFormat="1" x14ac:dyDescent="0.25">
      <c r="A506" s="30" t="s">
        <v>66</v>
      </c>
      <c r="B506" s="21" t="s">
        <v>182</v>
      </c>
      <c r="C506" s="136" t="s">
        <v>1129</v>
      </c>
      <c r="D506" s="81" t="s">
        <v>42</v>
      </c>
      <c r="E506" s="24"/>
      <c r="F506" s="24"/>
      <c r="G506" s="24"/>
      <c r="H506" s="80"/>
      <c r="I506" s="24"/>
      <c r="J506" s="80"/>
      <c r="K506" s="24"/>
      <c r="L506" s="95"/>
      <c r="M506" s="24"/>
      <c r="N506" s="119"/>
      <c r="O506" s="24"/>
      <c r="P506" s="95">
        <v>6850</v>
      </c>
      <c r="Q506" s="24">
        <f t="shared" si="153"/>
        <v>6850</v>
      </c>
      <c r="R506" s="80">
        <v>-4110</v>
      </c>
      <c r="S506" s="24">
        <f t="shared" si="111"/>
        <v>2740</v>
      </c>
      <c r="T506" s="83"/>
      <c r="U506" s="24">
        <f t="shared" si="114"/>
        <v>2740</v>
      </c>
      <c r="V506" s="83"/>
      <c r="W506" s="24">
        <f t="shared" si="129"/>
        <v>2740</v>
      </c>
      <c r="X506" s="83"/>
      <c r="Y506" s="24">
        <f t="shared" si="130"/>
        <v>2740</v>
      </c>
      <c r="Z506" s="189"/>
      <c r="AA506" s="189">
        <f>Y506+Z506</f>
        <v>2740</v>
      </c>
    </row>
    <row r="507" spans="1:27" s="6" customFormat="1" x14ac:dyDescent="0.25">
      <c r="A507" s="128" t="s">
        <v>975</v>
      </c>
      <c r="B507" s="20" t="s">
        <v>182</v>
      </c>
      <c r="C507" s="131" t="s">
        <v>1131</v>
      </c>
      <c r="D507" s="21"/>
      <c r="E507" s="24"/>
      <c r="F507" s="24"/>
      <c r="G507" s="24"/>
      <c r="H507" s="80"/>
      <c r="I507" s="24"/>
      <c r="J507" s="80"/>
      <c r="K507" s="24"/>
      <c r="L507" s="95"/>
      <c r="M507" s="24"/>
      <c r="N507" s="119"/>
      <c r="O507" s="24"/>
      <c r="P507" s="79">
        <f t="shared" ref="P507:X507" si="155">P508</f>
        <v>1000</v>
      </c>
      <c r="Q507" s="24">
        <f t="shared" si="153"/>
        <v>1000</v>
      </c>
      <c r="R507" s="79">
        <f t="shared" si="155"/>
        <v>-600</v>
      </c>
      <c r="S507" s="24">
        <f t="shared" si="111"/>
        <v>400</v>
      </c>
      <c r="T507" s="79">
        <f t="shared" si="155"/>
        <v>0</v>
      </c>
      <c r="U507" s="24">
        <f t="shared" si="114"/>
        <v>400</v>
      </c>
      <c r="V507" s="79">
        <f t="shared" si="155"/>
        <v>0</v>
      </c>
      <c r="W507" s="24">
        <f t="shared" si="129"/>
        <v>400</v>
      </c>
      <c r="X507" s="79">
        <f t="shared" si="155"/>
        <v>0</v>
      </c>
      <c r="Y507" s="24">
        <f t="shared" si="130"/>
        <v>400</v>
      </c>
      <c r="Z507" s="189"/>
    </row>
    <row r="508" spans="1:27" s="6" customFormat="1" x14ac:dyDescent="0.25">
      <c r="A508" s="30" t="s">
        <v>66</v>
      </c>
      <c r="B508" s="21" t="s">
        <v>182</v>
      </c>
      <c r="C508" s="132" t="s">
        <v>1131</v>
      </c>
      <c r="D508" s="81" t="s">
        <v>42</v>
      </c>
      <c r="E508" s="24"/>
      <c r="F508" s="24"/>
      <c r="G508" s="24"/>
      <c r="H508" s="80"/>
      <c r="I508" s="24"/>
      <c r="J508" s="80"/>
      <c r="K508" s="24"/>
      <c r="L508" s="95"/>
      <c r="M508" s="24"/>
      <c r="N508" s="119"/>
      <c r="O508" s="24"/>
      <c r="P508" s="95">
        <v>1000</v>
      </c>
      <c r="Q508" s="24">
        <f t="shared" si="153"/>
        <v>1000</v>
      </c>
      <c r="R508" s="80">
        <v>-600</v>
      </c>
      <c r="S508" s="24">
        <f t="shared" si="111"/>
        <v>400</v>
      </c>
      <c r="T508" s="83"/>
      <c r="U508" s="24">
        <f t="shared" si="114"/>
        <v>400</v>
      </c>
      <c r="V508" s="83"/>
      <c r="W508" s="24">
        <f t="shared" si="129"/>
        <v>400</v>
      </c>
      <c r="X508" s="83"/>
      <c r="Y508" s="24">
        <f t="shared" si="130"/>
        <v>400</v>
      </c>
      <c r="Z508" s="189"/>
      <c r="AA508" s="189">
        <f>Y508+Z508</f>
        <v>400</v>
      </c>
    </row>
    <row r="509" spans="1:27" s="6" customFormat="1" x14ac:dyDescent="0.25">
      <c r="A509" s="128" t="s">
        <v>976</v>
      </c>
      <c r="B509" s="20" t="s">
        <v>182</v>
      </c>
      <c r="C509" s="131" t="s">
        <v>1132</v>
      </c>
      <c r="D509" s="21"/>
      <c r="E509" s="24"/>
      <c r="F509" s="24"/>
      <c r="G509" s="24"/>
      <c r="H509" s="80"/>
      <c r="I509" s="24"/>
      <c r="J509" s="80"/>
      <c r="K509" s="24"/>
      <c r="L509" s="95"/>
      <c r="M509" s="24"/>
      <c r="N509" s="119"/>
      <c r="O509" s="24"/>
      <c r="P509" s="79">
        <f t="shared" ref="P509:X509" si="156">P510</f>
        <v>1000</v>
      </c>
      <c r="Q509" s="24">
        <f t="shared" si="153"/>
        <v>1000</v>
      </c>
      <c r="R509" s="79">
        <f t="shared" si="156"/>
        <v>-600</v>
      </c>
      <c r="S509" s="24">
        <f t="shared" si="111"/>
        <v>400</v>
      </c>
      <c r="T509" s="79">
        <f t="shared" si="156"/>
        <v>0</v>
      </c>
      <c r="U509" s="24">
        <f t="shared" si="114"/>
        <v>400</v>
      </c>
      <c r="V509" s="79">
        <f t="shared" si="156"/>
        <v>0</v>
      </c>
      <c r="W509" s="24">
        <f t="shared" si="129"/>
        <v>400</v>
      </c>
      <c r="X509" s="79">
        <f t="shared" si="156"/>
        <v>0</v>
      </c>
      <c r="Y509" s="24">
        <f t="shared" si="130"/>
        <v>400</v>
      </c>
      <c r="Z509" s="189"/>
    </row>
    <row r="510" spans="1:27" s="6" customFormat="1" x14ac:dyDescent="0.25">
      <c r="A510" s="30" t="s">
        <v>66</v>
      </c>
      <c r="B510" s="21" t="s">
        <v>182</v>
      </c>
      <c r="C510" s="132" t="s">
        <v>1132</v>
      </c>
      <c r="D510" s="81" t="s">
        <v>42</v>
      </c>
      <c r="E510" s="24"/>
      <c r="F510" s="24"/>
      <c r="G510" s="24"/>
      <c r="H510" s="80"/>
      <c r="I510" s="24"/>
      <c r="J510" s="80"/>
      <c r="K510" s="24"/>
      <c r="L510" s="95"/>
      <c r="M510" s="24"/>
      <c r="N510" s="119"/>
      <c r="O510" s="24"/>
      <c r="P510" s="95">
        <v>1000</v>
      </c>
      <c r="Q510" s="24">
        <f t="shared" si="153"/>
        <v>1000</v>
      </c>
      <c r="R510" s="80">
        <v>-600</v>
      </c>
      <c r="S510" s="24">
        <f t="shared" si="111"/>
        <v>400</v>
      </c>
      <c r="T510" s="83"/>
      <c r="U510" s="24">
        <f t="shared" si="114"/>
        <v>400</v>
      </c>
      <c r="V510" s="83"/>
      <c r="W510" s="24">
        <f t="shared" si="129"/>
        <v>400</v>
      </c>
      <c r="X510" s="83"/>
      <c r="Y510" s="24">
        <f t="shared" si="130"/>
        <v>400</v>
      </c>
      <c r="Z510" s="189"/>
      <c r="AA510" s="189">
        <f>Y510+Z510</f>
        <v>400</v>
      </c>
    </row>
    <row r="511" spans="1:27" s="6" customFormat="1" x14ac:dyDescent="0.25">
      <c r="A511" s="128" t="s">
        <v>977</v>
      </c>
      <c r="B511" s="20" t="s">
        <v>182</v>
      </c>
      <c r="C511" s="131" t="s">
        <v>1133</v>
      </c>
      <c r="D511" s="21"/>
      <c r="E511" s="24"/>
      <c r="F511" s="24"/>
      <c r="G511" s="24"/>
      <c r="H511" s="80"/>
      <c r="I511" s="24"/>
      <c r="J511" s="80"/>
      <c r="K511" s="24"/>
      <c r="L511" s="95"/>
      <c r="M511" s="24"/>
      <c r="N511" s="119"/>
      <c r="O511" s="24"/>
      <c r="P511" s="79">
        <f t="shared" ref="P511:X511" si="157">P512</f>
        <v>750</v>
      </c>
      <c r="Q511" s="24">
        <f t="shared" si="153"/>
        <v>750</v>
      </c>
      <c r="R511" s="79">
        <f t="shared" si="157"/>
        <v>-450</v>
      </c>
      <c r="S511" s="24">
        <f t="shared" si="111"/>
        <v>300</v>
      </c>
      <c r="T511" s="79">
        <f t="shared" si="157"/>
        <v>0</v>
      </c>
      <c r="U511" s="24">
        <f t="shared" si="114"/>
        <v>300</v>
      </c>
      <c r="V511" s="79">
        <f t="shared" si="157"/>
        <v>0</v>
      </c>
      <c r="W511" s="24">
        <f t="shared" si="129"/>
        <v>300</v>
      </c>
      <c r="X511" s="79">
        <f t="shared" si="157"/>
        <v>0</v>
      </c>
      <c r="Y511" s="24">
        <f t="shared" si="130"/>
        <v>300</v>
      </c>
      <c r="Z511" s="189"/>
    </row>
    <row r="512" spans="1:27" s="6" customFormat="1" x14ac:dyDescent="0.25">
      <c r="A512" s="30" t="s">
        <v>66</v>
      </c>
      <c r="B512" s="21" t="s">
        <v>182</v>
      </c>
      <c r="C512" s="132" t="s">
        <v>1133</v>
      </c>
      <c r="D512" s="81" t="s">
        <v>42</v>
      </c>
      <c r="E512" s="24"/>
      <c r="F512" s="24"/>
      <c r="G512" s="24"/>
      <c r="H512" s="80"/>
      <c r="I512" s="24"/>
      <c r="J512" s="80"/>
      <c r="K512" s="24"/>
      <c r="L512" s="95"/>
      <c r="M512" s="24"/>
      <c r="N512" s="119"/>
      <c r="O512" s="24"/>
      <c r="P512" s="95">
        <v>750</v>
      </c>
      <c r="Q512" s="24">
        <f t="shared" si="153"/>
        <v>750</v>
      </c>
      <c r="R512" s="80">
        <v>-450</v>
      </c>
      <c r="S512" s="24">
        <f t="shared" si="111"/>
        <v>300</v>
      </c>
      <c r="T512" s="83"/>
      <c r="U512" s="24">
        <f t="shared" si="114"/>
        <v>300</v>
      </c>
      <c r="V512" s="83"/>
      <c r="W512" s="24">
        <f t="shared" si="129"/>
        <v>300</v>
      </c>
      <c r="X512" s="83"/>
      <c r="Y512" s="24">
        <f t="shared" si="130"/>
        <v>300</v>
      </c>
      <c r="Z512" s="189"/>
      <c r="AA512" s="189">
        <f>Y512+Z512</f>
        <v>300</v>
      </c>
    </row>
    <row r="513" spans="1:27" s="6" customFormat="1" ht="24" x14ac:dyDescent="0.25">
      <c r="A513" s="128" t="s">
        <v>978</v>
      </c>
      <c r="B513" s="20" t="s">
        <v>182</v>
      </c>
      <c r="C513" s="131" t="s">
        <v>1134</v>
      </c>
      <c r="D513" s="21"/>
      <c r="E513" s="24"/>
      <c r="F513" s="24"/>
      <c r="G513" s="24"/>
      <c r="H513" s="80"/>
      <c r="I513" s="24"/>
      <c r="J513" s="80"/>
      <c r="K513" s="24"/>
      <c r="L513" s="95"/>
      <c r="M513" s="24"/>
      <c r="N513" s="119"/>
      <c r="O513" s="24"/>
      <c r="P513" s="79">
        <f t="shared" ref="P513:X513" si="158">P514</f>
        <v>2500</v>
      </c>
      <c r="Q513" s="24">
        <f t="shared" si="153"/>
        <v>2500</v>
      </c>
      <c r="R513" s="79">
        <f t="shared" si="158"/>
        <v>-1500</v>
      </c>
      <c r="S513" s="24">
        <f t="shared" si="111"/>
        <v>1000</v>
      </c>
      <c r="T513" s="79">
        <f t="shared" si="158"/>
        <v>0</v>
      </c>
      <c r="U513" s="24">
        <f t="shared" si="114"/>
        <v>1000</v>
      </c>
      <c r="V513" s="79">
        <f t="shared" si="158"/>
        <v>0</v>
      </c>
      <c r="W513" s="24">
        <f t="shared" si="129"/>
        <v>1000</v>
      </c>
      <c r="X513" s="79">
        <f t="shared" si="158"/>
        <v>0</v>
      </c>
      <c r="Y513" s="24">
        <f t="shared" si="130"/>
        <v>1000</v>
      </c>
      <c r="Z513" s="189"/>
    </row>
    <row r="514" spans="1:27" s="6" customFormat="1" x14ac:dyDescent="0.25">
      <c r="A514" s="30" t="s">
        <v>66</v>
      </c>
      <c r="B514" s="21" t="s">
        <v>182</v>
      </c>
      <c r="C514" s="132" t="s">
        <v>1134</v>
      </c>
      <c r="D514" s="81" t="s">
        <v>42</v>
      </c>
      <c r="E514" s="24"/>
      <c r="F514" s="24"/>
      <c r="G514" s="24"/>
      <c r="H514" s="80"/>
      <c r="I514" s="24"/>
      <c r="J514" s="80"/>
      <c r="K514" s="24"/>
      <c r="L514" s="95"/>
      <c r="M514" s="24"/>
      <c r="N514" s="119"/>
      <c r="O514" s="24"/>
      <c r="P514" s="95">
        <v>2500</v>
      </c>
      <c r="Q514" s="24">
        <f t="shared" si="153"/>
        <v>2500</v>
      </c>
      <c r="R514" s="80">
        <v>-1500</v>
      </c>
      <c r="S514" s="24">
        <f t="shared" si="111"/>
        <v>1000</v>
      </c>
      <c r="T514" s="83"/>
      <c r="U514" s="24">
        <f t="shared" si="114"/>
        <v>1000</v>
      </c>
      <c r="V514" s="83"/>
      <c r="W514" s="24">
        <f t="shared" si="129"/>
        <v>1000</v>
      </c>
      <c r="X514" s="83"/>
      <c r="Y514" s="24">
        <f t="shared" si="130"/>
        <v>1000</v>
      </c>
      <c r="Z514" s="189"/>
      <c r="AA514" s="189">
        <f>Y514+Z514</f>
        <v>1000</v>
      </c>
    </row>
    <row r="515" spans="1:27" s="6" customFormat="1" x14ac:dyDescent="0.25">
      <c r="A515" s="128" t="s">
        <v>979</v>
      </c>
      <c r="B515" s="20" t="s">
        <v>182</v>
      </c>
      <c r="C515" s="131" t="s">
        <v>1135</v>
      </c>
      <c r="D515" s="21"/>
      <c r="E515" s="24"/>
      <c r="F515" s="24"/>
      <c r="G515" s="24"/>
      <c r="H515" s="80"/>
      <c r="I515" s="24"/>
      <c r="J515" s="80"/>
      <c r="K515" s="24"/>
      <c r="L515" s="95"/>
      <c r="M515" s="24"/>
      <c r="N515" s="119"/>
      <c r="O515" s="24"/>
      <c r="P515" s="79">
        <f t="shared" ref="P515:X515" si="159">P516</f>
        <v>1592.5</v>
      </c>
      <c r="Q515" s="24">
        <f t="shared" si="153"/>
        <v>1592.5</v>
      </c>
      <c r="R515" s="79">
        <f t="shared" si="159"/>
        <v>-955.5</v>
      </c>
      <c r="S515" s="24">
        <f t="shared" si="111"/>
        <v>637</v>
      </c>
      <c r="T515" s="79">
        <f t="shared" si="159"/>
        <v>0</v>
      </c>
      <c r="U515" s="24">
        <f t="shared" si="114"/>
        <v>637</v>
      </c>
      <c r="V515" s="79">
        <f t="shared" si="159"/>
        <v>0</v>
      </c>
      <c r="W515" s="24">
        <f t="shared" si="129"/>
        <v>637</v>
      </c>
      <c r="X515" s="79">
        <f t="shared" si="159"/>
        <v>0</v>
      </c>
      <c r="Y515" s="24">
        <f t="shared" si="130"/>
        <v>637</v>
      </c>
      <c r="Z515" s="189"/>
    </row>
    <row r="516" spans="1:27" s="6" customFormat="1" x14ac:dyDescent="0.25">
      <c r="A516" s="30" t="s">
        <v>66</v>
      </c>
      <c r="B516" s="21" t="s">
        <v>182</v>
      </c>
      <c r="C516" s="132" t="s">
        <v>1135</v>
      </c>
      <c r="D516" s="81" t="s">
        <v>42</v>
      </c>
      <c r="E516" s="24"/>
      <c r="F516" s="24"/>
      <c r="G516" s="24"/>
      <c r="H516" s="80"/>
      <c r="I516" s="24"/>
      <c r="J516" s="80"/>
      <c r="K516" s="24"/>
      <c r="L516" s="95"/>
      <c r="M516" s="24"/>
      <c r="N516" s="119"/>
      <c r="O516" s="24"/>
      <c r="P516" s="95">
        <v>1592.5</v>
      </c>
      <c r="Q516" s="24">
        <f t="shared" si="153"/>
        <v>1592.5</v>
      </c>
      <c r="R516" s="80">
        <v>-955.5</v>
      </c>
      <c r="S516" s="24">
        <f t="shared" si="111"/>
        <v>637</v>
      </c>
      <c r="T516" s="83"/>
      <c r="U516" s="24">
        <f t="shared" si="114"/>
        <v>637</v>
      </c>
      <c r="V516" s="83"/>
      <c r="W516" s="24">
        <f t="shared" si="129"/>
        <v>637</v>
      </c>
      <c r="X516" s="83"/>
      <c r="Y516" s="24">
        <f t="shared" si="130"/>
        <v>637</v>
      </c>
      <c r="Z516" s="189"/>
      <c r="AA516" s="189">
        <f>Y516+Z516</f>
        <v>637</v>
      </c>
    </row>
    <row r="517" spans="1:27" s="6" customFormat="1" x14ac:dyDescent="0.25">
      <c r="A517" s="128" t="s">
        <v>981</v>
      </c>
      <c r="B517" s="20" t="s">
        <v>182</v>
      </c>
      <c r="C517" s="131" t="s">
        <v>1137</v>
      </c>
      <c r="D517" s="21"/>
      <c r="E517" s="24"/>
      <c r="F517" s="24"/>
      <c r="G517" s="24"/>
      <c r="H517" s="80"/>
      <c r="I517" s="24"/>
      <c r="J517" s="80"/>
      <c r="K517" s="24"/>
      <c r="L517" s="95"/>
      <c r="M517" s="24"/>
      <c r="N517" s="119"/>
      <c r="O517" s="24"/>
      <c r="P517" s="79">
        <f t="shared" ref="P517:X517" si="160">P518</f>
        <v>774</v>
      </c>
      <c r="Q517" s="24">
        <f t="shared" si="153"/>
        <v>774</v>
      </c>
      <c r="R517" s="79">
        <f t="shared" si="160"/>
        <v>-464.4</v>
      </c>
      <c r="S517" s="24">
        <f t="shared" si="111"/>
        <v>309.60000000000002</v>
      </c>
      <c r="T517" s="79">
        <f t="shared" si="160"/>
        <v>0</v>
      </c>
      <c r="U517" s="24">
        <f t="shared" si="114"/>
        <v>309.60000000000002</v>
      </c>
      <c r="V517" s="79">
        <f t="shared" si="160"/>
        <v>0</v>
      </c>
      <c r="W517" s="24">
        <f t="shared" si="129"/>
        <v>309.60000000000002</v>
      </c>
      <c r="X517" s="79">
        <f t="shared" si="160"/>
        <v>0</v>
      </c>
      <c r="Y517" s="24">
        <f t="shared" si="130"/>
        <v>309.60000000000002</v>
      </c>
      <c r="Z517" s="189"/>
    </row>
    <row r="518" spans="1:27" s="6" customFormat="1" x14ac:dyDescent="0.25">
      <c r="A518" s="30" t="s">
        <v>66</v>
      </c>
      <c r="B518" s="21" t="s">
        <v>182</v>
      </c>
      <c r="C518" s="132" t="s">
        <v>1137</v>
      </c>
      <c r="D518" s="81" t="s">
        <v>42</v>
      </c>
      <c r="E518" s="24"/>
      <c r="F518" s="24"/>
      <c r="G518" s="24"/>
      <c r="H518" s="80"/>
      <c r="I518" s="24"/>
      <c r="J518" s="80"/>
      <c r="K518" s="24"/>
      <c r="L518" s="95"/>
      <c r="M518" s="24"/>
      <c r="N518" s="119"/>
      <c r="O518" s="24"/>
      <c r="P518" s="95">
        <v>774</v>
      </c>
      <c r="Q518" s="24">
        <f t="shared" si="153"/>
        <v>774</v>
      </c>
      <c r="R518" s="80">
        <v>-464.4</v>
      </c>
      <c r="S518" s="24">
        <f t="shared" si="111"/>
        <v>309.60000000000002</v>
      </c>
      <c r="T518" s="83"/>
      <c r="U518" s="24">
        <f t="shared" si="114"/>
        <v>309.60000000000002</v>
      </c>
      <c r="V518" s="83"/>
      <c r="W518" s="24">
        <f t="shared" si="129"/>
        <v>309.60000000000002</v>
      </c>
      <c r="X518" s="83"/>
      <c r="Y518" s="24">
        <f t="shared" si="130"/>
        <v>309.60000000000002</v>
      </c>
      <c r="Z518" s="189"/>
      <c r="AA518" s="189">
        <f>Y518+Z518</f>
        <v>309.60000000000002</v>
      </c>
    </row>
    <row r="519" spans="1:27" s="6" customFormat="1" x14ac:dyDescent="0.25">
      <c r="A519" s="128" t="s">
        <v>982</v>
      </c>
      <c r="B519" s="20" t="s">
        <v>182</v>
      </c>
      <c r="C519" s="131" t="s">
        <v>1138</v>
      </c>
      <c r="D519" s="21"/>
      <c r="E519" s="24"/>
      <c r="F519" s="24"/>
      <c r="G519" s="24"/>
      <c r="H519" s="80"/>
      <c r="I519" s="24"/>
      <c r="J519" s="80"/>
      <c r="K519" s="24"/>
      <c r="L519" s="95"/>
      <c r="M519" s="24"/>
      <c r="N519" s="119"/>
      <c r="O519" s="24"/>
      <c r="P519" s="79">
        <f t="shared" ref="P519:X519" si="161">P520</f>
        <v>570</v>
      </c>
      <c r="Q519" s="24">
        <f t="shared" si="153"/>
        <v>570</v>
      </c>
      <c r="R519" s="79">
        <f t="shared" si="161"/>
        <v>-342</v>
      </c>
      <c r="S519" s="24">
        <f t="shared" si="111"/>
        <v>228</v>
      </c>
      <c r="T519" s="79">
        <f t="shared" si="161"/>
        <v>0</v>
      </c>
      <c r="U519" s="24">
        <f t="shared" si="114"/>
        <v>228</v>
      </c>
      <c r="V519" s="79">
        <f t="shared" si="161"/>
        <v>0</v>
      </c>
      <c r="W519" s="24">
        <f t="shared" si="129"/>
        <v>228</v>
      </c>
      <c r="X519" s="79">
        <f t="shared" si="161"/>
        <v>0</v>
      </c>
      <c r="Y519" s="24">
        <f t="shared" si="130"/>
        <v>228</v>
      </c>
      <c r="Z519" s="189"/>
    </row>
    <row r="520" spans="1:27" s="6" customFormat="1" x14ac:dyDescent="0.25">
      <c r="A520" s="30" t="s">
        <v>66</v>
      </c>
      <c r="B520" s="21" t="s">
        <v>182</v>
      </c>
      <c r="C520" s="132" t="s">
        <v>1138</v>
      </c>
      <c r="D520" s="81" t="s">
        <v>42</v>
      </c>
      <c r="E520" s="24"/>
      <c r="F520" s="24"/>
      <c r="G520" s="24"/>
      <c r="H520" s="80"/>
      <c r="I520" s="24"/>
      <c r="J520" s="80"/>
      <c r="K520" s="24"/>
      <c r="L520" s="95"/>
      <c r="M520" s="24"/>
      <c r="N520" s="119"/>
      <c r="O520" s="24"/>
      <c r="P520" s="95">
        <v>570</v>
      </c>
      <c r="Q520" s="24">
        <f t="shared" si="153"/>
        <v>570</v>
      </c>
      <c r="R520" s="80">
        <v>-342</v>
      </c>
      <c r="S520" s="24">
        <f t="shared" si="111"/>
        <v>228</v>
      </c>
      <c r="T520" s="83"/>
      <c r="U520" s="24">
        <f t="shared" si="114"/>
        <v>228</v>
      </c>
      <c r="V520" s="83"/>
      <c r="W520" s="24">
        <f t="shared" si="129"/>
        <v>228</v>
      </c>
      <c r="X520" s="83"/>
      <c r="Y520" s="24">
        <f t="shared" si="130"/>
        <v>228</v>
      </c>
      <c r="Z520" s="189"/>
      <c r="AA520" s="189">
        <f>Y520+Z520</f>
        <v>228</v>
      </c>
    </row>
    <row r="521" spans="1:27" s="6" customFormat="1" x14ac:dyDescent="0.25">
      <c r="A521" s="128" t="s">
        <v>983</v>
      </c>
      <c r="B521" s="20" t="s">
        <v>182</v>
      </c>
      <c r="C521" s="131" t="s">
        <v>1139</v>
      </c>
      <c r="D521" s="21"/>
      <c r="E521" s="24"/>
      <c r="F521" s="24"/>
      <c r="G521" s="24"/>
      <c r="H521" s="80"/>
      <c r="I521" s="24"/>
      <c r="J521" s="80"/>
      <c r="K521" s="24"/>
      <c r="L521" s="95"/>
      <c r="M521" s="24"/>
      <c r="N521" s="119"/>
      <c r="O521" s="24"/>
      <c r="P521" s="79">
        <f t="shared" ref="P521:X521" si="162">P522</f>
        <v>240</v>
      </c>
      <c r="Q521" s="24">
        <f t="shared" si="153"/>
        <v>240</v>
      </c>
      <c r="R521" s="79">
        <f t="shared" si="162"/>
        <v>-144</v>
      </c>
      <c r="S521" s="24">
        <f t="shared" si="111"/>
        <v>96</v>
      </c>
      <c r="T521" s="79">
        <f t="shared" si="162"/>
        <v>0</v>
      </c>
      <c r="U521" s="24">
        <f t="shared" si="114"/>
        <v>96</v>
      </c>
      <c r="V521" s="79">
        <f t="shared" si="162"/>
        <v>0</v>
      </c>
      <c r="W521" s="24">
        <f t="shared" si="129"/>
        <v>96</v>
      </c>
      <c r="X521" s="79">
        <f t="shared" si="162"/>
        <v>0</v>
      </c>
      <c r="Y521" s="24">
        <f t="shared" si="130"/>
        <v>96</v>
      </c>
      <c r="Z521" s="189"/>
    </row>
    <row r="522" spans="1:27" s="6" customFormat="1" x14ac:dyDescent="0.25">
      <c r="A522" s="30" t="s">
        <v>66</v>
      </c>
      <c r="B522" s="21" t="s">
        <v>182</v>
      </c>
      <c r="C522" s="132" t="s">
        <v>1139</v>
      </c>
      <c r="D522" s="81" t="s">
        <v>42</v>
      </c>
      <c r="E522" s="24"/>
      <c r="F522" s="24"/>
      <c r="G522" s="24"/>
      <c r="H522" s="80"/>
      <c r="I522" s="24"/>
      <c r="J522" s="80"/>
      <c r="K522" s="24"/>
      <c r="L522" s="95"/>
      <c r="M522" s="24"/>
      <c r="N522" s="119"/>
      <c r="O522" s="24"/>
      <c r="P522" s="95">
        <v>240</v>
      </c>
      <c r="Q522" s="24">
        <f t="shared" si="153"/>
        <v>240</v>
      </c>
      <c r="R522" s="80">
        <v>-144</v>
      </c>
      <c r="S522" s="24">
        <f t="shared" si="111"/>
        <v>96</v>
      </c>
      <c r="T522" s="83"/>
      <c r="U522" s="24">
        <f t="shared" si="114"/>
        <v>96</v>
      </c>
      <c r="V522" s="83"/>
      <c r="W522" s="24">
        <f t="shared" si="129"/>
        <v>96</v>
      </c>
      <c r="X522" s="83"/>
      <c r="Y522" s="24">
        <f t="shared" si="130"/>
        <v>96</v>
      </c>
      <c r="Z522" s="189"/>
      <c r="AA522" s="189">
        <f>Y522+Z522</f>
        <v>96</v>
      </c>
    </row>
    <row r="523" spans="1:27" s="6" customFormat="1" ht="24" x14ac:dyDescent="0.25">
      <c r="A523" s="128" t="s">
        <v>984</v>
      </c>
      <c r="B523" s="20" t="s">
        <v>182</v>
      </c>
      <c r="C523" s="131" t="s">
        <v>1140</v>
      </c>
      <c r="D523" s="21"/>
      <c r="E523" s="24"/>
      <c r="F523" s="24"/>
      <c r="G523" s="24"/>
      <c r="H523" s="80"/>
      <c r="I523" s="24"/>
      <c r="J523" s="80"/>
      <c r="K523" s="24"/>
      <c r="L523" s="95"/>
      <c r="M523" s="24"/>
      <c r="N523" s="119"/>
      <c r="O523" s="24"/>
      <c r="P523" s="79">
        <f t="shared" ref="P523:X523" si="163">P524</f>
        <v>400</v>
      </c>
      <c r="Q523" s="24">
        <f t="shared" si="153"/>
        <v>400</v>
      </c>
      <c r="R523" s="79">
        <f t="shared" si="163"/>
        <v>-240</v>
      </c>
      <c r="S523" s="24">
        <f t="shared" si="111"/>
        <v>160</v>
      </c>
      <c r="T523" s="79">
        <f t="shared" si="163"/>
        <v>0</v>
      </c>
      <c r="U523" s="24">
        <f t="shared" si="114"/>
        <v>160</v>
      </c>
      <c r="V523" s="79">
        <f t="shared" si="163"/>
        <v>0</v>
      </c>
      <c r="W523" s="24">
        <f t="shared" si="129"/>
        <v>160</v>
      </c>
      <c r="X523" s="79">
        <f t="shared" si="163"/>
        <v>0</v>
      </c>
      <c r="Y523" s="24">
        <f t="shared" si="130"/>
        <v>160</v>
      </c>
      <c r="Z523" s="189"/>
    </row>
    <row r="524" spans="1:27" s="6" customFormat="1" x14ac:dyDescent="0.25">
      <c r="A524" s="30" t="s">
        <v>66</v>
      </c>
      <c r="B524" s="21" t="s">
        <v>182</v>
      </c>
      <c r="C524" s="132" t="s">
        <v>1140</v>
      </c>
      <c r="D524" s="81" t="s">
        <v>42</v>
      </c>
      <c r="E524" s="24"/>
      <c r="F524" s="24"/>
      <c r="G524" s="24"/>
      <c r="H524" s="80"/>
      <c r="I524" s="24"/>
      <c r="J524" s="80"/>
      <c r="K524" s="24"/>
      <c r="L524" s="95"/>
      <c r="M524" s="24"/>
      <c r="N524" s="119"/>
      <c r="O524" s="24"/>
      <c r="P524" s="95">
        <v>400</v>
      </c>
      <c r="Q524" s="24">
        <f t="shared" si="153"/>
        <v>400</v>
      </c>
      <c r="R524" s="80">
        <v>-240</v>
      </c>
      <c r="S524" s="24">
        <f t="shared" si="111"/>
        <v>160</v>
      </c>
      <c r="T524" s="83"/>
      <c r="U524" s="24">
        <f t="shared" si="114"/>
        <v>160</v>
      </c>
      <c r="V524" s="83"/>
      <c r="W524" s="24">
        <f t="shared" si="129"/>
        <v>160</v>
      </c>
      <c r="X524" s="83"/>
      <c r="Y524" s="24">
        <f t="shared" si="130"/>
        <v>160</v>
      </c>
      <c r="Z524" s="189"/>
      <c r="AA524" s="189">
        <f>Y524+Z524</f>
        <v>160</v>
      </c>
    </row>
    <row r="525" spans="1:27" s="6" customFormat="1" x14ac:dyDescent="0.25">
      <c r="A525" s="128" t="s">
        <v>985</v>
      </c>
      <c r="B525" s="20" t="s">
        <v>182</v>
      </c>
      <c r="C525" s="131" t="s">
        <v>1141</v>
      </c>
      <c r="D525" s="21"/>
      <c r="E525" s="24"/>
      <c r="F525" s="24"/>
      <c r="G525" s="24"/>
      <c r="H525" s="80"/>
      <c r="I525" s="24"/>
      <c r="J525" s="80"/>
      <c r="K525" s="24"/>
      <c r="L525" s="95"/>
      <c r="M525" s="24"/>
      <c r="N525" s="119"/>
      <c r="O525" s="24"/>
      <c r="P525" s="79">
        <f t="shared" ref="P525:X525" si="164">P526</f>
        <v>347.5</v>
      </c>
      <c r="Q525" s="24">
        <f t="shared" si="153"/>
        <v>347.5</v>
      </c>
      <c r="R525" s="79">
        <f t="shared" si="164"/>
        <v>-208.5</v>
      </c>
      <c r="S525" s="24">
        <f t="shared" si="111"/>
        <v>139</v>
      </c>
      <c r="T525" s="79">
        <f t="shared" si="164"/>
        <v>0</v>
      </c>
      <c r="U525" s="24">
        <f t="shared" si="114"/>
        <v>139</v>
      </c>
      <c r="V525" s="79">
        <f t="shared" si="164"/>
        <v>0</v>
      </c>
      <c r="W525" s="24">
        <f t="shared" si="129"/>
        <v>139</v>
      </c>
      <c r="X525" s="79">
        <f t="shared" si="164"/>
        <v>0</v>
      </c>
      <c r="Y525" s="24">
        <f t="shared" si="130"/>
        <v>139</v>
      </c>
      <c r="Z525" s="189"/>
    </row>
    <row r="526" spans="1:27" s="6" customFormat="1" x14ac:dyDescent="0.25">
      <c r="A526" s="30" t="s">
        <v>66</v>
      </c>
      <c r="B526" s="21" t="s">
        <v>182</v>
      </c>
      <c r="C526" s="132" t="s">
        <v>1141</v>
      </c>
      <c r="D526" s="81" t="s">
        <v>42</v>
      </c>
      <c r="E526" s="24"/>
      <c r="F526" s="24"/>
      <c r="G526" s="24"/>
      <c r="H526" s="80"/>
      <c r="I526" s="24"/>
      <c r="J526" s="80"/>
      <c r="K526" s="24"/>
      <c r="L526" s="95"/>
      <c r="M526" s="24"/>
      <c r="N526" s="119"/>
      <c r="O526" s="24"/>
      <c r="P526" s="95">
        <v>347.5</v>
      </c>
      <c r="Q526" s="24">
        <f t="shared" si="153"/>
        <v>347.5</v>
      </c>
      <c r="R526" s="80">
        <v>-208.5</v>
      </c>
      <c r="S526" s="24">
        <f t="shared" si="111"/>
        <v>139</v>
      </c>
      <c r="T526" s="83"/>
      <c r="U526" s="24">
        <f t="shared" si="114"/>
        <v>139</v>
      </c>
      <c r="V526" s="83"/>
      <c r="W526" s="24">
        <f t="shared" si="129"/>
        <v>139</v>
      </c>
      <c r="X526" s="83"/>
      <c r="Y526" s="24">
        <f t="shared" si="130"/>
        <v>139</v>
      </c>
      <c r="Z526" s="189"/>
      <c r="AA526" s="189">
        <f>Y526+Z526</f>
        <v>139</v>
      </c>
    </row>
    <row r="527" spans="1:27" s="6" customFormat="1" x14ac:dyDescent="0.25">
      <c r="A527" s="128" t="s">
        <v>986</v>
      </c>
      <c r="B527" s="20" t="s">
        <v>182</v>
      </c>
      <c r="C527" s="131" t="s">
        <v>1142</v>
      </c>
      <c r="D527" s="21"/>
      <c r="E527" s="24"/>
      <c r="F527" s="24"/>
      <c r="G527" s="24"/>
      <c r="H527" s="80"/>
      <c r="I527" s="24"/>
      <c r="J527" s="80"/>
      <c r="K527" s="24"/>
      <c r="L527" s="95"/>
      <c r="M527" s="24"/>
      <c r="N527" s="119"/>
      <c r="O527" s="24"/>
      <c r="P527" s="79">
        <f t="shared" ref="P527:X527" si="165">P528</f>
        <v>1175</v>
      </c>
      <c r="Q527" s="24">
        <f t="shared" si="153"/>
        <v>1175</v>
      </c>
      <c r="R527" s="79">
        <f t="shared" si="165"/>
        <v>-705</v>
      </c>
      <c r="S527" s="24">
        <f t="shared" si="111"/>
        <v>470</v>
      </c>
      <c r="T527" s="79">
        <f t="shared" si="165"/>
        <v>0</v>
      </c>
      <c r="U527" s="24">
        <f t="shared" si="114"/>
        <v>470</v>
      </c>
      <c r="V527" s="79">
        <f t="shared" si="165"/>
        <v>0</v>
      </c>
      <c r="W527" s="24">
        <f t="shared" si="129"/>
        <v>470</v>
      </c>
      <c r="X527" s="79">
        <f t="shared" si="165"/>
        <v>0</v>
      </c>
      <c r="Y527" s="24">
        <f t="shared" si="130"/>
        <v>470</v>
      </c>
      <c r="Z527" s="189"/>
    </row>
    <row r="528" spans="1:27" s="6" customFormat="1" x14ac:dyDescent="0.25">
      <c r="A528" s="30" t="s">
        <v>66</v>
      </c>
      <c r="B528" s="21" t="s">
        <v>182</v>
      </c>
      <c r="C528" s="132" t="s">
        <v>1142</v>
      </c>
      <c r="D528" s="81" t="s">
        <v>42</v>
      </c>
      <c r="E528" s="24"/>
      <c r="F528" s="24"/>
      <c r="G528" s="24"/>
      <c r="H528" s="80"/>
      <c r="I528" s="24"/>
      <c r="J528" s="80"/>
      <c r="K528" s="24"/>
      <c r="L528" s="95"/>
      <c r="M528" s="24"/>
      <c r="N528" s="119"/>
      <c r="O528" s="24"/>
      <c r="P528" s="95">
        <v>1175</v>
      </c>
      <c r="Q528" s="24">
        <f t="shared" si="153"/>
        <v>1175</v>
      </c>
      <c r="R528" s="80">
        <v>-705</v>
      </c>
      <c r="S528" s="24">
        <f t="shared" si="111"/>
        <v>470</v>
      </c>
      <c r="T528" s="83"/>
      <c r="U528" s="24">
        <f t="shared" si="114"/>
        <v>470</v>
      </c>
      <c r="V528" s="83"/>
      <c r="W528" s="24">
        <f t="shared" si="129"/>
        <v>470</v>
      </c>
      <c r="X528" s="83"/>
      <c r="Y528" s="24">
        <f t="shared" si="130"/>
        <v>470</v>
      </c>
      <c r="Z528" s="189"/>
      <c r="AA528" s="189">
        <f>Y528+Z528</f>
        <v>470</v>
      </c>
    </row>
    <row r="529" spans="1:27" s="6" customFormat="1" x14ac:dyDescent="0.25">
      <c r="A529" s="128" t="s">
        <v>987</v>
      </c>
      <c r="B529" s="20" t="s">
        <v>182</v>
      </c>
      <c r="C529" s="131" t="s">
        <v>1143</v>
      </c>
      <c r="D529" s="21"/>
      <c r="E529" s="24"/>
      <c r="F529" s="24"/>
      <c r="G529" s="24"/>
      <c r="H529" s="80"/>
      <c r="I529" s="24"/>
      <c r="J529" s="80"/>
      <c r="K529" s="24"/>
      <c r="L529" s="95"/>
      <c r="M529" s="24"/>
      <c r="N529" s="119"/>
      <c r="O529" s="24"/>
      <c r="P529" s="79">
        <f t="shared" ref="P529:X529" si="166">P530</f>
        <v>700</v>
      </c>
      <c r="Q529" s="24">
        <f t="shared" si="153"/>
        <v>700</v>
      </c>
      <c r="R529" s="79">
        <f t="shared" si="166"/>
        <v>-420</v>
      </c>
      <c r="S529" s="24">
        <f t="shared" si="111"/>
        <v>280</v>
      </c>
      <c r="T529" s="79">
        <f t="shared" si="166"/>
        <v>0</v>
      </c>
      <c r="U529" s="24">
        <f t="shared" si="114"/>
        <v>280</v>
      </c>
      <c r="V529" s="79">
        <f t="shared" si="166"/>
        <v>0</v>
      </c>
      <c r="W529" s="24">
        <f t="shared" si="129"/>
        <v>280</v>
      </c>
      <c r="X529" s="79">
        <f t="shared" si="166"/>
        <v>0</v>
      </c>
      <c r="Y529" s="24">
        <f t="shared" si="130"/>
        <v>280</v>
      </c>
      <c r="Z529" s="189"/>
    </row>
    <row r="530" spans="1:27" s="6" customFormat="1" x14ac:dyDescent="0.25">
      <c r="A530" s="30" t="s">
        <v>66</v>
      </c>
      <c r="B530" s="21" t="s">
        <v>182</v>
      </c>
      <c r="C530" s="132" t="s">
        <v>1143</v>
      </c>
      <c r="D530" s="81" t="s">
        <v>42</v>
      </c>
      <c r="E530" s="24"/>
      <c r="F530" s="24"/>
      <c r="G530" s="24"/>
      <c r="H530" s="80"/>
      <c r="I530" s="24"/>
      <c r="J530" s="80"/>
      <c r="K530" s="24"/>
      <c r="L530" s="95"/>
      <c r="M530" s="24"/>
      <c r="N530" s="119"/>
      <c r="O530" s="24"/>
      <c r="P530" s="95">
        <v>700</v>
      </c>
      <c r="Q530" s="24">
        <f t="shared" si="153"/>
        <v>700</v>
      </c>
      <c r="R530" s="80">
        <v>-420</v>
      </c>
      <c r="S530" s="24">
        <f t="shared" si="111"/>
        <v>280</v>
      </c>
      <c r="T530" s="83"/>
      <c r="U530" s="24">
        <f t="shared" si="114"/>
        <v>280</v>
      </c>
      <c r="V530" s="83"/>
      <c r="W530" s="24">
        <f t="shared" si="129"/>
        <v>280</v>
      </c>
      <c r="X530" s="83"/>
      <c r="Y530" s="24">
        <f t="shared" si="130"/>
        <v>280</v>
      </c>
      <c r="Z530" s="189"/>
      <c r="AA530" s="189">
        <f>Y530+Z530</f>
        <v>280</v>
      </c>
    </row>
    <row r="531" spans="1:27" s="6" customFormat="1" x14ac:dyDescent="0.25">
      <c r="A531" s="128" t="s">
        <v>988</v>
      </c>
      <c r="B531" s="20" t="s">
        <v>182</v>
      </c>
      <c r="C531" s="131" t="s">
        <v>1144</v>
      </c>
      <c r="D531" s="21"/>
      <c r="E531" s="24"/>
      <c r="F531" s="24"/>
      <c r="G531" s="24"/>
      <c r="H531" s="80"/>
      <c r="I531" s="24"/>
      <c r="J531" s="80"/>
      <c r="K531" s="24"/>
      <c r="L531" s="95"/>
      <c r="M531" s="24"/>
      <c r="N531" s="119"/>
      <c r="O531" s="24"/>
      <c r="P531" s="79">
        <f t="shared" ref="P531:X531" si="167">P532</f>
        <v>600</v>
      </c>
      <c r="Q531" s="24">
        <f t="shared" si="153"/>
        <v>600</v>
      </c>
      <c r="R531" s="79">
        <f t="shared" si="167"/>
        <v>-360</v>
      </c>
      <c r="S531" s="24">
        <f t="shared" si="111"/>
        <v>240</v>
      </c>
      <c r="T531" s="79">
        <f t="shared" si="167"/>
        <v>0</v>
      </c>
      <c r="U531" s="24">
        <f t="shared" si="114"/>
        <v>240</v>
      </c>
      <c r="V531" s="79">
        <f t="shared" si="167"/>
        <v>0</v>
      </c>
      <c r="W531" s="24">
        <f t="shared" si="129"/>
        <v>240</v>
      </c>
      <c r="X531" s="79">
        <f t="shared" si="167"/>
        <v>0</v>
      </c>
      <c r="Y531" s="24">
        <f t="shared" si="130"/>
        <v>240</v>
      </c>
      <c r="Z531" s="189"/>
    </row>
    <row r="532" spans="1:27" s="6" customFormat="1" x14ac:dyDescent="0.25">
      <c r="A532" s="30" t="s">
        <v>66</v>
      </c>
      <c r="B532" s="21" t="s">
        <v>182</v>
      </c>
      <c r="C532" s="132" t="s">
        <v>1144</v>
      </c>
      <c r="D532" s="81" t="s">
        <v>42</v>
      </c>
      <c r="E532" s="24"/>
      <c r="F532" s="24"/>
      <c r="G532" s="24"/>
      <c r="H532" s="80"/>
      <c r="I532" s="24"/>
      <c r="J532" s="80"/>
      <c r="K532" s="24"/>
      <c r="L532" s="95"/>
      <c r="M532" s="24"/>
      <c r="N532" s="119"/>
      <c r="O532" s="24"/>
      <c r="P532" s="95">
        <v>600</v>
      </c>
      <c r="Q532" s="24">
        <f t="shared" si="153"/>
        <v>600</v>
      </c>
      <c r="R532" s="80">
        <v>-360</v>
      </c>
      <c r="S532" s="24">
        <f t="shared" si="111"/>
        <v>240</v>
      </c>
      <c r="T532" s="83"/>
      <c r="U532" s="24">
        <f t="shared" si="114"/>
        <v>240</v>
      </c>
      <c r="V532" s="83"/>
      <c r="W532" s="24">
        <f t="shared" si="129"/>
        <v>240</v>
      </c>
      <c r="X532" s="83"/>
      <c r="Y532" s="24">
        <f t="shared" si="130"/>
        <v>240</v>
      </c>
      <c r="Z532" s="189"/>
      <c r="AA532" s="189">
        <f>Y532+Z532</f>
        <v>240</v>
      </c>
    </row>
    <row r="533" spans="1:27" s="6" customFormat="1" x14ac:dyDescent="0.25">
      <c r="A533" s="128" t="s">
        <v>989</v>
      </c>
      <c r="B533" s="20" t="s">
        <v>182</v>
      </c>
      <c r="C533" s="131" t="s">
        <v>1145</v>
      </c>
      <c r="D533" s="21"/>
      <c r="E533" s="24"/>
      <c r="F533" s="24"/>
      <c r="G533" s="24"/>
      <c r="H533" s="80"/>
      <c r="I533" s="24"/>
      <c r="J533" s="80"/>
      <c r="K533" s="24"/>
      <c r="L533" s="95"/>
      <c r="M533" s="24"/>
      <c r="N533" s="119"/>
      <c r="O533" s="24"/>
      <c r="P533" s="79">
        <f t="shared" ref="P533:X533" si="168">P534</f>
        <v>500</v>
      </c>
      <c r="Q533" s="24">
        <f t="shared" si="153"/>
        <v>500</v>
      </c>
      <c r="R533" s="79">
        <f t="shared" si="168"/>
        <v>-300</v>
      </c>
      <c r="S533" s="24">
        <f t="shared" si="111"/>
        <v>200</v>
      </c>
      <c r="T533" s="79">
        <f t="shared" si="168"/>
        <v>0</v>
      </c>
      <c r="U533" s="24">
        <f t="shared" si="114"/>
        <v>200</v>
      </c>
      <c r="V533" s="79">
        <f t="shared" si="168"/>
        <v>0</v>
      </c>
      <c r="W533" s="24">
        <f t="shared" si="129"/>
        <v>200</v>
      </c>
      <c r="X533" s="79">
        <f t="shared" si="168"/>
        <v>0</v>
      </c>
      <c r="Y533" s="24">
        <f t="shared" si="130"/>
        <v>200</v>
      </c>
      <c r="Z533" s="189"/>
    </row>
    <row r="534" spans="1:27" s="6" customFormat="1" x14ac:dyDescent="0.25">
      <c r="A534" s="30" t="s">
        <v>66</v>
      </c>
      <c r="B534" s="21" t="s">
        <v>182</v>
      </c>
      <c r="C534" s="132" t="s">
        <v>1145</v>
      </c>
      <c r="D534" s="81" t="s">
        <v>42</v>
      </c>
      <c r="E534" s="24"/>
      <c r="F534" s="24"/>
      <c r="G534" s="24"/>
      <c r="H534" s="80"/>
      <c r="I534" s="24"/>
      <c r="J534" s="80"/>
      <c r="K534" s="24"/>
      <c r="L534" s="95"/>
      <c r="M534" s="24"/>
      <c r="N534" s="119"/>
      <c r="O534" s="24"/>
      <c r="P534" s="95">
        <v>500</v>
      </c>
      <c r="Q534" s="24">
        <f t="shared" si="153"/>
        <v>500</v>
      </c>
      <c r="R534" s="80">
        <v>-300</v>
      </c>
      <c r="S534" s="24">
        <f t="shared" si="111"/>
        <v>200</v>
      </c>
      <c r="T534" s="83"/>
      <c r="U534" s="24">
        <f t="shared" si="114"/>
        <v>200</v>
      </c>
      <c r="V534" s="83"/>
      <c r="W534" s="24">
        <f t="shared" si="129"/>
        <v>200</v>
      </c>
      <c r="X534" s="83"/>
      <c r="Y534" s="24">
        <f t="shared" si="130"/>
        <v>200</v>
      </c>
      <c r="Z534" s="189"/>
      <c r="AA534" s="189">
        <f>Y534+Z534</f>
        <v>200</v>
      </c>
    </row>
    <row r="535" spans="1:27" s="6" customFormat="1" x14ac:dyDescent="0.25">
      <c r="A535" s="128" t="s">
        <v>990</v>
      </c>
      <c r="B535" s="20" t="s">
        <v>182</v>
      </c>
      <c r="C535" s="131" t="s">
        <v>1146</v>
      </c>
      <c r="D535" s="21"/>
      <c r="E535" s="24"/>
      <c r="F535" s="24"/>
      <c r="G535" s="24"/>
      <c r="H535" s="80"/>
      <c r="I535" s="24"/>
      <c r="J535" s="80"/>
      <c r="K535" s="24"/>
      <c r="L535" s="95"/>
      <c r="M535" s="24"/>
      <c r="N535" s="119"/>
      <c r="O535" s="24"/>
      <c r="P535" s="79">
        <f t="shared" ref="P535:X535" si="169">P536</f>
        <v>150</v>
      </c>
      <c r="Q535" s="24">
        <f t="shared" si="153"/>
        <v>150</v>
      </c>
      <c r="R535" s="79">
        <f t="shared" si="169"/>
        <v>-90</v>
      </c>
      <c r="S535" s="24">
        <f t="shared" si="111"/>
        <v>60</v>
      </c>
      <c r="T535" s="79">
        <f t="shared" si="169"/>
        <v>0</v>
      </c>
      <c r="U535" s="24">
        <f t="shared" si="114"/>
        <v>60</v>
      </c>
      <c r="V535" s="79">
        <f t="shared" si="169"/>
        <v>0</v>
      </c>
      <c r="W535" s="24">
        <f t="shared" si="129"/>
        <v>60</v>
      </c>
      <c r="X535" s="79">
        <f t="shared" si="169"/>
        <v>0</v>
      </c>
      <c r="Y535" s="24">
        <f t="shared" si="130"/>
        <v>60</v>
      </c>
      <c r="Z535" s="189"/>
    </row>
    <row r="536" spans="1:27" s="6" customFormat="1" x14ac:dyDescent="0.25">
      <c r="A536" s="30" t="s">
        <v>66</v>
      </c>
      <c r="B536" s="21" t="s">
        <v>182</v>
      </c>
      <c r="C536" s="132" t="s">
        <v>1146</v>
      </c>
      <c r="D536" s="81" t="s">
        <v>42</v>
      </c>
      <c r="E536" s="24"/>
      <c r="F536" s="24"/>
      <c r="G536" s="24"/>
      <c r="H536" s="80"/>
      <c r="I536" s="24"/>
      <c r="J536" s="80"/>
      <c r="K536" s="24"/>
      <c r="L536" s="95"/>
      <c r="M536" s="24"/>
      <c r="N536" s="119"/>
      <c r="O536" s="24"/>
      <c r="P536" s="95">
        <v>150</v>
      </c>
      <c r="Q536" s="24">
        <f t="shared" si="153"/>
        <v>150</v>
      </c>
      <c r="R536" s="80">
        <v>-90</v>
      </c>
      <c r="S536" s="24">
        <f t="shared" si="111"/>
        <v>60</v>
      </c>
      <c r="T536" s="83"/>
      <c r="U536" s="24">
        <f t="shared" si="114"/>
        <v>60</v>
      </c>
      <c r="V536" s="83"/>
      <c r="W536" s="24">
        <f t="shared" si="129"/>
        <v>60</v>
      </c>
      <c r="X536" s="83"/>
      <c r="Y536" s="24">
        <f t="shared" si="130"/>
        <v>60</v>
      </c>
      <c r="Z536" s="189"/>
      <c r="AA536" s="189">
        <f>Y536+Z536</f>
        <v>60</v>
      </c>
    </row>
    <row r="537" spans="1:27" s="6" customFormat="1" ht="36" x14ac:dyDescent="0.25">
      <c r="A537" s="128" t="s">
        <v>991</v>
      </c>
      <c r="B537" s="20" t="s">
        <v>182</v>
      </c>
      <c r="C537" s="131" t="s">
        <v>1147</v>
      </c>
      <c r="D537" s="21"/>
      <c r="E537" s="24"/>
      <c r="F537" s="24"/>
      <c r="G537" s="24"/>
      <c r="H537" s="80"/>
      <c r="I537" s="24"/>
      <c r="J537" s="80"/>
      <c r="K537" s="24"/>
      <c r="L537" s="95"/>
      <c r="M537" s="24"/>
      <c r="N537" s="119"/>
      <c r="O537" s="24"/>
      <c r="P537" s="79">
        <f t="shared" ref="P537:X537" si="170">P538</f>
        <v>5882.5</v>
      </c>
      <c r="Q537" s="24">
        <f t="shared" si="153"/>
        <v>5882.5</v>
      </c>
      <c r="R537" s="79">
        <f t="shared" si="170"/>
        <v>-3529.5</v>
      </c>
      <c r="S537" s="24">
        <f t="shared" si="111"/>
        <v>2353</v>
      </c>
      <c r="T537" s="79">
        <f t="shared" si="170"/>
        <v>0</v>
      </c>
      <c r="U537" s="24">
        <f t="shared" si="114"/>
        <v>2353</v>
      </c>
      <c r="V537" s="79">
        <f t="shared" si="170"/>
        <v>0</v>
      </c>
      <c r="W537" s="24">
        <f t="shared" si="129"/>
        <v>2353</v>
      </c>
      <c r="X537" s="79">
        <f t="shared" si="170"/>
        <v>0</v>
      </c>
      <c r="Y537" s="24">
        <f t="shared" si="130"/>
        <v>2353</v>
      </c>
      <c r="Z537" s="189"/>
    </row>
    <row r="538" spans="1:27" s="6" customFormat="1" x14ac:dyDescent="0.25">
      <c r="A538" s="30" t="s">
        <v>66</v>
      </c>
      <c r="B538" s="21" t="s">
        <v>182</v>
      </c>
      <c r="C538" s="132" t="s">
        <v>1147</v>
      </c>
      <c r="D538" s="81" t="s">
        <v>42</v>
      </c>
      <c r="E538" s="24"/>
      <c r="F538" s="24"/>
      <c r="G538" s="24"/>
      <c r="H538" s="80"/>
      <c r="I538" s="24"/>
      <c r="J538" s="80"/>
      <c r="K538" s="24"/>
      <c r="L538" s="95"/>
      <c r="M538" s="24"/>
      <c r="N538" s="119"/>
      <c r="O538" s="24"/>
      <c r="P538" s="95">
        <v>5882.5</v>
      </c>
      <c r="Q538" s="24">
        <f t="shared" si="153"/>
        <v>5882.5</v>
      </c>
      <c r="R538" s="80">
        <v>-3529.5</v>
      </c>
      <c r="S538" s="24">
        <f t="shared" si="111"/>
        <v>2353</v>
      </c>
      <c r="T538" s="83"/>
      <c r="U538" s="24">
        <f t="shared" si="114"/>
        <v>2353</v>
      </c>
      <c r="V538" s="83"/>
      <c r="W538" s="24">
        <f t="shared" si="129"/>
        <v>2353</v>
      </c>
      <c r="X538" s="83"/>
      <c r="Y538" s="24">
        <f t="shared" si="130"/>
        <v>2353</v>
      </c>
      <c r="Z538" s="189"/>
      <c r="AA538" s="189">
        <f>Y538+Z538</f>
        <v>2353</v>
      </c>
    </row>
    <row r="539" spans="1:27" s="6" customFormat="1" x14ac:dyDescent="0.25">
      <c r="A539" s="128" t="s">
        <v>992</v>
      </c>
      <c r="B539" s="20" t="s">
        <v>182</v>
      </c>
      <c r="C539" s="131" t="s">
        <v>1148</v>
      </c>
      <c r="D539" s="21"/>
      <c r="E539" s="24"/>
      <c r="F539" s="24"/>
      <c r="G539" s="24"/>
      <c r="H539" s="80"/>
      <c r="I539" s="24"/>
      <c r="J539" s="80"/>
      <c r="K539" s="24"/>
      <c r="L539" s="95"/>
      <c r="M539" s="24"/>
      <c r="N539" s="119"/>
      <c r="O539" s="24"/>
      <c r="P539" s="79">
        <f t="shared" ref="P539:X539" si="171">P540</f>
        <v>545.6</v>
      </c>
      <c r="Q539" s="24">
        <f t="shared" si="153"/>
        <v>545.6</v>
      </c>
      <c r="R539" s="79">
        <f t="shared" si="171"/>
        <v>-327.39999999999998</v>
      </c>
      <c r="S539" s="24">
        <f t="shared" si="111"/>
        <v>218.20000000000005</v>
      </c>
      <c r="T539" s="79">
        <f t="shared" si="171"/>
        <v>0</v>
      </c>
      <c r="U539" s="24">
        <f t="shared" si="114"/>
        <v>218.20000000000005</v>
      </c>
      <c r="V539" s="79">
        <f t="shared" si="171"/>
        <v>0</v>
      </c>
      <c r="W539" s="24">
        <f t="shared" si="129"/>
        <v>218.20000000000005</v>
      </c>
      <c r="X539" s="79">
        <f t="shared" si="171"/>
        <v>0</v>
      </c>
      <c r="Y539" s="24">
        <f t="shared" si="130"/>
        <v>218.20000000000005</v>
      </c>
      <c r="Z539" s="189"/>
    </row>
    <row r="540" spans="1:27" s="6" customFormat="1" x14ac:dyDescent="0.25">
      <c r="A540" s="30" t="s">
        <v>66</v>
      </c>
      <c r="B540" s="21" t="s">
        <v>182</v>
      </c>
      <c r="C540" s="132" t="s">
        <v>1148</v>
      </c>
      <c r="D540" s="81" t="s">
        <v>42</v>
      </c>
      <c r="E540" s="24"/>
      <c r="F540" s="24"/>
      <c r="G540" s="24"/>
      <c r="H540" s="80"/>
      <c r="I540" s="24"/>
      <c r="J540" s="80"/>
      <c r="K540" s="24"/>
      <c r="L540" s="95"/>
      <c r="M540" s="24"/>
      <c r="N540" s="119"/>
      <c r="O540" s="24"/>
      <c r="P540" s="95">
        <v>545.6</v>
      </c>
      <c r="Q540" s="24">
        <f t="shared" si="153"/>
        <v>545.6</v>
      </c>
      <c r="R540" s="80">
        <v>-327.39999999999998</v>
      </c>
      <c r="S540" s="24">
        <f t="shared" si="111"/>
        <v>218.20000000000005</v>
      </c>
      <c r="T540" s="83"/>
      <c r="U540" s="24">
        <f t="shared" si="114"/>
        <v>218.20000000000005</v>
      </c>
      <c r="V540" s="83"/>
      <c r="W540" s="24">
        <f t="shared" si="129"/>
        <v>218.20000000000005</v>
      </c>
      <c r="X540" s="83"/>
      <c r="Y540" s="24">
        <f t="shared" si="130"/>
        <v>218.20000000000005</v>
      </c>
      <c r="Z540" s="189"/>
      <c r="AA540" s="189">
        <f>Y540+Z540</f>
        <v>218.20000000000005</v>
      </c>
    </row>
    <row r="541" spans="1:27" s="6" customFormat="1" x14ac:dyDescent="0.25">
      <c r="A541" s="128" t="s">
        <v>993</v>
      </c>
      <c r="B541" s="20" t="s">
        <v>182</v>
      </c>
      <c r="C541" s="131" t="s">
        <v>1149</v>
      </c>
      <c r="D541" s="21"/>
      <c r="E541" s="24"/>
      <c r="F541" s="24"/>
      <c r="G541" s="24"/>
      <c r="H541" s="80"/>
      <c r="I541" s="24"/>
      <c r="J541" s="80"/>
      <c r="K541" s="24"/>
      <c r="L541" s="95"/>
      <c r="M541" s="24"/>
      <c r="N541" s="119"/>
      <c r="O541" s="24"/>
      <c r="P541" s="79">
        <f t="shared" ref="P541:X541" si="172">P542</f>
        <v>1025</v>
      </c>
      <c r="Q541" s="24">
        <f t="shared" si="153"/>
        <v>1025</v>
      </c>
      <c r="R541" s="79">
        <f t="shared" si="172"/>
        <v>-615</v>
      </c>
      <c r="S541" s="24">
        <f t="shared" si="111"/>
        <v>410</v>
      </c>
      <c r="T541" s="79">
        <f t="shared" si="172"/>
        <v>0</v>
      </c>
      <c r="U541" s="24">
        <f t="shared" si="114"/>
        <v>410</v>
      </c>
      <c r="V541" s="79">
        <f t="shared" si="172"/>
        <v>0</v>
      </c>
      <c r="W541" s="24">
        <f t="shared" si="129"/>
        <v>410</v>
      </c>
      <c r="X541" s="79">
        <f t="shared" si="172"/>
        <v>0</v>
      </c>
      <c r="Y541" s="24">
        <f t="shared" si="130"/>
        <v>410</v>
      </c>
      <c r="Z541" s="189"/>
    </row>
    <row r="542" spans="1:27" s="6" customFormat="1" x14ac:dyDescent="0.25">
      <c r="A542" s="30" t="s">
        <v>66</v>
      </c>
      <c r="B542" s="21" t="s">
        <v>182</v>
      </c>
      <c r="C542" s="132" t="s">
        <v>1149</v>
      </c>
      <c r="D542" s="81" t="s">
        <v>42</v>
      </c>
      <c r="E542" s="24"/>
      <c r="F542" s="24"/>
      <c r="G542" s="24"/>
      <c r="H542" s="80"/>
      <c r="I542" s="24"/>
      <c r="J542" s="80"/>
      <c r="K542" s="24"/>
      <c r="L542" s="95"/>
      <c r="M542" s="24"/>
      <c r="N542" s="119"/>
      <c r="O542" s="24"/>
      <c r="P542" s="95">
        <v>1025</v>
      </c>
      <c r="Q542" s="24">
        <f t="shared" si="153"/>
        <v>1025</v>
      </c>
      <c r="R542" s="80">
        <v>-615</v>
      </c>
      <c r="S542" s="24">
        <f t="shared" si="111"/>
        <v>410</v>
      </c>
      <c r="T542" s="83"/>
      <c r="U542" s="24">
        <f t="shared" si="114"/>
        <v>410</v>
      </c>
      <c r="V542" s="83"/>
      <c r="W542" s="24">
        <f t="shared" si="129"/>
        <v>410</v>
      </c>
      <c r="X542" s="83"/>
      <c r="Y542" s="24">
        <f t="shared" si="130"/>
        <v>410</v>
      </c>
      <c r="Z542" s="189"/>
      <c r="AA542" s="189">
        <f>Y542+Z542</f>
        <v>410</v>
      </c>
    </row>
    <row r="543" spans="1:27" s="6" customFormat="1" ht="24" x14ac:dyDescent="0.25">
      <c r="A543" s="128" t="s">
        <v>994</v>
      </c>
      <c r="B543" s="20" t="s">
        <v>182</v>
      </c>
      <c r="C543" s="131" t="s">
        <v>1150</v>
      </c>
      <c r="D543" s="21"/>
      <c r="E543" s="24"/>
      <c r="F543" s="24"/>
      <c r="G543" s="24"/>
      <c r="H543" s="80"/>
      <c r="I543" s="24"/>
      <c r="J543" s="80"/>
      <c r="K543" s="24"/>
      <c r="L543" s="95"/>
      <c r="M543" s="24"/>
      <c r="N543" s="119"/>
      <c r="O543" s="24"/>
      <c r="P543" s="79">
        <f t="shared" ref="P543:X543" si="173">P544</f>
        <v>1265</v>
      </c>
      <c r="Q543" s="24">
        <f t="shared" si="153"/>
        <v>1265</v>
      </c>
      <c r="R543" s="79">
        <f t="shared" si="173"/>
        <v>-759</v>
      </c>
      <c r="S543" s="24">
        <f t="shared" si="111"/>
        <v>506</v>
      </c>
      <c r="T543" s="79">
        <f t="shared" si="173"/>
        <v>0</v>
      </c>
      <c r="U543" s="24">
        <f t="shared" si="114"/>
        <v>506</v>
      </c>
      <c r="V543" s="79">
        <f t="shared" si="173"/>
        <v>0</v>
      </c>
      <c r="W543" s="24">
        <f t="shared" si="129"/>
        <v>506</v>
      </c>
      <c r="X543" s="79">
        <f t="shared" si="173"/>
        <v>0</v>
      </c>
      <c r="Y543" s="24">
        <f t="shared" si="130"/>
        <v>506</v>
      </c>
      <c r="Z543" s="189"/>
    </row>
    <row r="544" spans="1:27" s="6" customFormat="1" x14ac:dyDescent="0.25">
      <c r="A544" s="30" t="s">
        <v>66</v>
      </c>
      <c r="B544" s="21" t="s">
        <v>182</v>
      </c>
      <c r="C544" s="132" t="s">
        <v>1150</v>
      </c>
      <c r="D544" s="81" t="s">
        <v>42</v>
      </c>
      <c r="E544" s="24"/>
      <c r="F544" s="24"/>
      <c r="G544" s="24"/>
      <c r="H544" s="80"/>
      <c r="I544" s="24"/>
      <c r="J544" s="80"/>
      <c r="K544" s="24"/>
      <c r="L544" s="95"/>
      <c r="M544" s="24"/>
      <c r="N544" s="119"/>
      <c r="O544" s="24"/>
      <c r="P544" s="95">
        <v>1265</v>
      </c>
      <c r="Q544" s="24">
        <f t="shared" si="153"/>
        <v>1265</v>
      </c>
      <c r="R544" s="80">
        <v>-759</v>
      </c>
      <c r="S544" s="24">
        <f t="shared" si="111"/>
        <v>506</v>
      </c>
      <c r="T544" s="83"/>
      <c r="U544" s="24">
        <f t="shared" si="114"/>
        <v>506</v>
      </c>
      <c r="V544" s="83"/>
      <c r="W544" s="24">
        <f t="shared" si="129"/>
        <v>506</v>
      </c>
      <c r="X544" s="83"/>
      <c r="Y544" s="24">
        <f t="shared" si="130"/>
        <v>506</v>
      </c>
      <c r="Z544" s="189"/>
      <c r="AA544" s="189">
        <f>Y544+Z544</f>
        <v>506</v>
      </c>
    </row>
    <row r="545" spans="1:27" s="6" customFormat="1" ht="24" x14ac:dyDescent="0.25">
      <c r="A545" s="128" t="s">
        <v>996</v>
      </c>
      <c r="B545" s="20" t="s">
        <v>182</v>
      </c>
      <c r="C545" s="131" t="s">
        <v>1152</v>
      </c>
      <c r="D545" s="21"/>
      <c r="E545" s="24"/>
      <c r="F545" s="24"/>
      <c r="G545" s="24"/>
      <c r="H545" s="80"/>
      <c r="I545" s="24"/>
      <c r="J545" s="80"/>
      <c r="K545" s="24"/>
      <c r="L545" s="95"/>
      <c r="M545" s="24"/>
      <c r="N545" s="119"/>
      <c r="O545" s="24"/>
      <c r="P545" s="79">
        <f t="shared" ref="P545:X545" si="174">P546</f>
        <v>286.5</v>
      </c>
      <c r="Q545" s="24">
        <f t="shared" si="153"/>
        <v>286.5</v>
      </c>
      <c r="R545" s="79">
        <f t="shared" si="174"/>
        <v>-171.9</v>
      </c>
      <c r="S545" s="24">
        <f t="shared" si="111"/>
        <v>114.6</v>
      </c>
      <c r="T545" s="79">
        <f t="shared" si="174"/>
        <v>0</v>
      </c>
      <c r="U545" s="24">
        <f t="shared" si="114"/>
        <v>114.6</v>
      </c>
      <c r="V545" s="79">
        <f t="shared" si="174"/>
        <v>0</v>
      </c>
      <c r="W545" s="24">
        <f t="shared" si="129"/>
        <v>114.6</v>
      </c>
      <c r="X545" s="79">
        <f t="shared" si="174"/>
        <v>0</v>
      </c>
      <c r="Y545" s="24">
        <f t="shared" si="130"/>
        <v>114.6</v>
      </c>
      <c r="Z545" s="189"/>
    </row>
    <row r="546" spans="1:27" s="6" customFormat="1" x14ac:dyDescent="0.25">
      <c r="A546" s="30" t="s">
        <v>66</v>
      </c>
      <c r="B546" s="21" t="s">
        <v>182</v>
      </c>
      <c r="C546" s="132" t="s">
        <v>1152</v>
      </c>
      <c r="D546" s="81" t="s">
        <v>42</v>
      </c>
      <c r="E546" s="24"/>
      <c r="F546" s="24"/>
      <c r="G546" s="24"/>
      <c r="H546" s="80"/>
      <c r="I546" s="24"/>
      <c r="J546" s="80"/>
      <c r="K546" s="24"/>
      <c r="L546" s="95"/>
      <c r="M546" s="24"/>
      <c r="N546" s="119"/>
      <c r="O546" s="24"/>
      <c r="P546" s="95">
        <v>286.5</v>
      </c>
      <c r="Q546" s="24">
        <f t="shared" si="153"/>
        <v>286.5</v>
      </c>
      <c r="R546" s="80">
        <v>-171.9</v>
      </c>
      <c r="S546" s="24">
        <f t="shared" si="111"/>
        <v>114.6</v>
      </c>
      <c r="T546" s="83"/>
      <c r="U546" s="24">
        <f t="shared" si="114"/>
        <v>114.6</v>
      </c>
      <c r="V546" s="83"/>
      <c r="W546" s="24">
        <f t="shared" si="129"/>
        <v>114.6</v>
      </c>
      <c r="X546" s="83"/>
      <c r="Y546" s="24">
        <f t="shared" si="130"/>
        <v>114.6</v>
      </c>
      <c r="Z546" s="189"/>
      <c r="AA546" s="189">
        <f>Y546+Z546</f>
        <v>114.6</v>
      </c>
    </row>
    <row r="547" spans="1:27" s="6" customFormat="1" ht="24" x14ac:dyDescent="0.25">
      <c r="A547" s="128" t="s">
        <v>997</v>
      </c>
      <c r="B547" s="20" t="s">
        <v>182</v>
      </c>
      <c r="C547" s="131" t="s">
        <v>1153</v>
      </c>
      <c r="D547" s="21"/>
      <c r="E547" s="24"/>
      <c r="F547" s="24"/>
      <c r="G547" s="24"/>
      <c r="H547" s="80"/>
      <c r="I547" s="24"/>
      <c r="J547" s="80"/>
      <c r="K547" s="24"/>
      <c r="L547" s="95"/>
      <c r="M547" s="24"/>
      <c r="N547" s="119"/>
      <c r="O547" s="24"/>
      <c r="P547" s="79">
        <f t="shared" ref="P547:X547" si="175">P548</f>
        <v>2220</v>
      </c>
      <c r="Q547" s="24">
        <f t="shared" si="153"/>
        <v>2220</v>
      </c>
      <c r="R547" s="79">
        <f t="shared" si="175"/>
        <v>-1332</v>
      </c>
      <c r="S547" s="24">
        <f t="shared" si="111"/>
        <v>888</v>
      </c>
      <c r="T547" s="79">
        <f t="shared" si="175"/>
        <v>0</v>
      </c>
      <c r="U547" s="24">
        <f t="shared" si="114"/>
        <v>888</v>
      </c>
      <c r="V547" s="79">
        <f t="shared" si="175"/>
        <v>0</v>
      </c>
      <c r="W547" s="24">
        <f t="shared" si="129"/>
        <v>888</v>
      </c>
      <c r="X547" s="79">
        <f t="shared" si="175"/>
        <v>0</v>
      </c>
      <c r="Y547" s="24">
        <f t="shared" si="130"/>
        <v>888</v>
      </c>
      <c r="Z547" s="189"/>
    </row>
    <row r="548" spans="1:27" s="6" customFormat="1" x14ac:dyDescent="0.25">
      <c r="A548" s="30" t="s">
        <v>66</v>
      </c>
      <c r="B548" s="21" t="s">
        <v>182</v>
      </c>
      <c r="C548" s="132" t="s">
        <v>1153</v>
      </c>
      <c r="D548" s="81" t="s">
        <v>42</v>
      </c>
      <c r="E548" s="24"/>
      <c r="F548" s="24"/>
      <c r="G548" s="24"/>
      <c r="H548" s="80"/>
      <c r="I548" s="24"/>
      <c r="J548" s="80"/>
      <c r="K548" s="24"/>
      <c r="L548" s="95"/>
      <c r="M548" s="24"/>
      <c r="N548" s="119"/>
      <c r="O548" s="24"/>
      <c r="P548" s="95">
        <v>2220</v>
      </c>
      <c r="Q548" s="24">
        <f t="shared" si="153"/>
        <v>2220</v>
      </c>
      <c r="R548" s="80">
        <v>-1332</v>
      </c>
      <c r="S548" s="24">
        <f t="shared" si="111"/>
        <v>888</v>
      </c>
      <c r="T548" s="83"/>
      <c r="U548" s="24">
        <f t="shared" si="114"/>
        <v>888</v>
      </c>
      <c r="V548" s="83"/>
      <c r="W548" s="24">
        <f t="shared" si="129"/>
        <v>888</v>
      </c>
      <c r="X548" s="83"/>
      <c r="Y548" s="24">
        <f t="shared" si="130"/>
        <v>888</v>
      </c>
      <c r="Z548" s="189"/>
      <c r="AA548" s="189">
        <f>Y548+Z548</f>
        <v>888</v>
      </c>
    </row>
    <row r="549" spans="1:27" s="6" customFormat="1" ht="24" x14ac:dyDescent="0.25">
      <c r="A549" s="128" t="s">
        <v>998</v>
      </c>
      <c r="B549" s="20" t="s">
        <v>182</v>
      </c>
      <c r="C549" s="131" t="s">
        <v>1154</v>
      </c>
      <c r="D549" s="21"/>
      <c r="E549" s="24"/>
      <c r="F549" s="24"/>
      <c r="G549" s="24"/>
      <c r="H549" s="80"/>
      <c r="I549" s="24"/>
      <c r="J549" s="80"/>
      <c r="K549" s="24"/>
      <c r="L549" s="95"/>
      <c r="M549" s="24"/>
      <c r="N549" s="119"/>
      <c r="O549" s="24"/>
      <c r="P549" s="79">
        <f t="shared" ref="P549:X549" si="176">P550</f>
        <v>765</v>
      </c>
      <c r="Q549" s="24">
        <f t="shared" si="153"/>
        <v>765</v>
      </c>
      <c r="R549" s="79">
        <f t="shared" si="176"/>
        <v>-459</v>
      </c>
      <c r="S549" s="24">
        <f t="shared" si="111"/>
        <v>306</v>
      </c>
      <c r="T549" s="79">
        <f t="shared" si="176"/>
        <v>0</v>
      </c>
      <c r="U549" s="24">
        <f t="shared" si="114"/>
        <v>306</v>
      </c>
      <c r="V549" s="79">
        <f t="shared" si="176"/>
        <v>0</v>
      </c>
      <c r="W549" s="24">
        <f t="shared" si="129"/>
        <v>306</v>
      </c>
      <c r="X549" s="79">
        <f t="shared" si="176"/>
        <v>0</v>
      </c>
      <c r="Y549" s="24">
        <f t="shared" si="130"/>
        <v>306</v>
      </c>
      <c r="Z549" s="189"/>
    </row>
    <row r="550" spans="1:27" s="6" customFormat="1" x14ac:dyDescent="0.25">
      <c r="A550" s="30" t="s">
        <v>66</v>
      </c>
      <c r="B550" s="21" t="s">
        <v>182</v>
      </c>
      <c r="C550" s="132" t="s">
        <v>1154</v>
      </c>
      <c r="D550" s="81" t="s">
        <v>42</v>
      </c>
      <c r="E550" s="24"/>
      <c r="F550" s="24"/>
      <c r="G550" s="24"/>
      <c r="H550" s="80"/>
      <c r="I550" s="24"/>
      <c r="J550" s="80"/>
      <c r="K550" s="24"/>
      <c r="L550" s="95"/>
      <c r="M550" s="24"/>
      <c r="N550" s="119"/>
      <c r="O550" s="24"/>
      <c r="P550" s="95">
        <v>765</v>
      </c>
      <c r="Q550" s="24">
        <f t="shared" si="153"/>
        <v>765</v>
      </c>
      <c r="R550" s="80">
        <v>-459</v>
      </c>
      <c r="S550" s="24">
        <f t="shared" si="111"/>
        <v>306</v>
      </c>
      <c r="T550" s="83"/>
      <c r="U550" s="24">
        <f t="shared" si="114"/>
        <v>306</v>
      </c>
      <c r="V550" s="83"/>
      <c r="W550" s="24">
        <f t="shared" si="129"/>
        <v>306</v>
      </c>
      <c r="X550" s="83"/>
      <c r="Y550" s="24">
        <f t="shared" si="130"/>
        <v>306</v>
      </c>
      <c r="Z550" s="189"/>
      <c r="AA550" s="189">
        <f>Y550+Z550</f>
        <v>306</v>
      </c>
    </row>
    <row r="551" spans="1:27" s="6" customFormat="1" ht="24" x14ac:dyDescent="0.25">
      <c r="A551" s="128" t="s">
        <v>999</v>
      </c>
      <c r="B551" s="20" t="s">
        <v>182</v>
      </c>
      <c r="C551" s="131" t="s">
        <v>1155</v>
      </c>
      <c r="D551" s="21"/>
      <c r="E551" s="24"/>
      <c r="F551" s="24"/>
      <c r="G551" s="24"/>
      <c r="H551" s="80"/>
      <c r="I551" s="24"/>
      <c r="J551" s="80"/>
      <c r="K551" s="24"/>
      <c r="L551" s="95"/>
      <c r="M551" s="24"/>
      <c r="N551" s="119"/>
      <c r="O551" s="24"/>
      <c r="P551" s="79">
        <f t="shared" ref="P551:X551" si="177">P552</f>
        <v>500</v>
      </c>
      <c r="Q551" s="24">
        <f t="shared" si="153"/>
        <v>500</v>
      </c>
      <c r="R551" s="79">
        <f t="shared" si="177"/>
        <v>-300</v>
      </c>
      <c r="S551" s="24">
        <f t="shared" si="111"/>
        <v>200</v>
      </c>
      <c r="T551" s="79">
        <f t="shared" si="177"/>
        <v>0</v>
      </c>
      <c r="U551" s="24">
        <f t="shared" si="114"/>
        <v>200</v>
      </c>
      <c r="V551" s="79">
        <f t="shared" si="177"/>
        <v>0</v>
      </c>
      <c r="W551" s="24">
        <f t="shared" si="129"/>
        <v>200</v>
      </c>
      <c r="X551" s="79">
        <f t="shared" si="177"/>
        <v>0</v>
      </c>
      <c r="Y551" s="24">
        <f t="shared" si="130"/>
        <v>200</v>
      </c>
      <c r="Z551" s="189"/>
    </row>
    <row r="552" spans="1:27" s="6" customFormat="1" x14ac:dyDescent="0.25">
      <c r="A552" s="30" t="s">
        <v>66</v>
      </c>
      <c r="B552" s="21" t="s">
        <v>182</v>
      </c>
      <c r="C552" s="132" t="s">
        <v>1155</v>
      </c>
      <c r="D552" s="81" t="s">
        <v>42</v>
      </c>
      <c r="E552" s="24"/>
      <c r="F552" s="24"/>
      <c r="G552" s="24"/>
      <c r="H552" s="80"/>
      <c r="I552" s="24"/>
      <c r="J552" s="80"/>
      <c r="K552" s="24"/>
      <c r="L552" s="95"/>
      <c r="M552" s="24"/>
      <c r="N552" s="119"/>
      <c r="O552" s="24"/>
      <c r="P552" s="95">
        <v>500</v>
      </c>
      <c r="Q552" s="24">
        <f t="shared" si="153"/>
        <v>500</v>
      </c>
      <c r="R552" s="80">
        <v>-300</v>
      </c>
      <c r="S552" s="24">
        <f t="shared" si="111"/>
        <v>200</v>
      </c>
      <c r="T552" s="83"/>
      <c r="U552" s="24">
        <f t="shared" si="114"/>
        <v>200</v>
      </c>
      <c r="V552" s="83"/>
      <c r="W552" s="24">
        <f t="shared" si="129"/>
        <v>200</v>
      </c>
      <c r="X552" s="83"/>
      <c r="Y552" s="24">
        <f t="shared" si="130"/>
        <v>200</v>
      </c>
      <c r="Z552" s="189"/>
      <c r="AA552" s="189">
        <f>Y552+Z552</f>
        <v>200</v>
      </c>
    </row>
    <row r="553" spans="1:27" s="6" customFormat="1" ht="24" x14ac:dyDescent="0.25">
      <c r="A553" s="128" t="s">
        <v>1000</v>
      </c>
      <c r="B553" s="20" t="s">
        <v>182</v>
      </c>
      <c r="C553" s="131" t="s">
        <v>1156</v>
      </c>
      <c r="D553" s="21"/>
      <c r="E553" s="24"/>
      <c r="F553" s="24"/>
      <c r="G553" s="24"/>
      <c r="H553" s="80"/>
      <c r="I553" s="24"/>
      <c r="J553" s="80"/>
      <c r="K553" s="24"/>
      <c r="L553" s="95"/>
      <c r="M553" s="24"/>
      <c r="N553" s="119"/>
      <c r="O553" s="24"/>
      <c r="P553" s="79">
        <f t="shared" ref="P553:X553" si="178">P554</f>
        <v>625</v>
      </c>
      <c r="Q553" s="24">
        <f t="shared" si="153"/>
        <v>625</v>
      </c>
      <c r="R553" s="79">
        <f t="shared" si="178"/>
        <v>-375</v>
      </c>
      <c r="S553" s="24">
        <f t="shared" si="111"/>
        <v>250</v>
      </c>
      <c r="T553" s="79">
        <f t="shared" si="178"/>
        <v>0</v>
      </c>
      <c r="U553" s="24">
        <f t="shared" si="114"/>
        <v>250</v>
      </c>
      <c r="V553" s="79">
        <f t="shared" si="178"/>
        <v>0</v>
      </c>
      <c r="W553" s="24">
        <f t="shared" si="129"/>
        <v>250</v>
      </c>
      <c r="X553" s="79">
        <f t="shared" si="178"/>
        <v>0</v>
      </c>
      <c r="Y553" s="24">
        <f t="shared" si="130"/>
        <v>250</v>
      </c>
      <c r="Z553" s="189"/>
    </row>
    <row r="554" spans="1:27" s="6" customFormat="1" x14ac:dyDescent="0.25">
      <c r="A554" s="30" t="s">
        <v>66</v>
      </c>
      <c r="B554" s="21" t="s">
        <v>182</v>
      </c>
      <c r="C554" s="132" t="s">
        <v>1156</v>
      </c>
      <c r="D554" s="81" t="s">
        <v>42</v>
      </c>
      <c r="E554" s="24"/>
      <c r="F554" s="24"/>
      <c r="G554" s="24"/>
      <c r="H554" s="80"/>
      <c r="I554" s="24"/>
      <c r="J554" s="80"/>
      <c r="K554" s="24"/>
      <c r="L554" s="95"/>
      <c r="M554" s="24"/>
      <c r="N554" s="119"/>
      <c r="O554" s="24"/>
      <c r="P554" s="95">
        <v>625</v>
      </c>
      <c r="Q554" s="24">
        <f t="shared" si="153"/>
        <v>625</v>
      </c>
      <c r="R554" s="80">
        <v>-375</v>
      </c>
      <c r="S554" s="24">
        <f t="shared" si="111"/>
        <v>250</v>
      </c>
      <c r="T554" s="83"/>
      <c r="U554" s="24">
        <f t="shared" si="114"/>
        <v>250</v>
      </c>
      <c r="V554" s="83"/>
      <c r="W554" s="24">
        <f t="shared" si="129"/>
        <v>250</v>
      </c>
      <c r="X554" s="83"/>
      <c r="Y554" s="24">
        <f t="shared" si="130"/>
        <v>250</v>
      </c>
      <c r="Z554" s="189"/>
      <c r="AA554" s="189">
        <f>Y554+Z554</f>
        <v>250</v>
      </c>
    </row>
    <row r="555" spans="1:27" s="6" customFormat="1" x14ac:dyDescent="0.25">
      <c r="A555" s="128" t="s">
        <v>1001</v>
      </c>
      <c r="B555" s="20" t="s">
        <v>182</v>
      </c>
      <c r="C555" s="131" t="s">
        <v>1157</v>
      </c>
      <c r="D555" s="21"/>
      <c r="E555" s="24"/>
      <c r="F555" s="24"/>
      <c r="G555" s="24"/>
      <c r="H555" s="80"/>
      <c r="I555" s="24"/>
      <c r="J555" s="80"/>
      <c r="K555" s="24"/>
      <c r="L555" s="95"/>
      <c r="M555" s="24"/>
      <c r="N555" s="119"/>
      <c r="O555" s="24"/>
      <c r="P555" s="79">
        <f t="shared" ref="P555:X555" si="179">P556</f>
        <v>645</v>
      </c>
      <c r="Q555" s="24">
        <f t="shared" si="153"/>
        <v>645</v>
      </c>
      <c r="R555" s="79">
        <f t="shared" si="179"/>
        <v>-387</v>
      </c>
      <c r="S555" s="24">
        <f t="shared" si="111"/>
        <v>258</v>
      </c>
      <c r="T555" s="79">
        <f t="shared" si="179"/>
        <v>0</v>
      </c>
      <c r="U555" s="24">
        <f t="shared" si="114"/>
        <v>258</v>
      </c>
      <c r="V555" s="79">
        <f t="shared" si="179"/>
        <v>0</v>
      </c>
      <c r="W555" s="24">
        <f t="shared" si="129"/>
        <v>258</v>
      </c>
      <c r="X555" s="79">
        <f t="shared" si="179"/>
        <v>0</v>
      </c>
      <c r="Y555" s="24">
        <f t="shared" si="130"/>
        <v>258</v>
      </c>
      <c r="Z555" s="189"/>
    </row>
    <row r="556" spans="1:27" s="6" customFormat="1" x14ac:dyDescent="0.25">
      <c r="A556" s="30" t="s">
        <v>66</v>
      </c>
      <c r="B556" s="21" t="s">
        <v>182</v>
      </c>
      <c r="C556" s="132" t="s">
        <v>1157</v>
      </c>
      <c r="D556" s="81" t="s">
        <v>42</v>
      </c>
      <c r="E556" s="24"/>
      <c r="F556" s="24"/>
      <c r="G556" s="24"/>
      <c r="H556" s="80"/>
      <c r="I556" s="24"/>
      <c r="J556" s="80"/>
      <c r="K556" s="24"/>
      <c r="L556" s="95"/>
      <c r="M556" s="24"/>
      <c r="N556" s="119"/>
      <c r="O556" s="24"/>
      <c r="P556" s="95">
        <v>645</v>
      </c>
      <c r="Q556" s="24">
        <f t="shared" si="153"/>
        <v>645</v>
      </c>
      <c r="R556" s="80">
        <v>-387</v>
      </c>
      <c r="S556" s="24">
        <f t="shared" si="111"/>
        <v>258</v>
      </c>
      <c r="T556" s="83"/>
      <c r="U556" s="24">
        <f t="shared" si="114"/>
        <v>258</v>
      </c>
      <c r="V556" s="83"/>
      <c r="W556" s="24">
        <f t="shared" si="129"/>
        <v>258</v>
      </c>
      <c r="X556" s="83"/>
      <c r="Y556" s="24">
        <f t="shared" si="130"/>
        <v>258</v>
      </c>
      <c r="Z556" s="189"/>
      <c r="AA556" s="189">
        <f>Y556+Z556</f>
        <v>258</v>
      </c>
    </row>
    <row r="557" spans="1:27" s="6" customFormat="1" ht="24" x14ac:dyDescent="0.25">
      <c r="A557" s="128" t="s">
        <v>1002</v>
      </c>
      <c r="B557" s="20" t="s">
        <v>182</v>
      </c>
      <c r="C557" s="131" t="s">
        <v>1158</v>
      </c>
      <c r="D557" s="21"/>
      <c r="E557" s="24"/>
      <c r="F557" s="24"/>
      <c r="G557" s="24"/>
      <c r="H557" s="80"/>
      <c r="I557" s="24"/>
      <c r="J557" s="80"/>
      <c r="K557" s="24"/>
      <c r="L557" s="95"/>
      <c r="M557" s="24"/>
      <c r="N557" s="119"/>
      <c r="O557" s="24"/>
      <c r="P557" s="79">
        <f t="shared" ref="P557:X557" si="180">P558</f>
        <v>536.9</v>
      </c>
      <c r="Q557" s="24">
        <f t="shared" si="153"/>
        <v>536.9</v>
      </c>
      <c r="R557" s="79">
        <f t="shared" si="180"/>
        <v>-322.10000000000002</v>
      </c>
      <c r="S557" s="24">
        <f t="shared" si="111"/>
        <v>214.79999999999995</v>
      </c>
      <c r="T557" s="79">
        <f t="shared" si="180"/>
        <v>0</v>
      </c>
      <c r="U557" s="24">
        <f t="shared" si="114"/>
        <v>214.79999999999995</v>
      </c>
      <c r="V557" s="79">
        <f t="shared" si="180"/>
        <v>0</v>
      </c>
      <c r="W557" s="24">
        <f t="shared" si="129"/>
        <v>214.79999999999995</v>
      </c>
      <c r="X557" s="79">
        <f t="shared" si="180"/>
        <v>0</v>
      </c>
      <c r="Y557" s="24">
        <f t="shared" si="130"/>
        <v>214.79999999999995</v>
      </c>
      <c r="Z557" s="189"/>
    </row>
    <row r="558" spans="1:27" s="6" customFormat="1" x14ac:dyDescent="0.25">
      <c r="A558" s="30" t="s">
        <v>66</v>
      </c>
      <c r="B558" s="21" t="s">
        <v>182</v>
      </c>
      <c r="C558" s="132" t="s">
        <v>1158</v>
      </c>
      <c r="D558" s="81" t="s">
        <v>42</v>
      </c>
      <c r="E558" s="24"/>
      <c r="F558" s="24"/>
      <c r="G558" s="24"/>
      <c r="H558" s="80"/>
      <c r="I558" s="24"/>
      <c r="J558" s="80"/>
      <c r="K558" s="24"/>
      <c r="L558" s="95"/>
      <c r="M558" s="24"/>
      <c r="N558" s="119"/>
      <c r="O558" s="24"/>
      <c r="P558" s="95">
        <v>536.9</v>
      </c>
      <c r="Q558" s="24">
        <f t="shared" si="153"/>
        <v>536.9</v>
      </c>
      <c r="R558" s="80">
        <v>-322.10000000000002</v>
      </c>
      <c r="S558" s="24">
        <f t="shared" si="111"/>
        <v>214.79999999999995</v>
      </c>
      <c r="T558" s="83"/>
      <c r="U558" s="24">
        <f t="shared" si="114"/>
        <v>214.79999999999995</v>
      </c>
      <c r="V558" s="83"/>
      <c r="W558" s="24">
        <f t="shared" si="129"/>
        <v>214.79999999999995</v>
      </c>
      <c r="X558" s="83"/>
      <c r="Y558" s="24">
        <f t="shared" si="130"/>
        <v>214.79999999999995</v>
      </c>
      <c r="Z558" s="189"/>
      <c r="AA558" s="189">
        <f>Y558+Z558</f>
        <v>214.79999999999995</v>
      </c>
    </row>
    <row r="559" spans="1:27" s="6" customFormat="1" ht="24" x14ac:dyDescent="0.25">
      <c r="A559" s="128" t="s">
        <v>1003</v>
      </c>
      <c r="B559" s="20" t="s">
        <v>182</v>
      </c>
      <c r="C559" s="131" t="s">
        <v>1159</v>
      </c>
      <c r="D559" s="21"/>
      <c r="E559" s="24"/>
      <c r="F559" s="24"/>
      <c r="G559" s="24"/>
      <c r="H559" s="80"/>
      <c r="I559" s="24"/>
      <c r="J559" s="80"/>
      <c r="K559" s="24"/>
      <c r="L559" s="95"/>
      <c r="M559" s="24"/>
      <c r="N559" s="119"/>
      <c r="O559" s="24"/>
      <c r="P559" s="79">
        <f t="shared" ref="P559:X559" si="181">P560</f>
        <v>572.5</v>
      </c>
      <c r="Q559" s="24">
        <f t="shared" ref="Q559:Q622" si="182">O559+P559</f>
        <v>572.5</v>
      </c>
      <c r="R559" s="79">
        <f t="shared" si="181"/>
        <v>-343.5</v>
      </c>
      <c r="S559" s="24">
        <f t="shared" si="111"/>
        <v>229</v>
      </c>
      <c r="T559" s="79">
        <f t="shared" si="181"/>
        <v>0</v>
      </c>
      <c r="U559" s="24">
        <f t="shared" si="114"/>
        <v>229</v>
      </c>
      <c r="V559" s="79">
        <f t="shared" si="181"/>
        <v>0</v>
      </c>
      <c r="W559" s="24">
        <f t="shared" si="129"/>
        <v>229</v>
      </c>
      <c r="X559" s="79">
        <f t="shared" si="181"/>
        <v>0</v>
      </c>
      <c r="Y559" s="24">
        <f t="shared" si="130"/>
        <v>229</v>
      </c>
      <c r="Z559" s="189"/>
    </row>
    <row r="560" spans="1:27" s="6" customFormat="1" x14ac:dyDescent="0.25">
      <c r="A560" s="30" t="s">
        <v>66</v>
      </c>
      <c r="B560" s="21" t="s">
        <v>182</v>
      </c>
      <c r="C560" s="132" t="s">
        <v>1159</v>
      </c>
      <c r="D560" s="81" t="s">
        <v>42</v>
      </c>
      <c r="E560" s="24"/>
      <c r="F560" s="24"/>
      <c r="G560" s="24"/>
      <c r="H560" s="80"/>
      <c r="I560" s="24"/>
      <c r="J560" s="80"/>
      <c r="K560" s="24"/>
      <c r="L560" s="95"/>
      <c r="M560" s="24"/>
      <c r="N560" s="119"/>
      <c r="O560" s="24"/>
      <c r="P560" s="95">
        <v>572.5</v>
      </c>
      <c r="Q560" s="24">
        <f t="shared" si="182"/>
        <v>572.5</v>
      </c>
      <c r="R560" s="80">
        <v>-343.5</v>
      </c>
      <c r="S560" s="24">
        <f t="shared" si="111"/>
        <v>229</v>
      </c>
      <c r="T560" s="83"/>
      <c r="U560" s="24">
        <f t="shared" si="114"/>
        <v>229</v>
      </c>
      <c r="V560" s="83"/>
      <c r="W560" s="24">
        <f t="shared" si="129"/>
        <v>229</v>
      </c>
      <c r="X560" s="83"/>
      <c r="Y560" s="24">
        <f t="shared" si="130"/>
        <v>229</v>
      </c>
      <c r="Z560" s="189"/>
      <c r="AA560" s="189">
        <f>Y560+Z560</f>
        <v>229</v>
      </c>
    </row>
    <row r="561" spans="1:27" s="6" customFormat="1" x14ac:dyDescent="0.25">
      <c r="A561" s="128" t="s">
        <v>1004</v>
      </c>
      <c r="B561" s="20" t="s">
        <v>182</v>
      </c>
      <c r="C561" s="131" t="s">
        <v>1160</v>
      </c>
      <c r="D561" s="21"/>
      <c r="E561" s="24"/>
      <c r="F561" s="24"/>
      <c r="G561" s="24"/>
      <c r="H561" s="80"/>
      <c r="I561" s="24"/>
      <c r="J561" s="80"/>
      <c r="K561" s="24"/>
      <c r="L561" s="95"/>
      <c r="M561" s="24"/>
      <c r="N561" s="119"/>
      <c r="O561" s="24"/>
      <c r="P561" s="79">
        <f t="shared" ref="P561:X561" si="183">P562</f>
        <v>650</v>
      </c>
      <c r="Q561" s="24">
        <f t="shared" si="182"/>
        <v>650</v>
      </c>
      <c r="R561" s="79">
        <f t="shared" si="183"/>
        <v>-390</v>
      </c>
      <c r="S561" s="24">
        <f t="shared" si="111"/>
        <v>260</v>
      </c>
      <c r="T561" s="79">
        <f t="shared" si="183"/>
        <v>0</v>
      </c>
      <c r="U561" s="24">
        <f t="shared" si="114"/>
        <v>260</v>
      </c>
      <c r="V561" s="79">
        <f t="shared" si="183"/>
        <v>0</v>
      </c>
      <c r="W561" s="24">
        <f t="shared" si="129"/>
        <v>260</v>
      </c>
      <c r="X561" s="79">
        <f t="shared" si="183"/>
        <v>0</v>
      </c>
      <c r="Y561" s="24">
        <f t="shared" si="130"/>
        <v>260</v>
      </c>
      <c r="Z561" s="189"/>
    </row>
    <row r="562" spans="1:27" s="6" customFormat="1" x14ac:dyDescent="0.25">
      <c r="A562" s="30" t="s">
        <v>66</v>
      </c>
      <c r="B562" s="21" t="s">
        <v>182</v>
      </c>
      <c r="C562" s="132" t="s">
        <v>1160</v>
      </c>
      <c r="D562" s="81" t="s">
        <v>42</v>
      </c>
      <c r="E562" s="24"/>
      <c r="F562" s="24"/>
      <c r="G562" s="24"/>
      <c r="H562" s="80"/>
      <c r="I562" s="24"/>
      <c r="J562" s="80"/>
      <c r="K562" s="24"/>
      <c r="L562" s="95"/>
      <c r="M562" s="24"/>
      <c r="N562" s="119"/>
      <c r="O562" s="24"/>
      <c r="P562" s="95">
        <v>650</v>
      </c>
      <c r="Q562" s="24">
        <f t="shared" si="182"/>
        <v>650</v>
      </c>
      <c r="R562" s="80">
        <v>-390</v>
      </c>
      <c r="S562" s="24">
        <f t="shared" si="111"/>
        <v>260</v>
      </c>
      <c r="T562" s="83"/>
      <c r="U562" s="24">
        <f t="shared" si="114"/>
        <v>260</v>
      </c>
      <c r="V562" s="83"/>
      <c r="W562" s="24">
        <f t="shared" si="129"/>
        <v>260</v>
      </c>
      <c r="X562" s="83"/>
      <c r="Y562" s="24">
        <f t="shared" si="130"/>
        <v>260</v>
      </c>
      <c r="Z562" s="189"/>
      <c r="AA562" s="189">
        <f>Y562+Z562</f>
        <v>260</v>
      </c>
    </row>
    <row r="563" spans="1:27" s="6" customFormat="1" ht="24" x14ac:dyDescent="0.25">
      <c r="A563" s="128" t="s">
        <v>1005</v>
      </c>
      <c r="B563" s="20" t="s">
        <v>182</v>
      </c>
      <c r="C563" s="131" t="s">
        <v>1161</v>
      </c>
      <c r="D563" s="21"/>
      <c r="E563" s="24"/>
      <c r="F563" s="24"/>
      <c r="G563" s="24"/>
      <c r="H563" s="80"/>
      <c r="I563" s="24"/>
      <c r="J563" s="80"/>
      <c r="K563" s="24"/>
      <c r="L563" s="95"/>
      <c r="M563" s="24"/>
      <c r="N563" s="119"/>
      <c r="O563" s="24"/>
      <c r="P563" s="79">
        <f t="shared" ref="P563:X563" si="184">P564</f>
        <v>375</v>
      </c>
      <c r="Q563" s="24">
        <f t="shared" si="182"/>
        <v>375</v>
      </c>
      <c r="R563" s="79">
        <f t="shared" si="184"/>
        <v>-225</v>
      </c>
      <c r="S563" s="24">
        <f t="shared" si="111"/>
        <v>150</v>
      </c>
      <c r="T563" s="79">
        <f t="shared" si="184"/>
        <v>0</v>
      </c>
      <c r="U563" s="24">
        <f t="shared" si="114"/>
        <v>150</v>
      </c>
      <c r="V563" s="79">
        <f t="shared" si="184"/>
        <v>0</v>
      </c>
      <c r="W563" s="24">
        <f t="shared" si="129"/>
        <v>150</v>
      </c>
      <c r="X563" s="79">
        <f t="shared" si="184"/>
        <v>0</v>
      </c>
      <c r="Y563" s="24">
        <f t="shared" si="130"/>
        <v>150</v>
      </c>
      <c r="Z563" s="189"/>
    </row>
    <row r="564" spans="1:27" s="6" customFormat="1" x14ac:dyDescent="0.25">
      <c r="A564" s="30" t="s">
        <v>66</v>
      </c>
      <c r="B564" s="21" t="s">
        <v>182</v>
      </c>
      <c r="C564" s="132" t="s">
        <v>1161</v>
      </c>
      <c r="D564" s="81" t="s">
        <v>42</v>
      </c>
      <c r="E564" s="24"/>
      <c r="F564" s="24"/>
      <c r="G564" s="24"/>
      <c r="H564" s="80"/>
      <c r="I564" s="24"/>
      <c r="J564" s="80"/>
      <c r="K564" s="24"/>
      <c r="L564" s="95"/>
      <c r="M564" s="24"/>
      <c r="N564" s="119"/>
      <c r="O564" s="24"/>
      <c r="P564" s="95">
        <v>375</v>
      </c>
      <c r="Q564" s="24">
        <f t="shared" si="182"/>
        <v>375</v>
      </c>
      <c r="R564" s="80">
        <v>-225</v>
      </c>
      <c r="S564" s="24">
        <f t="shared" si="111"/>
        <v>150</v>
      </c>
      <c r="T564" s="83"/>
      <c r="U564" s="24">
        <f t="shared" si="114"/>
        <v>150</v>
      </c>
      <c r="V564" s="83"/>
      <c r="W564" s="24">
        <f t="shared" si="129"/>
        <v>150</v>
      </c>
      <c r="X564" s="83"/>
      <c r="Y564" s="24">
        <f t="shared" si="130"/>
        <v>150</v>
      </c>
      <c r="Z564" s="189"/>
      <c r="AA564" s="189">
        <f>Y564+Z564</f>
        <v>150</v>
      </c>
    </row>
    <row r="565" spans="1:27" s="6" customFormat="1" ht="24" x14ac:dyDescent="0.25">
      <c r="A565" s="128" t="s">
        <v>1006</v>
      </c>
      <c r="B565" s="20" t="s">
        <v>182</v>
      </c>
      <c r="C565" s="131" t="s">
        <v>1162</v>
      </c>
      <c r="D565" s="21"/>
      <c r="E565" s="24"/>
      <c r="F565" s="24"/>
      <c r="G565" s="24"/>
      <c r="H565" s="80"/>
      <c r="I565" s="24"/>
      <c r="J565" s="80"/>
      <c r="K565" s="24"/>
      <c r="L565" s="95"/>
      <c r="M565" s="24"/>
      <c r="N565" s="119"/>
      <c r="O565" s="24"/>
      <c r="P565" s="79">
        <f t="shared" ref="P565:X565" si="185">P566</f>
        <v>720</v>
      </c>
      <c r="Q565" s="24">
        <f t="shared" si="182"/>
        <v>720</v>
      </c>
      <c r="R565" s="79">
        <f t="shared" si="185"/>
        <v>-432</v>
      </c>
      <c r="S565" s="24">
        <f t="shared" si="111"/>
        <v>288</v>
      </c>
      <c r="T565" s="79">
        <f t="shared" si="185"/>
        <v>0</v>
      </c>
      <c r="U565" s="24">
        <f t="shared" si="114"/>
        <v>288</v>
      </c>
      <c r="V565" s="79">
        <f t="shared" si="185"/>
        <v>0</v>
      </c>
      <c r="W565" s="24">
        <f t="shared" si="129"/>
        <v>288</v>
      </c>
      <c r="X565" s="79">
        <f t="shared" si="185"/>
        <v>0</v>
      </c>
      <c r="Y565" s="24">
        <f t="shared" si="130"/>
        <v>288</v>
      </c>
      <c r="Z565" s="189"/>
    </row>
    <row r="566" spans="1:27" s="6" customFormat="1" x14ac:dyDescent="0.25">
      <c r="A566" s="30" t="s">
        <v>66</v>
      </c>
      <c r="B566" s="21" t="s">
        <v>182</v>
      </c>
      <c r="C566" s="132" t="s">
        <v>1162</v>
      </c>
      <c r="D566" s="81" t="s">
        <v>42</v>
      </c>
      <c r="E566" s="24"/>
      <c r="F566" s="24"/>
      <c r="G566" s="24"/>
      <c r="H566" s="80"/>
      <c r="I566" s="24"/>
      <c r="J566" s="80"/>
      <c r="K566" s="24"/>
      <c r="L566" s="95"/>
      <c r="M566" s="24"/>
      <c r="N566" s="119"/>
      <c r="O566" s="24"/>
      <c r="P566" s="95">
        <v>720</v>
      </c>
      <c r="Q566" s="24">
        <f t="shared" si="182"/>
        <v>720</v>
      </c>
      <c r="R566" s="80">
        <v>-432</v>
      </c>
      <c r="S566" s="24">
        <f t="shared" si="111"/>
        <v>288</v>
      </c>
      <c r="T566" s="83"/>
      <c r="U566" s="24">
        <f t="shared" si="114"/>
        <v>288</v>
      </c>
      <c r="V566" s="83"/>
      <c r="W566" s="24">
        <f t="shared" si="129"/>
        <v>288</v>
      </c>
      <c r="X566" s="83"/>
      <c r="Y566" s="24">
        <f t="shared" si="130"/>
        <v>288</v>
      </c>
      <c r="Z566" s="189"/>
      <c r="AA566" s="189">
        <f>Y566+Z566</f>
        <v>288</v>
      </c>
    </row>
    <row r="567" spans="1:27" s="6" customFormat="1" ht="24" x14ac:dyDescent="0.25">
      <c r="A567" s="128" t="s">
        <v>1007</v>
      </c>
      <c r="B567" s="20" t="s">
        <v>182</v>
      </c>
      <c r="C567" s="131" t="s">
        <v>1163</v>
      </c>
      <c r="D567" s="21"/>
      <c r="E567" s="24"/>
      <c r="F567" s="24"/>
      <c r="G567" s="24"/>
      <c r="H567" s="80"/>
      <c r="I567" s="24"/>
      <c r="J567" s="80"/>
      <c r="K567" s="24"/>
      <c r="L567" s="95"/>
      <c r="M567" s="24"/>
      <c r="N567" s="119"/>
      <c r="O567" s="24"/>
      <c r="P567" s="79">
        <f t="shared" ref="P567:X567" si="186">P568</f>
        <v>510.4</v>
      </c>
      <c r="Q567" s="24">
        <f t="shared" si="182"/>
        <v>510.4</v>
      </c>
      <c r="R567" s="79">
        <f t="shared" si="186"/>
        <v>-306.2</v>
      </c>
      <c r="S567" s="24">
        <f t="shared" si="111"/>
        <v>204.2</v>
      </c>
      <c r="T567" s="79">
        <f t="shared" si="186"/>
        <v>0</v>
      </c>
      <c r="U567" s="24">
        <f t="shared" si="114"/>
        <v>204.2</v>
      </c>
      <c r="V567" s="79">
        <f t="shared" si="186"/>
        <v>0</v>
      </c>
      <c r="W567" s="24">
        <f t="shared" si="129"/>
        <v>204.2</v>
      </c>
      <c r="X567" s="79">
        <f t="shared" si="186"/>
        <v>0</v>
      </c>
      <c r="Y567" s="24">
        <f t="shared" si="130"/>
        <v>204.2</v>
      </c>
      <c r="Z567" s="189"/>
    </row>
    <row r="568" spans="1:27" s="6" customFormat="1" x14ac:dyDescent="0.25">
      <c r="A568" s="30" t="s">
        <v>66</v>
      </c>
      <c r="B568" s="21" t="s">
        <v>182</v>
      </c>
      <c r="C568" s="132" t="s">
        <v>1163</v>
      </c>
      <c r="D568" s="81" t="s">
        <v>42</v>
      </c>
      <c r="E568" s="24"/>
      <c r="F568" s="24"/>
      <c r="G568" s="24"/>
      <c r="H568" s="80"/>
      <c r="I568" s="24"/>
      <c r="J568" s="80"/>
      <c r="K568" s="24"/>
      <c r="L568" s="95"/>
      <c r="M568" s="24"/>
      <c r="N568" s="119"/>
      <c r="O568" s="24"/>
      <c r="P568" s="95">
        <v>510.4</v>
      </c>
      <c r="Q568" s="24">
        <f t="shared" si="182"/>
        <v>510.4</v>
      </c>
      <c r="R568" s="80">
        <v>-306.2</v>
      </c>
      <c r="S568" s="24">
        <f t="shared" si="111"/>
        <v>204.2</v>
      </c>
      <c r="T568" s="83"/>
      <c r="U568" s="24">
        <f t="shared" si="114"/>
        <v>204.2</v>
      </c>
      <c r="V568" s="83"/>
      <c r="W568" s="24">
        <f t="shared" si="129"/>
        <v>204.2</v>
      </c>
      <c r="X568" s="83"/>
      <c r="Y568" s="24">
        <f t="shared" si="130"/>
        <v>204.2</v>
      </c>
      <c r="Z568" s="189"/>
      <c r="AA568" s="189">
        <f>Y568+Z568</f>
        <v>204.2</v>
      </c>
    </row>
    <row r="569" spans="1:27" s="6" customFormat="1" ht="24" x14ac:dyDescent="0.25">
      <c r="A569" s="128" t="s">
        <v>1008</v>
      </c>
      <c r="B569" s="20" t="s">
        <v>182</v>
      </c>
      <c r="C569" s="131" t="s">
        <v>1164</v>
      </c>
      <c r="D569" s="21"/>
      <c r="E569" s="24"/>
      <c r="F569" s="24"/>
      <c r="G569" s="24"/>
      <c r="H569" s="80"/>
      <c r="I569" s="24"/>
      <c r="J569" s="80"/>
      <c r="K569" s="24"/>
      <c r="L569" s="95"/>
      <c r="M569" s="24"/>
      <c r="N569" s="119"/>
      <c r="O569" s="24"/>
      <c r="P569" s="79">
        <f t="shared" ref="P569:X569" si="187">P570</f>
        <v>311.3</v>
      </c>
      <c r="Q569" s="24">
        <f t="shared" si="182"/>
        <v>311.3</v>
      </c>
      <c r="R569" s="79">
        <f t="shared" si="187"/>
        <v>-186.8</v>
      </c>
      <c r="S569" s="24">
        <f t="shared" si="111"/>
        <v>124.5</v>
      </c>
      <c r="T569" s="79">
        <f t="shared" si="187"/>
        <v>0</v>
      </c>
      <c r="U569" s="24">
        <f t="shared" si="114"/>
        <v>124.5</v>
      </c>
      <c r="V569" s="79">
        <f t="shared" si="187"/>
        <v>0</v>
      </c>
      <c r="W569" s="24">
        <f t="shared" si="129"/>
        <v>124.5</v>
      </c>
      <c r="X569" s="79">
        <f t="shared" si="187"/>
        <v>0</v>
      </c>
      <c r="Y569" s="24">
        <f t="shared" si="130"/>
        <v>124.5</v>
      </c>
      <c r="Z569" s="189"/>
    </row>
    <row r="570" spans="1:27" s="6" customFormat="1" x14ac:dyDescent="0.25">
      <c r="A570" s="30" t="s">
        <v>66</v>
      </c>
      <c r="B570" s="21" t="s">
        <v>182</v>
      </c>
      <c r="C570" s="132" t="s">
        <v>1164</v>
      </c>
      <c r="D570" s="81" t="s">
        <v>42</v>
      </c>
      <c r="E570" s="24"/>
      <c r="F570" s="24"/>
      <c r="G570" s="24"/>
      <c r="H570" s="80"/>
      <c r="I570" s="24"/>
      <c r="J570" s="80"/>
      <c r="K570" s="24"/>
      <c r="L570" s="95"/>
      <c r="M570" s="24"/>
      <c r="N570" s="119"/>
      <c r="O570" s="24"/>
      <c r="P570" s="95">
        <v>311.3</v>
      </c>
      <c r="Q570" s="24">
        <f t="shared" si="182"/>
        <v>311.3</v>
      </c>
      <c r="R570" s="80">
        <v>-186.8</v>
      </c>
      <c r="S570" s="24">
        <f t="shared" si="111"/>
        <v>124.5</v>
      </c>
      <c r="T570" s="83"/>
      <c r="U570" s="24">
        <f t="shared" si="114"/>
        <v>124.5</v>
      </c>
      <c r="V570" s="83"/>
      <c r="W570" s="24">
        <f t="shared" si="129"/>
        <v>124.5</v>
      </c>
      <c r="X570" s="83"/>
      <c r="Y570" s="24">
        <f t="shared" si="130"/>
        <v>124.5</v>
      </c>
      <c r="Z570" s="189"/>
      <c r="AA570" s="189">
        <f>Y570+Z570</f>
        <v>124.5</v>
      </c>
    </row>
    <row r="571" spans="1:27" s="6" customFormat="1" x14ac:dyDescent="0.25">
      <c r="A571" s="128" t="s">
        <v>1009</v>
      </c>
      <c r="B571" s="20" t="s">
        <v>182</v>
      </c>
      <c r="C571" s="131" t="s">
        <v>1165</v>
      </c>
      <c r="D571" s="21"/>
      <c r="E571" s="24"/>
      <c r="F571" s="24"/>
      <c r="G571" s="24"/>
      <c r="H571" s="80"/>
      <c r="I571" s="24"/>
      <c r="J571" s="80"/>
      <c r="K571" s="24"/>
      <c r="L571" s="95"/>
      <c r="M571" s="24"/>
      <c r="N571" s="119"/>
      <c r="O571" s="24"/>
      <c r="P571" s="79">
        <f t="shared" ref="P571:X571" si="188">P572</f>
        <v>1400</v>
      </c>
      <c r="Q571" s="24">
        <f t="shared" si="182"/>
        <v>1400</v>
      </c>
      <c r="R571" s="79">
        <f t="shared" si="188"/>
        <v>-840</v>
      </c>
      <c r="S571" s="24">
        <f t="shared" si="111"/>
        <v>560</v>
      </c>
      <c r="T571" s="79">
        <f t="shared" si="188"/>
        <v>0</v>
      </c>
      <c r="U571" s="24">
        <f t="shared" si="114"/>
        <v>560</v>
      </c>
      <c r="V571" s="79">
        <f t="shared" si="188"/>
        <v>0</v>
      </c>
      <c r="W571" s="24">
        <f t="shared" si="129"/>
        <v>560</v>
      </c>
      <c r="X571" s="79">
        <f t="shared" si="188"/>
        <v>0</v>
      </c>
      <c r="Y571" s="24">
        <f t="shared" si="130"/>
        <v>560</v>
      </c>
      <c r="Z571" s="189"/>
    </row>
    <row r="572" spans="1:27" s="6" customFormat="1" x14ac:dyDescent="0.25">
      <c r="A572" s="30" t="s">
        <v>66</v>
      </c>
      <c r="B572" s="21" t="s">
        <v>182</v>
      </c>
      <c r="C572" s="132" t="s">
        <v>1165</v>
      </c>
      <c r="D572" s="81" t="s">
        <v>42</v>
      </c>
      <c r="E572" s="24"/>
      <c r="F572" s="24"/>
      <c r="G572" s="24"/>
      <c r="H572" s="80"/>
      <c r="I572" s="24"/>
      <c r="J572" s="80"/>
      <c r="K572" s="24"/>
      <c r="L572" s="95"/>
      <c r="M572" s="24"/>
      <c r="N572" s="119"/>
      <c r="O572" s="24"/>
      <c r="P572" s="95">
        <v>1400</v>
      </c>
      <c r="Q572" s="24">
        <f t="shared" si="182"/>
        <v>1400</v>
      </c>
      <c r="R572" s="80">
        <v>-840</v>
      </c>
      <c r="S572" s="24">
        <f t="shared" si="111"/>
        <v>560</v>
      </c>
      <c r="T572" s="83"/>
      <c r="U572" s="24">
        <f t="shared" si="114"/>
        <v>560</v>
      </c>
      <c r="V572" s="83"/>
      <c r="W572" s="24">
        <f t="shared" si="129"/>
        <v>560</v>
      </c>
      <c r="X572" s="83"/>
      <c r="Y572" s="24">
        <f t="shared" si="130"/>
        <v>560</v>
      </c>
      <c r="Z572" s="189"/>
      <c r="AA572" s="189">
        <f>Y572+Z572</f>
        <v>560</v>
      </c>
    </row>
    <row r="573" spans="1:27" s="6" customFormat="1" ht="24" x14ac:dyDescent="0.25">
      <c r="A573" s="128" t="s">
        <v>1010</v>
      </c>
      <c r="B573" s="20" t="s">
        <v>182</v>
      </c>
      <c r="C573" s="131" t="s">
        <v>1166</v>
      </c>
      <c r="D573" s="21"/>
      <c r="E573" s="24"/>
      <c r="F573" s="24"/>
      <c r="G573" s="24"/>
      <c r="H573" s="80"/>
      <c r="I573" s="24"/>
      <c r="J573" s="80"/>
      <c r="K573" s="24"/>
      <c r="L573" s="95"/>
      <c r="M573" s="24"/>
      <c r="N573" s="119"/>
      <c r="O573" s="24"/>
      <c r="P573" s="79">
        <f t="shared" ref="P573:X573" si="189">P574</f>
        <v>702.5</v>
      </c>
      <c r="Q573" s="24">
        <f t="shared" si="182"/>
        <v>702.5</v>
      </c>
      <c r="R573" s="79">
        <f t="shared" si="189"/>
        <v>-421.5</v>
      </c>
      <c r="S573" s="24">
        <f t="shared" si="111"/>
        <v>281</v>
      </c>
      <c r="T573" s="79">
        <f t="shared" si="189"/>
        <v>0</v>
      </c>
      <c r="U573" s="24">
        <f t="shared" si="114"/>
        <v>281</v>
      </c>
      <c r="V573" s="79">
        <f t="shared" si="189"/>
        <v>0</v>
      </c>
      <c r="W573" s="24">
        <f t="shared" si="129"/>
        <v>281</v>
      </c>
      <c r="X573" s="79">
        <f t="shared" si="189"/>
        <v>0</v>
      </c>
      <c r="Y573" s="24">
        <f t="shared" si="130"/>
        <v>281</v>
      </c>
      <c r="Z573" s="189"/>
    </row>
    <row r="574" spans="1:27" s="6" customFormat="1" x14ac:dyDescent="0.25">
      <c r="A574" s="30" t="s">
        <v>66</v>
      </c>
      <c r="B574" s="21" t="s">
        <v>182</v>
      </c>
      <c r="C574" s="132" t="s">
        <v>1166</v>
      </c>
      <c r="D574" s="81" t="s">
        <v>42</v>
      </c>
      <c r="E574" s="24"/>
      <c r="F574" s="24"/>
      <c r="G574" s="24"/>
      <c r="H574" s="80"/>
      <c r="I574" s="24"/>
      <c r="J574" s="80"/>
      <c r="K574" s="24"/>
      <c r="L574" s="95"/>
      <c r="M574" s="24"/>
      <c r="N574" s="119"/>
      <c r="O574" s="24"/>
      <c r="P574" s="95">
        <v>702.5</v>
      </c>
      <c r="Q574" s="24">
        <f t="shared" si="182"/>
        <v>702.5</v>
      </c>
      <c r="R574" s="80">
        <v>-421.5</v>
      </c>
      <c r="S574" s="24">
        <f t="shared" si="111"/>
        <v>281</v>
      </c>
      <c r="T574" s="83"/>
      <c r="U574" s="24">
        <f t="shared" si="114"/>
        <v>281</v>
      </c>
      <c r="V574" s="83"/>
      <c r="W574" s="24">
        <f t="shared" si="129"/>
        <v>281</v>
      </c>
      <c r="X574" s="83"/>
      <c r="Y574" s="24">
        <f t="shared" si="130"/>
        <v>281</v>
      </c>
      <c r="Z574" s="189"/>
      <c r="AA574" s="189">
        <f>Y574+Z574</f>
        <v>281</v>
      </c>
    </row>
    <row r="575" spans="1:27" s="6" customFormat="1" ht="24" x14ac:dyDescent="0.25">
      <c r="A575" s="128" t="s">
        <v>1011</v>
      </c>
      <c r="B575" s="20" t="s">
        <v>182</v>
      </c>
      <c r="C575" s="131" t="s">
        <v>1167</v>
      </c>
      <c r="D575" s="21"/>
      <c r="E575" s="24"/>
      <c r="F575" s="24"/>
      <c r="G575" s="24"/>
      <c r="H575" s="80"/>
      <c r="I575" s="24"/>
      <c r="J575" s="80"/>
      <c r="K575" s="24"/>
      <c r="L575" s="95"/>
      <c r="M575" s="24"/>
      <c r="N575" s="119"/>
      <c r="O575" s="24"/>
      <c r="P575" s="79">
        <f t="shared" ref="P575:X575" si="190">P576</f>
        <v>540</v>
      </c>
      <c r="Q575" s="24">
        <f t="shared" si="182"/>
        <v>540</v>
      </c>
      <c r="R575" s="79">
        <f t="shared" si="190"/>
        <v>-324</v>
      </c>
      <c r="S575" s="24">
        <f t="shared" si="111"/>
        <v>216</v>
      </c>
      <c r="T575" s="79">
        <f t="shared" si="190"/>
        <v>0</v>
      </c>
      <c r="U575" s="24">
        <f t="shared" si="114"/>
        <v>216</v>
      </c>
      <c r="V575" s="79">
        <f t="shared" si="190"/>
        <v>0</v>
      </c>
      <c r="W575" s="24">
        <f t="shared" si="129"/>
        <v>216</v>
      </c>
      <c r="X575" s="79">
        <f t="shared" si="190"/>
        <v>0</v>
      </c>
      <c r="Y575" s="24">
        <f t="shared" si="130"/>
        <v>216</v>
      </c>
      <c r="Z575" s="189"/>
    </row>
    <row r="576" spans="1:27" s="6" customFormat="1" x14ac:dyDescent="0.25">
      <c r="A576" s="30" t="s">
        <v>66</v>
      </c>
      <c r="B576" s="21" t="s">
        <v>182</v>
      </c>
      <c r="C576" s="132" t="s">
        <v>1167</v>
      </c>
      <c r="D576" s="81" t="s">
        <v>42</v>
      </c>
      <c r="E576" s="24"/>
      <c r="F576" s="24"/>
      <c r="G576" s="24"/>
      <c r="H576" s="80"/>
      <c r="I576" s="24"/>
      <c r="J576" s="80"/>
      <c r="K576" s="24"/>
      <c r="L576" s="95"/>
      <c r="M576" s="24"/>
      <c r="N576" s="119"/>
      <c r="O576" s="24"/>
      <c r="P576" s="95">
        <v>540</v>
      </c>
      <c r="Q576" s="24">
        <f t="shared" si="182"/>
        <v>540</v>
      </c>
      <c r="R576" s="80">
        <v>-324</v>
      </c>
      <c r="S576" s="24">
        <f t="shared" si="111"/>
        <v>216</v>
      </c>
      <c r="T576" s="83"/>
      <c r="U576" s="24">
        <f t="shared" si="114"/>
        <v>216</v>
      </c>
      <c r="V576" s="83"/>
      <c r="W576" s="24">
        <f t="shared" si="129"/>
        <v>216</v>
      </c>
      <c r="X576" s="83"/>
      <c r="Y576" s="24">
        <f t="shared" si="130"/>
        <v>216</v>
      </c>
      <c r="Z576" s="189"/>
      <c r="AA576" s="189">
        <f>Y576+Z576</f>
        <v>216</v>
      </c>
    </row>
    <row r="577" spans="1:27" s="6" customFormat="1" ht="36" x14ac:dyDescent="0.25">
      <c r="A577" s="128" t="s">
        <v>1012</v>
      </c>
      <c r="B577" s="20" t="s">
        <v>182</v>
      </c>
      <c r="C577" s="131" t="s">
        <v>1168</v>
      </c>
      <c r="D577" s="21"/>
      <c r="E577" s="24"/>
      <c r="F577" s="24"/>
      <c r="G577" s="24"/>
      <c r="H577" s="80"/>
      <c r="I577" s="24"/>
      <c r="J577" s="80"/>
      <c r="K577" s="24"/>
      <c r="L577" s="95"/>
      <c r="M577" s="24"/>
      <c r="N577" s="119"/>
      <c r="O577" s="24"/>
      <c r="P577" s="79">
        <f t="shared" ref="P577:X577" si="191">P578</f>
        <v>357.5</v>
      </c>
      <c r="Q577" s="24">
        <f t="shared" si="182"/>
        <v>357.5</v>
      </c>
      <c r="R577" s="79">
        <f t="shared" si="191"/>
        <v>-214.5</v>
      </c>
      <c r="S577" s="24">
        <f t="shared" si="111"/>
        <v>143</v>
      </c>
      <c r="T577" s="79">
        <f t="shared" si="191"/>
        <v>0</v>
      </c>
      <c r="U577" s="24">
        <f t="shared" si="114"/>
        <v>143</v>
      </c>
      <c r="V577" s="79">
        <f t="shared" si="191"/>
        <v>0</v>
      </c>
      <c r="W577" s="24">
        <f t="shared" si="129"/>
        <v>143</v>
      </c>
      <c r="X577" s="79">
        <f t="shared" si="191"/>
        <v>0</v>
      </c>
      <c r="Y577" s="24">
        <f t="shared" si="130"/>
        <v>143</v>
      </c>
      <c r="Z577" s="189"/>
    </row>
    <row r="578" spans="1:27" s="6" customFormat="1" x14ac:dyDescent="0.25">
      <c r="A578" s="30" t="s">
        <v>66</v>
      </c>
      <c r="B578" s="21" t="s">
        <v>182</v>
      </c>
      <c r="C578" s="132" t="s">
        <v>1168</v>
      </c>
      <c r="D578" s="81" t="s">
        <v>42</v>
      </c>
      <c r="E578" s="24"/>
      <c r="F578" s="24"/>
      <c r="G578" s="24"/>
      <c r="H578" s="80"/>
      <c r="I578" s="24"/>
      <c r="J578" s="80"/>
      <c r="K578" s="24"/>
      <c r="L578" s="95"/>
      <c r="M578" s="24"/>
      <c r="N578" s="119"/>
      <c r="O578" s="24"/>
      <c r="P578" s="95">
        <v>357.5</v>
      </c>
      <c r="Q578" s="24">
        <f t="shared" si="182"/>
        <v>357.5</v>
      </c>
      <c r="R578" s="80">
        <v>-214.5</v>
      </c>
      <c r="S578" s="24">
        <f t="shared" si="111"/>
        <v>143</v>
      </c>
      <c r="T578" s="83"/>
      <c r="U578" s="24">
        <f t="shared" si="114"/>
        <v>143</v>
      </c>
      <c r="V578" s="83"/>
      <c r="W578" s="24">
        <f t="shared" si="129"/>
        <v>143</v>
      </c>
      <c r="X578" s="83"/>
      <c r="Y578" s="24">
        <f t="shared" si="130"/>
        <v>143</v>
      </c>
      <c r="Z578" s="189"/>
      <c r="AA578" s="189">
        <f>Y578+Z578</f>
        <v>143</v>
      </c>
    </row>
    <row r="579" spans="1:27" s="6" customFormat="1" ht="24" x14ac:dyDescent="0.25">
      <c r="A579" s="128" t="s">
        <v>1013</v>
      </c>
      <c r="B579" s="20" t="s">
        <v>182</v>
      </c>
      <c r="C579" s="131" t="s">
        <v>1169</v>
      </c>
      <c r="D579" s="21"/>
      <c r="E579" s="24"/>
      <c r="F579" s="24"/>
      <c r="G579" s="24"/>
      <c r="H579" s="80"/>
      <c r="I579" s="24"/>
      <c r="J579" s="80"/>
      <c r="K579" s="24"/>
      <c r="L579" s="95"/>
      <c r="M579" s="24"/>
      <c r="N579" s="119"/>
      <c r="O579" s="24"/>
      <c r="P579" s="79">
        <f t="shared" ref="P579:X579" si="192">P580</f>
        <v>650</v>
      </c>
      <c r="Q579" s="24">
        <f t="shared" si="182"/>
        <v>650</v>
      </c>
      <c r="R579" s="79">
        <f t="shared" si="192"/>
        <v>-390</v>
      </c>
      <c r="S579" s="24">
        <f t="shared" si="111"/>
        <v>260</v>
      </c>
      <c r="T579" s="79">
        <f t="shared" si="192"/>
        <v>0</v>
      </c>
      <c r="U579" s="24">
        <f t="shared" si="114"/>
        <v>260</v>
      </c>
      <c r="V579" s="79">
        <f t="shared" si="192"/>
        <v>0</v>
      </c>
      <c r="W579" s="24">
        <f t="shared" si="129"/>
        <v>260</v>
      </c>
      <c r="X579" s="79">
        <f t="shared" si="192"/>
        <v>0</v>
      </c>
      <c r="Y579" s="24">
        <f t="shared" si="130"/>
        <v>260</v>
      </c>
      <c r="Z579" s="189"/>
    </row>
    <row r="580" spans="1:27" s="6" customFormat="1" x14ac:dyDescent="0.25">
      <c r="A580" s="30" t="s">
        <v>66</v>
      </c>
      <c r="B580" s="21" t="s">
        <v>182</v>
      </c>
      <c r="C580" s="132" t="s">
        <v>1169</v>
      </c>
      <c r="D580" s="81" t="s">
        <v>42</v>
      </c>
      <c r="E580" s="24"/>
      <c r="F580" s="24"/>
      <c r="G580" s="24"/>
      <c r="H580" s="80"/>
      <c r="I580" s="24"/>
      <c r="J580" s="80"/>
      <c r="K580" s="24"/>
      <c r="L580" s="95"/>
      <c r="M580" s="24"/>
      <c r="N580" s="119"/>
      <c r="O580" s="24"/>
      <c r="P580" s="95">
        <v>650</v>
      </c>
      <c r="Q580" s="24">
        <f t="shared" si="182"/>
        <v>650</v>
      </c>
      <c r="R580" s="80">
        <v>-390</v>
      </c>
      <c r="S580" s="24">
        <f t="shared" si="111"/>
        <v>260</v>
      </c>
      <c r="T580" s="83"/>
      <c r="U580" s="24">
        <f t="shared" si="114"/>
        <v>260</v>
      </c>
      <c r="V580" s="83"/>
      <c r="W580" s="24">
        <f t="shared" si="129"/>
        <v>260</v>
      </c>
      <c r="X580" s="83"/>
      <c r="Y580" s="24">
        <f t="shared" si="130"/>
        <v>260</v>
      </c>
      <c r="Z580" s="189"/>
      <c r="AA580" s="189">
        <f>Y580+Z580</f>
        <v>260</v>
      </c>
    </row>
    <row r="581" spans="1:27" s="6" customFormat="1" x14ac:dyDescent="0.25">
      <c r="A581" s="128" t="s">
        <v>1014</v>
      </c>
      <c r="B581" s="20" t="s">
        <v>182</v>
      </c>
      <c r="C581" s="131" t="s">
        <v>1170</v>
      </c>
      <c r="D581" s="21"/>
      <c r="E581" s="24"/>
      <c r="F581" s="24"/>
      <c r="G581" s="24"/>
      <c r="H581" s="80"/>
      <c r="I581" s="24"/>
      <c r="J581" s="80"/>
      <c r="K581" s="24"/>
      <c r="L581" s="95"/>
      <c r="M581" s="24"/>
      <c r="N581" s="119"/>
      <c r="O581" s="24"/>
      <c r="P581" s="79">
        <f t="shared" ref="P581:X581" si="193">P582</f>
        <v>650</v>
      </c>
      <c r="Q581" s="24">
        <f t="shared" si="182"/>
        <v>650</v>
      </c>
      <c r="R581" s="79">
        <f t="shared" si="193"/>
        <v>-390</v>
      </c>
      <c r="S581" s="24">
        <f t="shared" si="111"/>
        <v>260</v>
      </c>
      <c r="T581" s="79">
        <f t="shared" si="193"/>
        <v>0</v>
      </c>
      <c r="U581" s="24">
        <f t="shared" si="114"/>
        <v>260</v>
      </c>
      <c r="V581" s="79">
        <f t="shared" si="193"/>
        <v>0</v>
      </c>
      <c r="W581" s="24">
        <f t="shared" si="129"/>
        <v>260</v>
      </c>
      <c r="X581" s="79">
        <f t="shared" si="193"/>
        <v>0</v>
      </c>
      <c r="Y581" s="24">
        <f t="shared" si="130"/>
        <v>260</v>
      </c>
      <c r="Z581" s="189"/>
    </row>
    <row r="582" spans="1:27" s="6" customFormat="1" x14ac:dyDescent="0.25">
      <c r="A582" s="30" t="s">
        <v>66</v>
      </c>
      <c r="B582" s="21" t="s">
        <v>182</v>
      </c>
      <c r="C582" s="132" t="s">
        <v>1170</v>
      </c>
      <c r="D582" s="81" t="s">
        <v>42</v>
      </c>
      <c r="E582" s="24"/>
      <c r="F582" s="24"/>
      <c r="G582" s="24"/>
      <c r="H582" s="80"/>
      <c r="I582" s="24"/>
      <c r="J582" s="80"/>
      <c r="K582" s="24"/>
      <c r="L582" s="95"/>
      <c r="M582" s="24"/>
      <c r="N582" s="119"/>
      <c r="O582" s="24"/>
      <c r="P582" s="95">
        <v>650</v>
      </c>
      <c r="Q582" s="24">
        <f t="shared" si="182"/>
        <v>650</v>
      </c>
      <c r="R582" s="80">
        <v>-390</v>
      </c>
      <c r="S582" s="24">
        <f t="shared" si="111"/>
        <v>260</v>
      </c>
      <c r="T582" s="83"/>
      <c r="U582" s="24">
        <f t="shared" si="114"/>
        <v>260</v>
      </c>
      <c r="V582" s="83"/>
      <c r="W582" s="24">
        <f t="shared" si="129"/>
        <v>260</v>
      </c>
      <c r="X582" s="83"/>
      <c r="Y582" s="24">
        <f t="shared" si="130"/>
        <v>260</v>
      </c>
      <c r="Z582" s="189"/>
      <c r="AA582" s="189">
        <f>Y582+Z582</f>
        <v>260</v>
      </c>
    </row>
    <row r="583" spans="1:27" s="6" customFormat="1" x14ac:dyDescent="0.25">
      <c r="A583" s="128" t="s">
        <v>1015</v>
      </c>
      <c r="B583" s="20" t="s">
        <v>182</v>
      </c>
      <c r="C583" s="131" t="s">
        <v>1171</v>
      </c>
      <c r="D583" s="21"/>
      <c r="E583" s="24"/>
      <c r="F583" s="24"/>
      <c r="G583" s="24"/>
      <c r="H583" s="80"/>
      <c r="I583" s="24"/>
      <c r="J583" s="80"/>
      <c r="K583" s="24"/>
      <c r="L583" s="95"/>
      <c r="M583" s="24"/>
      <c r="N583" s="119"/>
      <c r="O583" s="24"/>
      <c r="P583" s="79">
        <f t="shared" ref="P583:X583" si="194">P584</f>
        <v>345</v>
      </c>
      <c r="Q583" s="24">
        <f t="shared" si="182"/>
        <v>345</v>
      </c>
      <c r="R583" s="79">
        <f t="shared" si="194"/>
        <v>-207</v>
      </c>
      <c r="S583" s="24">
        <f t="shared" si="111"/>
        <v>138</v>
      </c>
      <c r="T583" s="79">
        <f t="shared" si="194"/>
        <v>0</v>
      </c>
      <c r="U583" s="24">
        <f t="shared" si="114"/>
        <v>138</v>
      </c>
      <c r="V583" s="79">
        <f t="shared" si="194"/>
        <v>0</v>
      </c>
      <c r="W583" s="24">
        <f t="shared" si="129"/>
        <v>138</v>
      </c>
      <c r="X583" s="79">
        <f t="shared" si="194"/>
        <v>0</v>
      </c>
      <c r="Y583" s="24">
        <f t="shared" si="130"/>
        <v>138</v>
      </c>
      <c r="Z583" s="189"/>
    </row>
    <row r="584" spans="1:27" s="6" customFormat="1" x14ac:dyDescent="0.25">
      <c r="A584" s="30" t="s">
        <v>66</v>
      </c>
      <c r="B584" s="21" t="s">
        <v>182</v>
      </c>
      <c r="C584" s="136" t="s">
        <v>1171</v>
      </c>
      <c r="D584" s="81" t="s">
        <v>42</v>
      </c>
      <c r="E584" s="24"/>
      <c r="F584" s="24"/>
      <c r="G584" s="24"/>
      <c r="H584" s="80"/>
      <c r="I584" s="24"/>
      <c r="J584" s="80"/>
      <c r="K584" s="24"/>
      <c r="L584" s="95"/>
      <c r="M584" s="24"/>
      <c r="N584" s="119"/>
      <c r="O584" s="24"/>
      <c r="P584" s="95">
        <v>345</v>
      </c>
      <c r="Q584" s="24">
        <f t="shared" si="182"/>
        <v>345</v>
      </c>
      <c r="R584" s="80">
        <v>-207</v>
      </c>
      <c r="S584" s="24">
        <f t="shared" si="111"/>
        <v>138</v>
      </c>
      <c r="T584" s="83"/>
      <c r="U584" s="24">
        <f t="shared" si="114"/>
        <v>138</v>
      </c>
      <c r="V584" s="83"/>
      <c r="W584" s="24">
        <f t="shared" si="129"/>
        <v>138</v>
      </c>
      <c r="X584" s="83"/>
      <c r="Y584" s="24">
        <f t="shared" si="130"/>
        <v>138</v>
      </c>
      <c r="Z584" s="189"/>
      <c r="AA584" s="189">
        <f>Y584+Z584</f>
        <v>138</v>
      </c>
    </row>
    <row r="585" spans="1:27" s="6" customFormat="1" x14ac:dyDescent="0.25">
      <c r="A585" s="128" t="s">
        <v>1016</v>
      </c>
      <c r="B585" s="20" t="s">
        <v>182</v>
      </c>
      <c r="C585" s="134" t="s">
        <v>1172</v>
      </c>
      <c r="D585" s="21"/>
      <c r="E585" s="24"/>
      <c r="F585" s="24"/>
      <c r="G585" s="24"/>
      <c r="H585" s="80"/>
      <c r="I585" s="24"/>
      <c r="J585" s="80"/>
      <c r="K585" s="24"/>
      <c r="L585" s="95"/>
      <c r="M585" s="24"/>
      <c r="N585" s="119"/>
      <c r="O585" s="24"/>
      <c r="P585" s="79">
        <f t="shared" ref="P585:X585" si="195">P586</f>
        <v>260</v>
      </c>
      <c r="Q585" s="24">
        <f t="shared" si="182"/>
        <v>260</v>
      </c>
      <c r="R585" s="79">
        <f t="shared" si="195"/>
        <v>-156</v>
      </c>
      <c r="S585" s="24">
        <f t="shared" si="111"/>
        <v>104</v>
      </c>
      <c r="T585" s="79">
        <f t="shared" si="195"/>
        <v>0</v>
      </c>
      <c r="U585" s="24">
        <f t="shared" si="114"/>
        <v>104</v>
      </c>
      <c r="V585" s="79">
        <f t="shared" si="195"/>
        <v>0</v>
      </c>
      <c r="W585" s="24">
        <f t="shared" si="129"/>
        <v>104</v>
      </c>
      <c r="X585" s="79">
        <f t="shared" si="195"/>
        <v>0</v>
      </c>
      <c r="Y585" s="24">
        <f t="shared" si="130"/>
        <v>104</v>
      </c>
      <c r="Z585" s="189"/>
    </row>
    <row r="586" spans="1:27" s="6" customFormat="1" x14ac:dyDescent="0.25">
      <c r="A586" s="30" t="s">
        <v>66</v>
      </c>
      <c r="B586" s="21" t="s">
        <v>182</v>
      </c>
      <c r="C586" s="136" t="s">
        <v>1172</v>
      </c>
      <c r="D586" s="81" t="s">
        <v>42</v>
      </c>
      <c r="E586" s="24"/>
      <c r="F586" s="24"/>
      <c r="G586" s="24"/>
      <c r="H586" s="80"/>
      <c r="I586" s="24"/>
      <c r="J586" s="80"/>
      <c r="K586" s="24"/>
      <c r="L586" s="95"/>
      <c r="M586" s="24"/>
      <c r="N586" s="119"/>
      <c r="O586" s="24"/>
      <c r="P586" s="95">
        <v>260</v>
      </c>
      <c r="Q586" s="24">
        <f t="shared" si="182"/>
        <v>260</v>
      </c>
      <c r="R586" s="80">
        <v>-156</v>
      </c>
      <c r="S586" s="24">
        <f t="shared" si="111"/>
        <v>104</v>
      </c>
      <c r="T586" s="83"/>
      <c r="U586" s="24">
        <f t="shared" si="114"/>
        <v>104</v>
      </c>
      <c r="V586" s="83"/>
      <c r="W586" s="24">
        <f t="shared" si="129"/>
        <v>104</v>
      </c>
      <c r="X586" s="83"/>
      <c r="Y586" s="24">
        <f t="shared" si="130"/>
        <v>104</v>
      </c>
      <c r="Z586" s="189"/>
      <c r="AA586" s="189">
        <f>Y586+Z586</f>
        <v>104</v>
      </c>
    </row>
    <row r="587" spans="1:27" s="6" customFormat="1" ht="24" x14ac:dyDescent="0.25">
      <c r="A587" s="128" t="s">
        <v>1017</v>
      </c>
      <c r="B587" s="20" t="s">
        <v>182</v>
      </c>
      <c r="C587" s="131" t="s">
        <v>1173</v>
      </c>
      <c r="D587" s="21"/>
      <c r="E587" s="24"/>
      <c r="F587" s="24"/>
      <c r="G587" s="24"/>
      <c r="H587" s="80"/>
      <c r="I587" s="24"/>
      <c r="J587" s="80"/>
      <c r="K587" s="24"/>
      <c r="L587" s="95"/>
      <c r="M587" s="24"/>
      <c r="N587" s="119"/>
      <c r="O587" s="24"/>
      <c r="P587" s="79">
        <f t="shared" ref="P587:X587" si="196">P588</f>
        <v>400</v>
      </c>
      <c r="Q587" s="24">
        <f t="shared" si="182"/>
        <v>400</v>
      </c>
      <c r="R587" s="79">
        <f t="shared" si="196"/>
        <v>-240</v>
      </c>
      <c r="S587" s="24">
        <f t="shared" si="111"/>
        <v>160</v>
      </c>
      <c r="T587" s="79">
        <f t="shared" si="196"/>
        <v>0</v>
      </c>
      <c r="U587" s="24">
        <f t="shared" si="114"/>
        <v>160</v>
      </c>
      <c r="V587" s="79">
        <f t="shared" si="196"/>
        <v>0</v>
      </c>
      <c r="W587" s="24">
        <f t="shared" si="129"/>
        <v>160</v>
      </c>
      <c r="X587" s="79">
        <f t="shared" si="196"/>
        <v>0</v>
      </c>
      <c r="Y587" s="24">
        <f t="shared" si="130"/>
        <v>160</v>
      </c>
      <c r="Z587" s="189"/>
    </row>
    <row r="588" spans="1:27" s="6" customFormat="1" x14ac:dyDescent="0.25">
      <c r="A588" s="30" t="s">
        <v>66</v>
      </c>
      <c r="B588" s="21" t="s">
        <v>182</v>
      </c>
      <c r="C588" s="136" t="s">
        <v>1173</v>
      </c>
      <c r="D588" s="81" t="s">
        <v>42</v>
      </c>
      <c r="E588" s="24"/>
      <c r="F588" s="24"/>
      <c r="G588" s="24"/>
      <c r="H588" s="80"/>
      <c r="I588" s="24"/>
      <c r="J588" s="80"/>
      <c r="K588" s="24"/>
      <c r="L588" s="95"/>
      <c r="M588" s="24"/>
      <c r="N588" s="119"/>
      <c r="O588" s="24"/>
      <c r="P588" s="95">
        <v>400</v>
      </c>
      <c r="Q588" s="24">
        <f t="shared" si="182"/>
        <v>400</v>
      </c>
      <c r="R588" s="80">
        <v>-240</v>
      </c>
      <c r="S588" s="24">
        <f t="shared" si="111"/>
        <v>160</v>
      </c>
      <c r="T588" s="83"/>
      <c r="U588" s="24">
        <f t="shared" si="114"/>
        <v>160</v>
      </c>
      <c r="V588" s="83"/>
      <c r="W588" s="24">
        <f t="shared" si="129"/>
        <v>160</v>
      </c>
      <c r="X588" s="83"/>
      <c r="Y588" s="24">
        <f t="shared" si="130"/>
        <v>160</v>
      </c>
      <c r="Z588" s="189"/>
      <c r="AA588" s="189">
        <f>Y588+Z588</f>
        <v>160</v>
      </c>
    </row>
    <row r="589" spans="1:27" s="6" customFormat="1" x14ac:dyDescent="0.25">
      <c r="A589" s="128" t="s">
        <v>1018</v>
      </c>
      <c r="B589" s="20" t="s">
        <v>182</v>
      </c>
      <c r="C589" s="131" t="s">
        <v>1174</v>
      </c>
      <c r="D589" s="21"/>
      <c r="E589" s="24"/>
      <c r="F589" s="24"/>
      <c r="G589" s="24"/>
      <c r="H589" s="80"/>
      <c r="I589" s="24"/>
      <c r="J589" s="80"/>
      <c r="K589" s="24"/>
      <c r="L589" s="95"/>
      <c r="M589" s="24"/>
      <c r="N589" s="119"/>
      <c r="O589" s="24"/>
      <c r="P589" s="79">
        <f t="shared" ref="P589:X589" si="197">P590</f>
        <v>165</v>
      </c>
      <c r="Q589" s="24">
        <f t="shared" si="182"/>
        <v>165</v>
      </c>
      <c r="R589" s="79">
        <f t="shared" si="197"/>
        <v>-99</v>
      </c>
      <c r="S589" s="24">
        <f t="shared" si="111"/>
        <v>66</v>
      </c>
      <c r="T589" s="79">
        <f t="shared" si="197"/>
        <v>0</v>
      </c>
      <c r="U589" s="24">
        <f t="shared" si="114"/>
        <v>66</v>
      </c>
      <c r="V589" s="79">
        <f t="shared" si="197"/>
        <v>0</v>
      </c>
      <c r="W589" s="24">
        <f t="shared" si="129"/>
        <v>66</v>
      </c>
      <c r="X589" s="79">
        <f t="shared" si="197"/>
        <v>0</v>
      </c>
      <c r="Y589" s="24">
        <f t="shared" si="130"/>
        <v>66</v>
      </c>
      <c r="Z589" s="189"/>
    </row>
    <row r="590" spans="1:27" s="6" customFormat="1" x14ac:dyDescent="0.25">
      <c r="A590" s="30" t="s">
        <v>66</v>
      </c>
      <c r="B590" s="21" t="s">
        <v>182</v>
      </c>
      <c r="C590" s="132" t="s">
        <v>1174</v>
      </c>
      <c r="D590" s="81" t="s">
        <v>42</v>
      </c>
      <c r="E590" s="24"/>
      <c r="F590" s="24"/>
      <c r="G590" s="24"/>
      <c r="H590" s="80"/>
      <c r="I590" s="24"/>
      <c r="J590" s="80"/>
      <c r="K590" s="24"/>
      <c r="L590" s="95"/>
      <c r="M590" s="24"/>
      <c r="N590" s="119"/>
      <c r="O590" s="24"/>
      <c r="P590" s="95">
        <v>165</v>
      </c>
      <c r="Q590" s="24">
        <f t="shared" si="182"/>
        <v>165</v>
      </c>
      <c r="R590" s="80">
        <v>-99</v>
      </c>
      <c r="S590" s="24">
        <f t="shared" si="111"/>
        <v>66</v>
      </c>
      <c r="T590" s="83"/>
      <c r="U590" s="24">
        <f t="shared" si="114"/>
        <v>66</v>
      </c>
      <c r="V590" s="83"/>
      <c r="W590" s="24">
        <f t="shared" si="129"/>
        <v>66</v>
      </c>
      <c r="X590" s="83"/>
      <c r="Y590" s="24">
        <f t="shared" si="130"/>
        <v>66</v>
      </c>
      <c r="Z590" s="189"/>
      <c r="AA590" s="189">
        <f>Y590+Z590</f>
        <v>66</v>
      </c>
    </row>
    <row r="591" spans="1:27" s="6" customFormat="1" ht="24" x14ac:dyDescent="0.25">
      <c r="A591" s="128" t="s">
        <v>1019</v>
      </c>
      <c r="B591" s="20" t="s">
        <v>182</v>
      </c>
      <c r="C591" s="131" t="s">
        <v>1175</v>
      </c>
      <c r="D591" s="21"/>
      <c r="E591" s="24"/>
      <c r="F591" s="24"/>
      <c r="G591" s="24"/>
      <c r="H591" s="80"/>
      <c r="I591" s="24"/>
      <c r="J591" s="80"/>
      <c r="K591" s="24"/>
      <c r="L591" s="95"/>
      <c r="M591" s="24"/>
      <c r="N591" s="119"/>
      <c r="O591" s="24"/>
      <c r="P591" s="79">
        <f t="shared" ref="P591:X591" si="198">P592</f>
        <v>195</v>
      </c>
      <c r="Q591" s="24">
        <f t="shared" si="182"/>
        <v>195</v>
      </c>
      <c r="R591" s="79">
        <f t="shared" si="198"/>
        <v>-117</v>
      </c>
      <c r="S591" s="24">
        <f t="shared" si="111"/>
        <v>78</v>
      </c>
      <c r="T591" s="79">
        <f t="shared" si="198"/>
        <v>0</v>
      </c>
      <c r="U591" s="24">
        <f t="shared" si="114"/>
        <v>78</v>
      </c>
      <c r="V591" s="79">
        <f t="shared" si="198"/>
        <v>0</v>
      </c>
      <c r="W591" s="24">
        <f t="shared" si="129"/>
        <v>78</v>
      </c>
      <c r="X591" s="79">
        <f t="shared" si="198"/>
        <v>0</v>
      </c>
      <c r="Y591" s="24">
        <f t="shared" si="130"/>
        <v>78</v>
      </c>
      <c r="Z591" s="189"/>
    </row>
    <row r="592" spans="1:27" s="6" customFormat="1" x14ac:dyDescent="0.25">
      <c r="A592" s="30" t="s">
        <v>66</v>
      </c>
      <c r="B592" s="21" t="s">
        <v>182</v>
      </c>
      <c r="C592" s="132" t="s">
        <v>1175</v>
      </c>
      <c r="D592" s="81" t="s">
        <v>42</v>
      </c>
      <c r="E592" s="24"/>
      <c r="F592" s="24"/>
      <c r="G592" s="24"/>
      <c r="H592" s="80"/>
      <c r="I592" s="24"/>
      <c r="J592" s="80"/>
      <c r="K592" s="24"/>
      <c r="L592" s="95"/>
      <c r="M592" s="24"/>
      <c r="N592" s="119"/>
      <c r="O592" s="24"/>
      <c r="P592" s="95">
        <v>195</v>
      </c>
      <c r="Q592" s="24">
        <f t="shared" si="182"/>
        <v>195</v>
      </c>
      <c r="R592" s="80">
        <v>-117</v>
      </c>
      <c r="S592" s="24">
        <f t="shared" si="111"/>
        <v>78</v>
      </c>
      <c r="T592" s="83"/>
      <c r="U592" s="24">
        <f t="shared" si="114"/>
        <v>78</v>
      </c>
      <c r="V592" s="83"/>
      <c r="W592" s="24">
        <f t="shared" si="129"/>
        <v>78</v>
      </c>
      <c r="X592" s="83"/>
      <c r="Y592" s="24">
        <f t="shared" si="130"/>
        <v>78</v>
      </c>
      <c r="Z592" s="189"/>
      <c r="AA592" s="189">
        <f>Y592+Z592</f>
        <v>78</v>
      </c>
    </row>
    <row r="593" spans="1:27" s="6" customFormat="1" x14ac:dyDescent="0.25">
      <c r="A593" s="128" t="s">
        <v>1020</v>
      </c>
      <c r="B593" s="20" t="s">
        <v>182</v>
      </c>
      <c r="C593" s="131" t="s">
        <v>1176</v>
      </c>
      <c r="D593" s="21"/>
      <c r="E593" s="24"/>
      <c r="F593" s="24"/>
      <c r="G593" s="24"/>
      <c r="H593" s="80"/>
      <c r="I593" s="24"/>
      <c r="J593" s="80"/>
      <c r="K593" s="24"/>
      <c r="L593" s="95"/>
      <c r="M593" s="24"/>
      <c r="N593" s="119"/>
      <c r="O593" s="24"/>
      <c r="P593" s="79">
        <f t="shared" ref="P593:X593" si="199">P594</f>
        <v>500</v>
      </c>
      <c r="Q593" s="24">
        <f t="shared" si="182"/>
        <v>500</v>
      </c>
      <c r="R593" s="79">
        <f t="shared" si="199"/>
        <v>-300</v>
      </c>
      <c r="S593" s="24">
        <f t="shared" si="111"/>
        <v>200</v>
      </c>
      <c r="T593" s="79">
        <f t="shared" si="199"/>
        <v>0</v>
      </c>
      <c r="U593" s="24">
        <f t="shared" si="114"/>
        <v>200</v>
      </c>
      <c r="V593" s="79">
        <f t="shared" si="199"/>
        <v>0</v>
      </c>
      <c r="W593" s="24">
        <f t="shared" si="129"/>
        <v>200</v>
      </c>
      <c r="X593" s="79">
        <f t="shared" si="199"/>
        <v>0</v>
      </c>
      <c r="Y593" s="24">
        <f t="shared" si="130"/>
        <v>200</v>
      </c>
      <c r="Z593" s="189"/>
    </row>
    <row r="594" spans="1:27" s="6" customFormat="1" x14ac:dyDescent="0.25">
      <c r="A594" s="30" t="s">
        <v>66</v>
      </c>
      <c r="B594" s="21" t="s">
        <v>182</v>
      </c>
      <c r="C594" s="132" t="s">
        <v>1176</v>
      </c>
      <c r="D594" s="81" t="s">
        <v>42</v>
      </c>
      <c r="E594" s="24"/>
      <c r="F594" s="24"/>
      <c r="G594" s="24"/>
      <c r="H594" s="80"/>
      <c r="I594" s="24"/>
      <c r="J594" s="80"/>
      <c r="K594" s="24"/>
      <c r="L594" s="95"/>
      <c r="M594" s="24"/>
      <c r="N594" s="119"/>
      <c r="O594" s="24"/>
      <c r="P594" s="95">
        <v>500</v>
      </c>
      <c r="Q594" s="24">
        <f t="shared" si="182"/>
        <v>500</v>
      </c>
      <c r="R594" s="80">
        <v>-300</v>
      </c>
      <c r="S594" s="24">
        <f t="shared" si="111"/>
        <v>200</v>
      </c>
      <c r="T594" s="83"/>
      <c r="U594" s="24">
        <f t="shared" si="114"/>
        <v>200</v>
      </c>
      <c r="V594" s="83"/>
      <c r="W594" s="24">
        <f t="shared" si="129"/>
        <v>200</v>
      </c>
      <c r="X594" s="83"/>
      <c r="Y594" s="24">
        <f t="shared" si="130"/>
        <v>200</v>
      </c>
      <c r="Z594" s="189"/>
      <c r="AA594" s="189">
        <f>Y594+Z594</f>
        <v>200</v>
      </c>
    </row>
    <row r="595" spans="1:27" s="6" customFormat="1" x14ac:dyDescent="0.25">
      <c r="A595" s="128" t="s">
        <v>1021</v>
      </c>
      <c r="B595" s="20" t="s">
        <v>182</v>
      </c>
      <c r="C595" s="131" t="s">
        <v>1177</v>
      </c>
      <c r="D595" s="21"/>
      <c r="E595" s="24"/>
      <c r="F595" s="24"/>
      <c r="G595" s="24"/>
      <c r="H595" s="80"/>
      <c r="I595" s="24"/>
      <c r="J595" s="80"/>
      <c r="K595" s="24"/>
      <c r="L595" s="95"/>
      <c r="M595" s="24"/>
      <c r="N595" s="119"/>
      <c r="O595" s="24"/>
      <c r="P595" s="79">
        <f t="shared" ref="P595:X595" si="200">P596</f>
        <v>480</v>
      </c>
      <c r="Q595" s="24">
        <f t="shared" si="182"/>
        <v>480</v>
      </c>
      <c r="R595" s="79">
        <f t="shared" si="200"/>
        <v>-288</v>
      </c>
      <c r="S595" s="24">
        <f t="shared" si="111"/>
        <v>192</v>
      </c>
      <c r="T595" s="79">
        <f t="shared" si="200"/>
        <v>0</v>
      </c>
      <c r="U595" s="24">
        <f t="shared" si="114"/>
        <v>192</v>
      </c>
      <c r="V595" s="79">
        <f t="shared" si="200"/>
        <v>0</v>
      </c>
      <c r="W595" s="24">
        <f t="shared" si="129"/>
        <v>192</v>
      </c>
      <c r="X595" s="79">
        <f t="shared" si="200"/>
        <v>0</v>
      </c>
      <c r="Y595" s="24">
        <f t="shared" si="130"/>
        <v>192</v>
      </c>
      <c r="Z595" s="189"/>
    </row>
    <row r="596" spans="1:27" s="6" customFormat="1" x14ac:dyDescent="0.25">
      <c r="A596" s="30" t="s">
        <v>66</v>
      </c>
      <c r="B596" s="21" t="s">
        <v>182</v>
      </c>
      <c r="C596" s="132" t="s">
        <v>1177</v>
      </c>
      <c r="D596" s="81" t="s">
        <v>42</v>
      </c>
      <c r="E596" s="24"/>
      <c r="F596" s="24"/>
      <c r="G596" s="24"/>
      <c r="H596" s="80"/>
      <c r="I596" s="24"/>
      <c r="J596" s="80"/>
      <c r="K596" s="24"/>
      <c r="L596" s="95"/>
      <c r="M596" s="24"/>
      <c r="N596" s="119"/>
      <c r="O596" s="24"/>
      <c r="P596" s="95">
        <v>480</v>
      </c>
      <c r="Q596" s="24">
        <f t="shared" si="182"/>
        <v>480</v>
      </c>
      <c r="R596" s="80">
        <v>-288</v>
      </c>
      <c r="S596" s="24">
        <f t="shared" si="111"/>
        <v>192</v>
      </c>
      <c r="T596" s="83"/>
      <c r="U596" s="24">
        <f t="shared" si="114"/>
        <v>192</v>
      </c>
      <c r="V596" s="83"/>
      <c r="W596" s="24">
        <f t="shared" si="129"/>
        <v>192</v>
      </c>
      <c r="X596" s="83"/>
      <c r="Y596" s="24">
        <f t="shared" si="130"/>
        <v>192</v>
      </c>
      <c r="Z596" s="189"/>
      <c r="AA596" s="189">
        <f>Y596+Z596</f>
        <v>192</v>
      </c>
    </row>
    <row r="597" spans="1:27" s="6" customFormat="1" x14ac:dyDescent="0.25">
      <c r="A597" s="128" t="s">
        <v>1022</v>
      </c>
      <c r="B597" s="20" t="s">
        <v>182</v>
      </c>
      <c r="C597" s="131" t="s">
        <v>1178</v>
      </c>
      <c r="D597" s="21"/>
      <c r="E597" s="24"/>
      <c r="F597" s="24"/>
      <c r="G597" s="24"/>
      <c r="H597" s="80"/>
      <c r="I597" s="24"/>
      <c r="J597" s="80"/>
      <c r="K597" s="24"/>
      <c r="L597" s="95"/>
      <c r="M597" s="24"/>
      <c r="N597" s="119"/>
      <c r="O597" s="24"/>
      <c r="P597" s="79">
        <f t="shared" ref="P597:X597" si="201">P598</f>
        <v>357.5</v>
      </c>
      <c r="Q597" s="24">
        <f t="shared" si="182"/>
        <v>357.5</v>
      </c>
      <c r="R597" s="79">
        <f t="shared" si="201"/>
        <v>-214.5</v>
      </c>
      <c r="S597" s="24">
        <f t="shared" si="111"/>
        <v>143</v>
      </c>
      <c r="T597" s="79">
        <f t="shared" si="201"/>
        <v>0</v>
      </c>
      <c r="U597" s="24">
        <f t="shared" si="114"/>
        <v>143</v>
      </c>
      <c r="V597" s="79">
        <f t="shared" si="201"/>
        <v>0</v>
      </c>
      <c r="W597" s="24">
        <f t="shared" si="129"/>
        <v>143</v>
      </c>
      <c r="X597" s="79">
        <f t="shared" si="201"/>
        <v>0</v>
      </c>
      <c r="Y597" s="24">
        <f t="shared" si="130"/>
        <v>143</v>
      </c>
      <c r="Z597" s="189"/>
    </row>
    <row r="598" spans="1:27" s="6" customFormat="1" x14ac:dyDescent="0.25">
      <c r="A598" s="30" t="s">
        <v>66</v>
      </c>
      <c r="B598" s="21" t="s">
        <v>182</v>
      </c>
      <c r="C598" s="132" t="s">
        <v>1178</v>
      </c>
      <c r="D598" s="81" t="s">
        <v>42</v>
      </c>
      <c r="E598" s="24"/>
      <c r="F598" s="24"/>
      <c r="G598" s="24"/>
      <c r="H598" s="80"/>
      <c r="I598" s="24"/>
      <c r="J598" s="80"/>
      <c r="K598" s="24"/>
      <c r="L598" s="95"/>
      <c r="M598" s="24"/>
      <c r="N598" s="119"/>
      <c r="O598" s="24"/>
      <c r="P598" s="95">
        <v>357.5</v>
      </c>
      <c r="Q598" s="24">
        <f t="shared" si="182"/>
        <v>357.5</v>
      </c>
      <c r="R598" s="80">
        <v>-214.5</v>
      </c>
      <c r="S598" s="24">
        <f t="shared" si="111"/>
        <v>143</v>
      </c>
      <c r="T598" s="83"/>
      <c r="U598" s="24">
        <f t="shared" si="114"/>
        <v>143</v>
      </c>
      <c r="V598" s="83"/>
      <c r="W598" s="24">
        <f t="shared" si="129"/>
        <v>143</v>
      </c>
      <c r="X598" s="83"/>
      <c r="Y598" s="24">
        <f t="shared" si="130"/>
        <v>143</v>
      </c>
      <c r="Z598" s="189"/>
      <c r="AA598" s="189">
        <f>Y598+Z598</f>
        <v>143</v>
      </c>
    </row>
    <row r="599" spans="1:27" s="6" customFormat="1" ht="36" x14ac:dyDescent="0.25">
      <c r="A599" s="128" t="s">
        <v>1023</v>
      </c>
      <c r="B599" s="20" t="s">
        <v>182</v>
      </c>
      <c r="C599" s="131" t="s">
        <v>1179</v>
      </c>
      <c r="D599" s="21"/>
      <c r="E599" s="24"/>
      <c r="F599" s="24"/>
      <c r="G599" s="24"/>
      <c r="H599" s="80"/>
      <c r="I599" s="24"/>
      <c r="J599" s="80"/>
      <c r="K599" s="24"/>
      <c r="L599" s="95"/>
      <c r="M599" s="24"/>
      <c r="N599" s="119"/>
      <c r="O599" s="24"/>
      <c r="P599" s="79">
        <f t="shared" ref="P599:X599" si="202">P600</f>
        <v>330</v>
      </c>
      <c r="Q599" s="24">
        <f t="shared" si="182"/>
        <v>330</v>
      </c>
      <c r="R599" s="79">
        <f t="shared" si="202"/>
        <v>-198</v>
      </c>
      <c r="S599" s="24">
        <f t="shared" si="111"/>
        <v>132</v>
      </c>
      <c r="T599" s="79">
        <f t="shared" si="202"/>
        <v>0</v>
      </c>
      <c r="U599" s="24">
        <f t="shared" si="114"/>
        <v>132</v>
      </c>
      <c r="V599" s="79">
        <f t="shared" si="202"/>
        <v>0</v>
      </c>
      <c r="W599" s="24">
        <f t="shared" si="129"/>
        <v>132</v>
      </c>
      <c r="X599" s="79">
        <f t="shared" si="202"/>
        <v>0</v>
      </c>
      <c r="Y599" s="24">
        <f t="shared" si="130"/>
        <v>132</v>
      </c>
      <c r="Z599" s="189"/>
    </row>
    <row r="600" spans="1:27" s="6" customFormat="1" x14ac:dyDescent="0.25">
      <c r="A600" s="30" t="s">
        <v>66</v>
      </c>
      <c r="B600" s="21" t="s">
        <v>182</v>
      </c>
      <c r="C600" s="132" t="s">
        <v>1179</v>
      </c>
      <c r="D600" s="81" t="s">
        <v>42</v>
      </c>
      <c r="E600" s="24"/>
      <c r="F600" s="24"/>
      <c r="G600" s="24"/>
      <c r="H600" s="80"/>
      <c r="I600" s="24"/>
      <c r="J600" s="80"/>
      <c r="K600" s="24"/>
      <c r="L600" s="95"/>
      <c r="M600" s="24"/>
      <c r="N600" s="119"/>
      <c r="O600" s="24"/>
      <c r="P600" s="95">
        <v>330</v>
      </c>
      <c r="Q600" s="24">
        <f t="shared" si="182"/>
        <v>330</v>
      </c>
      <c r="R600" s="80">
        <v>-198</v>
      </c>
      <c r="S600" s="24">
        <f t="shared" si="111"/>
        <v>132</v>
      </c>
      <c r="T600" s="83"/>
      <c r="U600" s="24">
        <f t="shared" si="114"/>
        <v>132</v>
      </c>
      <c r="V600" s="83"/>
      <c r="W600" s="24">
        <f t="shared" si="129"/>
        <v>132</v>
      </c>
      <c r="X600" s="83"/>
      <c r="Y600" s="24">
        <f t="shared" si="130"/>
        <v>132</v>
      </c>
      <c r="Z600" s="189"/>
      <c r="AA600" s="189">
        <f>Y600+Z600</f>
        <v>132</v>
      </c>
    </row>
    <row r="601" spans="1:27" s="6" customFormat="1" x14ac:dyDescent="0.25">
      <c r="A601" s="128" t="s">
        <v>1024</v>
      </c>
      <c r="B601" s="20" t="s">
        <v>182</v>
      </c>
      <c r="C601" s="131" t="s">
        <v>1180</v>
      </c>
      <c r="D601" s="21"/>
      <c r="E601" s="24"/>
      <c r="F601" s="24"/>
      <c r="G601" s="24"/>
      <c r="H601" s="80"/>
      <c r="I601" s="24"/>
      <c r="J601" s="80"/>
      <c r="K601" s="24"/>
      <c r="L601" s="95"/>
      <c r="M601" s="24"/>
      <c r="N601" s="119"/>
      <c r="O601" s="24"/>
      <c r="P601" s="79">
        <f t="shared" ref="P601:X601" si="203">P602</f>
        <v>187</v>
      </c>
      <c r="Q601" s="24">
        <f t="shared" si="182"/>
        <v>187</v>
      </c>
      <c r="R601" s="79">
        <f t="shared" si="203"/>
        <v>-112.2</v>
      </c>
      <c r="S601" s="24">
        <f t="shared" si="111"/>
        <v>74.8</v>
      </c>
      <c r="T601" s="79">
        <f t="shared" si="203"/>
        <v>0</v>
      </c>
      <c r="U601" s="24">
        <f t="shared" si="114"/>
        <v>74.8</v>
      </c>
      <c r="V601" s="79">
        <f t="shared" si="203"/>
        <v>0</v>
      </c>
      <c r="W601" s="24">
        <f t="shared" si="129"/>
        <v>74.8</v>
      </c>
      <c r="X601" s="79">
        <f t="shared" si="203"/>
        <v>0</v>
      </c>
      <c r="Y601" s="24">
        <f t="shared" si="130"/>
        <v>74.8</v>
      </c>
      <c r="Z601" s="189"/>
    </row>
    <row r="602" spans="1:27" s="6" customFormat="1" x14ac:dyDescent="0.25">
      <c r="A602" s="30" t="s">
        <v>66</v>
      </c>
      <c r="B602" s="21" t="s">
        <v>182</v>
      </c>
      <c r="C602" s="132" t="s">
        <v>1180</v>
      </c>
      <c r="D602" s="81" t="s">
        <v>42</v>
      </c>
      <c r="E602" s="24"/>
      <c r="F602" s="24"/>
      <c r="G602" s="24"/>
      <c r="H602" s="80"/>
      <c r="I602" s="24"/>
      <c r="J602" s="80"/>
      <c r="K602" s="24"/>
      <c r="L602" s="95"/>
      <c r="M602" s="24"/>
      <c r="N602" s="119"/>
      <c r="O602" s="24"/>
      <c r="P602" s="95">
        <v>187</v>
      </c>
      <c r="Q602" s="24">
        <f t="shared" si="182"/>
        <v>187</v>
      </c>
      <c r="R602" s="80">
        <v>-112.2</v>
      </c>
      <c r="S602" s="24">
        <f t="shared" si="111"/>
        <v>74.8</v>
      </c>
      <c r="T602" s="83"/>
      <c r="U602" s="24">
        <f t="shared" si="114"/>
        <v>74.8</v>
      </c>
      <c r="V602" s="83"/>
      <c r="W602" s="24">
        <f t="shared" si="129"/>
        <v>74.8</v>
      </c>
      <c r="X602" s="83"/>
      <c r="Y602" s="24">
        <f t="shared" si="130"/>
        <v>74.8</v>
      </c>
      <c r="Z602" s="189"/>
      <c r="AA602" s="189">
        <f>Y602+Z602</f>
        <v>74.8</v>
      </c>
    </row>
    <row r="603" spans="1:27" s="6" customFormat="1" x14ac:dyDescent="0.25">
      <c r="A603" s="128" t="s">
        <v>1025</v>
      </c>
      <c r="B603" s="20" t="s">
        <v>182</v>
      </c>
      <c r="C603" s="131" t="s">
        <v>1181</v>
      </c>
      <c r="D603" s="21"/>
      <c r="E603" s="24"/>
      <c r="F603" s="24"/>
      <c r="G603" s="24"/>
      <c r="H603" s="80"/>
      <c r="I603" s="24"/>
      <c r="J603" s="80"/>
      <c r="K603" s="24"/>
      <c r="L603" s="95"/>
      <c r="M603" s="24"/>
      <c r="N603" s="119"/>
      <c r="O603" s="24"/>
      <c r="P603" s="79">
        <f t="shared" ref="P603:X603" si="204">P604</f>
        <v>315</v>
      </c>
      <c r="Q603" s="24">
        <f t="shared" si="182"/>
        <v>315</v>
      </c>
      <c r="R603" s="79">
        <f t="shared" si="204"/>
        <v>-189</v>
      </c>
      <c r="S603" s="24">
        <f t="shared" si="111"/>
        <v>126</v>
      </c>
      <c r="T603" s="79">
        <f t="shared" si="204"/>
        <v>0</v>
      </c>
      <c r="U603" s="24">
        <f t="shared" si="114"/>
        <v>126</v>
      </c>
      <c r="V603" s="79">
        <f t="shared" si="204"/>
        <v>0</v>
      </c>
      <c r="W603" s="24">
        <f t="shared" si="129"/>
        <v>126</v>
      </c>
      <c r="X603" s="79">
        <f t="shared" si="204"/>
        <v>0</v>
      </c>
      <c r="Y603" s="24">
        <f t="shared" si="130"/>
        <v>126</v>
      </c>
      <c r="Z603" s="189"/>
    </row>
    <row r="604" spans="1:27" s="6" customFormat="1" x14ac:dyDescent="0.25">
      <c r="A604" s="30" t="s">
        <v>66</v>
      </c>
      <c r="B604" s="21" t="s">
        <v>182</v>
      </c>
      <c r="C604" s="132" t="s">
        <v>1181</v>
      </c>
      <c r="D604" s="81" t="s">
        <v>42</v>
      </c>
      <c r="E604" s="24"/>
      <c r="F604" s="24"/>
      <c r="G604" s="24"/>
      <c r="H604" s="80"/>
      <c r="I604" s="24"/>
      <c r="J604" s="80"/>
      <c r="K604" s="24"/>
      <c r="L604" s="95"/>
      <c r="M604" s="24"/>
      <c r="N604" s="119"/>
      <c r="O604" s="24"/>
      <c r="P604" s="95">
        <v>315</v>
      </c>
      <c r="Q604" s="24">
        <f t="shared" si="182"/>
        <v>315</v>
      </c>
      <c r="R604" s="80">
        <v>-189</v>
      </c>
      <c r="S604" s="24">
        <f t="shared" si="111"/>
        <v>126</v>
      </c>
      <c r="T604" s="83"/>
      <c r="U604" s="24">
        <f t="shared" si="114"/>
        <v>126</v>
      </c>
      <c r="V604" s="83"/>
      <c r="W604" s="24">
        <f t="shared" si="129"/>
        <v>126</v>
      </c>
      <c r="X604" s="83"/>
      <c r="Y604" s="24">
        <f t="shared" si="130"/>
        <v>126</v>
      </c>
      <c r="Z604" s="189"/>
      <c r="AA604" s="189">
        <f>Y604+Z604</f>
        <v>126</v>
      </c>
    </row>
    <row r="605" spans="1:27" s="6" customFormat="1" x14ac:dyDescent="0.25">
      <c r="A605" s="128" t="s">
        <v>1026</v>
      </c>
      <c r="B605" s="20" t="s">
        <v>182</v>
      </c>
      <c r="C605" s="131" t="s">
        <v>1182</v>
      </c>
      <c r="D605" s="21"/>
      <c r="E605" s="24"/>
      <c r="F605" s="24"/>
      <c r="G605" s="24"/>
      <c r="H605" s="80"/>
      <c r="I605" s="24"/>
      <c r="J605" s="80"/>
      <c r="K605" s="24"/>
      <c r="L605" s="95"/>
      <c r="M605" s="24"/>
      <c r="N605" s="119"/>
      <c r="O605" s="24"/>
      <c r="P605" s="79">
        <f t="shared" ref="P605:X605" si="205">P606</f>
        <v>305</v>
      </c>
      <c r="Q605" s="24">
        <f t="shared" si="182"/>
        <v>305</v>
      </c>
      <c r="R605" s="79">
        <f t="shared" si="205"/>
        <v>-183</v>
      </c>
      <c r="S605" s="24">
        <f t="shared" si="111"/>
        <v>122</v>
      </c>
      <c r="T605" s="79">
        <f t="shared" si="205"/>
        <v>0</v>
      </c>
      <c r="U605" s="24">
        <f t="shared" si="114"/>
        <v>122</v>
      </c>
      <c r="V605" s="79">
        <f t="shared" si="205"/>
        <v>0</v>
      </c>
      <c r="W605" s="24">
        <f t="shared" si="129"/>
        <v>122</v>
      </c>
      <c r="X605" s="79">
        <f t="shared" si="205"/>
        <v>0</v>
      </c>
      <c r="Y605" s="24">
        <f t="shared" si="130"/>
        <v>122</v>
      </c>
      <c r="Z605" s="189"/>
    </row>
    <row r="606" spans="1:27" s="6" customFormat="1" x14ac:dyDescent="0.25">
      <c r="A606" s="30" t="s">
        <v>66</v>
      </c>
      <c r="B606" s="21" t="s">
        <v>182</v>
      </c>
      <c r="C606" s="132" t="s">
        <v>1182</v>
      </c>
      <c r="D606" s="81" t="s">
        <v>42</v>
      </c>
      <c r="E606" s="24"/>
      <c r="F606" s="24"/>
      <c r="G606" s="24"/>
      <c r="H606" s="80"/>
      <c r="I606" s="24"/>
      <c r="J606" s="80"/>
      <c r="K606" s="24"/>
      <c r="L606" s="95"/>
      <c r="M606" s="24"/>
      <c r="N606" s="119"/>
      <c r="O606" s="24"/>
      <c r="P606" s="95">
        <v>305</v>
      </c>
      <c r="Q606" s="24">
        <f t="shared" si="182"/>
        <v>305</v>
      </c>
      <c r="R606" s="80">
        <v>-183</v>
      </c>
      <c r="S606" s="24">
        <f t="shared" si="111"/>
        <v>122</v>
      </c>
      <c r="T606" s="83"/>
      <c r="U606" s="24">
        <f t="shared" si="114"/>
        <v>122</v>
      </c>
      <c r="V606" s="83"/>
      <c r="W606" s="24">
        <f t="shared" si="129"/>
        <v>122</v>
      </c>
      <c r="X606" s="83"/>
      <c r="Y606" s="24">
        <f t="shared" si="130"/>
        <v>122</v>
      </c>
      <c r="Z606" s="189"/>
      <c r="AA606" s="189">
        <f>Y606+Z606</f>
        <v>122</v>
      </c>
    </row>
    <row r="607" spans="1:27" s="6" customFormat="1" x14ac:dyDescent="0.25">
      <c r="A607" s="128" t="s">
        <v>1027</v>
      </c>
      <c r="B607" s="20" t="s">
        <v>182</v>
      </c>
      <c r="C607" s="131" t="s">
        <v>1183</v>
      </c>
      <c r="D607" s="21"/>
      <c r="E607" s="24"/>
      <c r="F607" s="24"/>
      <c r="G607" s="24"/>
      <c r="H607" s="80"/>
      <c r="I607" s="24"/>
      <c r="J607" s="80"/>
      <c r="K607" s="24"/>
      <c r="L607" s="95"/>
      <c r="M607" s="24"/>
      <c r="N607" s="119"/>
      <c r="O607" s="24"/>
      <c r="P607" s="79">
        <f t="shared" ref="P607:X607" si="206">P608</f>
        <v>227.5</v>
      </c>
      <c r="Q607" s="24">
        <f t="shared" si="182"/>
        <v>227.5</v>
      </c>
      <c r="R607" s="79">
        <f t="shared" si="206"/>
        <v>-136.5</v>
      </c>
      <c r="S607" s="24">
        <f t="shared" si="111"/>
        <v>91</v>
      </c>
      <c r="T607" s="79">
        <f t="shared" si="206"/>
        <v>0</v>
      </c>
      <c r="U607" s="24">
        <f t="shared" si="114"/>
        <v>91</v>
      </c>
      <c r="V607" s="79">
        <f t="shared" si="206"/>
        <v>0</v>
      </c>
      <c r="W607" s="24">
        <f t="shared" si="129"/>
        <v>91</v>
      </c>
      <c r="X607" s="79">
        <f t="shared" si="206"/>
        <v>0</v>
      </c>
      <c r="Y607" s="24">
        <f t="shared" si="130"/>
        <v>91</v>
      </c>
      <c r="Z607" s="189"/>
    </row>
    <row r="608" spans="1:27" s="6" customFormat="1" x14ac:dyDescent="0.25">
      <c r="A608" s="30" t="s">
        <v>66</v>
      </c>
      <c r="B608" s="21" t="s">
        <v>182</v>
      </c>
      <c r="C608" s="132" t="s">
        <v>1183</v>
      </c>
      <c r="D608" s="81" t="s">
        <v>42</v>
      </c>
      <c r="E608" s="24"/>
      <c r="F608" s="24"/>
      <c r="G608" s="24"/>
      <c r="H608" s="80"/>
      <c r="I608" s="24"/>
      <c r="J608" s="80"/>
      <c r="K608" s="24"/>
      <c r="L608" s="95"/>
      <c r="M608" s="24"/>
      <c r="N608" s="119"/>
      <c r="O608" s="24"/>
      <c r="P608" s="95">
        <v>227.5</v>
      </c>
      <c r="Q608" s="24">
        <f t="shared" si="182"/>
        <v>227.5</v>
      </c>
      <c r="R608" s="80">
        <v>-136.5</v>
      </c>
      <c r="S608" s="24">
        <f t="shared" si="111"/>
        <v>91</v>
      </c>
      <c r="T608" s="83"/>
      <c r="U608" s="24">
        <f t="shared" si="114"/>
        <v>91</v>
      </c>
      <c r="V608" s="83"/>
      <c r="W608" s="24">
        <f t="shared" si="129"/>
        <v>91</v>
      </c>
      <c r="X608" s="83"/>
      <c r="Y608" s="24">
        <f t="shared" si="130"/>
        <v>91</v>
      </c>
      <c r="Z608" s="189"/>
      <c r="AA608" s="189">
        <f>Y608+Z608</f>
        <v>91</v>
      </c>
    </row>
    <row r="609" spans="1:27" s="6" customFormat="1" x14ac:dyDescent="0.25">
      <c r="A609" s="128" t="s">
        <v>1028</v>
      </c>
      <c r="B609" s="20" t="s">
        <v>182</v>
      </c>
      <c r="C609" s="131" t="s">
        <v>1184</v>
      </c>
      <c r="D609" s="21"/>
      <c r="E609" s="24"/>
      <c r="F609" s="24"/>
      <c r="G609" s="24"/>
      <c r="H609" s="80"/>
      <c r="I609" s="24"/>
      <c r="J609" s="80"/>
      <c r="K609" s="24"/>
      <c r="L609" s="95"/>
      <c r="M609" s="24"/>
      <c r="N609" s="119"/>
      <c r="O609" s="24"/>
      <c r="P609" s="79">
        <f t="shared" ref="P609:X609" si="207">P610</f>
        <v>211.5</v>
      </c>
      <c r="Q609" s="24">
        <f t="shared" si="182"/>
        <v>211.5</v>
      </c>
      <c r="R609" s="79">
        <f t="shared" si="207"/>
        <v>-126.9</v>
      </c>
      <c r="S609" s="24">
        <f t="shared" si="111"/>
        <v>84.6</v>
      </c>
      <c r="T609" s="79">
        <f t="shared" si="207"/>
        <v>0</v>
      </c>
      <c r="U609" s="24">
        <f t="shared" si="114"/>
        <v>84.6</v>
      </c>
      <c r="V609" s="79">
        <f t="shared" si="207"/>
        <v>0</v>
      </c>
      <c r="W609" s="24">
        <f t="shared" si="129"/>
        <v>84.6</v>
      </c>
      <c r="X609" s="79">
        <f t="shared" si="207"/>
        <v>0</v>
      </c>
      <c r="Y609" s="24">
        <f t="shared" si="130"/>
        <v>84.6</v>
      </c>
      <c r="Z609" s="189"/>
    </row>
    <row r="610" spans="1:27" s="6" customFormat="1" x14ac:dyDescent="0.25">
      <c r="A610" s="30" t="s">
        <v>66</v>
      </c>
      <c r="B610" s="21" t="s">
        <v>182</v>
      </c>
      <c r="C610" s="132" t="s">
        <v>1184</v>
      </c>
      <c r="D610" s="81" t="s">
        <v>42</v>
      </c>
      <c r="E610" s="24"/>
      <c r="F610" s="24"/>
      <c r="G610" s="24"/>
      <c r="H610" s="80"/>
      <c r="I610" s="24"/>
      <c r="J610" s="80"/>
      <c r="K610" s="24"/>
      <c r="L610" s="95"/>
      <c r="M610" s="24"/>
      <c r="N610" s="119"/>
      <c r="O610" s="24"/>
      <c r="P610" s="95">
        <v>211.5</v>
      </c>
      <c r="Q610" s="24">
        <f t="shared" si="182"/>
        <v>211.5</v>
      </c>
      <c r="R610" s="80">
        <v>-126.9</v>
      </c>
      <c r="S610" s="24">
        <f t="shared" si="111"/>
        <v>84.6</v>
      </c>
      <c r="T610" s="83"/>
      <c r="U610" s="24">
        <f t="shared" si="114"/>
        <v>84.6</v>
      </c>
      <c r="V610" s="83"/>
      <c r="W610" s="24">
        <f t="shared" si="129"/>
        <v>84.6</v>
      </c>
      <c r="X610" s="83"/>
      <c r="Y610" s="24">
        <f t="shared" si="130"/>
        <v>84.6</v>
      </c>
      <c r="Z610" s="189"/>
      <c r="AA610" s="189">
        <f>Y610+Z610</f>
        <v>84.6</v>
      </c>
    </row>
    <row r="611" spans="1:27" s="6" customFormat="1" ht="24" x14ac:dyDescent="0.25">
      <c r="A611" s="128" t="s">
        <v>1029</v>
      </c>
      <c r="B611" s="20" t="s">
        <v>182</v>
      </c>
      <c r="C611" s="131" t="s">
        <v>1185</v>
      </c>
      <c r="D611" s="21"/>
      <c r="E611" s="24"/>
      <c r="F611" s="24"/>
      <c r="G611" s="24"/>
      <c r="H611" s="80"/>
      <c r="I611" s="24"/>
      <c r="J611" s="80"/>
      <c r="K611" s="24"/>
      <c r="L611" s="95"/>
      <c r="M611" s="24"/>
      <c r="N611" s="119"/>
      <c r="O611" s="24"/>
      <c r="P611" s="79">
        <f t="shared" ref="P611:X611" si="208">P612</f>
        <v>501.3</v>
      </c>
      <c r="Q611" s="24">
        <f t="shared" si="182"/>
        <v>501.3</v>
      </c>
      <c r="R611" s="79">
        <f t="shared" si="208"/>
        <v>-300.89999999999998</v>
      </c>
      <c r="S611" s="24">
        <f t="shared" si="111"/>
        <v>200.40000000000003</v>
      </c>
      <c r="T611" s="79">
        <f t="shared" si="208"/>
        <v>0</v>
      </c>
      <c r="U611" s="24">
        <f t="shared" si="114"/>
        <v>200.40000000000003</v>
      </c>
      <c r="V611" s="79">
        <f t="shared" si="208"/>
        <v>0</v>
      </c>
      <c r="W611" s="24">
        <f t="shared" si="129"/>
        <v>200.40000000000003</v>
      </c>
      <c r="X611" s="79">
        <f t="shared" si="208"/>
        <v>0</v>
      </c>
      <c r="Y611" s="24">
        <f t="shared" si="130"/>
        <v>200.40000000000003</v>
      </c>
      <c r="Z611" s="189"/>
    </row>
    <row r="612" spans="1:27" s="148" customFormat="1" x14ac:dyDescent="0.25">
      <c r="A612" s="135" t="s">
        <v>66</v>
      </c>
      <c r="B612" s="76" t="s">
        <v>182</v>
      </c>
      <c r="C612" s="136" t="s">
        <v>1185</v>
      </c>
      <c r="D612" s="81" t="s">
        <v>42</v>
      </c>
      <c r="E612" s="24"/>
      <c r="F612" s="24"/>
      <c r="G612" s="24"/>
      <c r="H612" s="80"/>
      <c r="I612" s="24"/>
      <c r="J612" s="80"/>
      <c r="K612" s="24"/>
      <c r="L612" s="95"/>
      <c r="M612" s="24"/>
      <c r="N612" s="119"/>
      <c r="O612" s="24"/>
      <c r="P612" s="95">
        <v>501.3</v>
      </c>
      <c r="Q612" s="47">
        <f t="shared" si="182"/>
        <v>501.3</v>
      </c>
      <c r="R612" s="80">
        <v>-300.89999999999998</v>
      </c>
      <c r="S612" s="47">
        <f t="shared" si="111"/>
        <v>200.40000000000003</v>
      </c>
      <c r="T612" s="83"/>
      <c r="U612" s="47">
        <f t="shared" si="114"/>
        <v>200.40000000000003</v>
      </c>
      <c r="V612" s="83"/>
      <c r="W612" s="47">
        <f t="shared" si="129"/>
        <v>200.40000000000003</v>
      </c>
      <c r="X612" s="83"/>
      <c r="Y612" s="47">
        <f t="shared" si="130"/>
        <v>200.40000000000003</v>
      </c>
      <c r="Z612" s="192"/>
      <c r="AA612" s="189">
        <f>Y612+Z612</f>
        <v>200.40000000000003</v>
      </c>
    </row>
    <row r="613" spans="1:27" s="6" customFormat="1" x14ac:dyDescent="0.25">
      <c r="A613" s="128" t="s">
        <v>1030</v>
      </c>
      <c r="B613" s="20" t="s">
        <v>182</v>
      </c>
      <c r="C613" s="131" t="s">
        <v>1186</v>
      </c>
      <c r="D613" s="21"/>
      <c r="E613" s="24"/>
      <c r="F613" s="24"/>
      <c r="G613" s="24"/>
      <c r="H613" s="80"/>
      <c r="I613" s="24"/>
      <c r="J613" s="80"/>
      <c r="K613" s="24"/>
      <c r="L613" s="95"/>
      <c r="M613" s="24"/>
      <c r="N613" s="119"/>
      <c r="O613" s="24"/>
      <c r="P613" s="79">
        <f t="shared" ref="P613:X613" si="209">P614</f>
        <v>262.5</v>
      </c>
      <c r="Q613" s="24">
        <f t="shared" si="182"/>
        <v>262.5</v>
      </c>
      <c r="R613" s="79">
        <f t="shared" si="209"/>
        <v>-157.5</v>
      </c>
      <c r="S613" s="24">
        <f t="shared" si="111"/>
        <v>105</v>
      </c>
      <c r="T613" s="79">
        <f t="shared" si="209"/>
        <v>0</v>
      </c>
      <c r="U613" s="24">
        <f t="shared" si="114"/>
        <v>105</v>
      </c>
      <c r="V613" s="79">
        <f t="shared" si="209"/>
        <v>0</v>
      </c>
      <c r="W613" s="24">
        <f t="shared" si="129"/>
        <v>105</v>
      </c>
      <c r="X613" s="79">
        <f t="shared" si="209"/>
        <v>0</v>
      </c>
      <c r="Y613" s="24">
        <f t="shared" si="130"/>
        <v>105</v>
      </c>
      <c r="Z613" s="189"/>
    </row>
    <row r="614" spans="1:27" s="6" customFormat="1" x14ac:dyDescent="0.25">
      <c r="A614" s="30" t="s">
        <v>66</v>
      </c>
      <c r="B614" s="21" t="s">
        <v>182</v>
      </c>
      <c r="C614" s="132" t="s">
        <v>1186</v>
      </c>
      <c r="D614" s="81" t="s">
        <v>42</v>
      </c>
      <c r="E614" s="24"/>
      <c r="F614" s="24"/>
      <c r="G614" s="24"/>
      <c r="H614" s="80"/>
      <c r="I614" s="24"/>
      <c r="J614" s="80"/>
      <c r="K614" s="24"/>
      <c r="L614" s="95"/>
      <c r="M614" s="24"/>
      <c r="N614" s="119"/>
      <c r="O614" s="24"/>
      <c r="P614" s="95">
        <v>262.5</v>
      </c>
      <c r="Q614" s="24">
        <f t="shared" si="182"/>
        <v>262.5</v>
      </c>
      <c r="R614" s="80">
        <v>-157.5</v>
      </c>
      <c r="S614" s="24">
        <f t="shared" si="111"/>
        <v>105</v>
      </c>
      <c r="T614" s="83"/>
      <c r="U614" s="24">
        <f t="shared" si="114"/>
        <v>105</v>
      </c>
      <c r="V614" s="83"/>
      <c r="W614" s="24">
        <f t="shared" si="129"/>
        <v>105</v>
      </c>
      <c r="X614" s="83"/>
      <c r="Y614" s="24">
        <f t="shared" si="130"/>
        <v>105</v>
      </c>
      <c r="Z614" s="189"/>
      <c r="AA614" s="189">
        <f>Y614+Z614</f>
        <v>105</v>
      </c>
    </row>
    <row r="615" spans="1:27" s="6" customFormat="1" ht="24" x14ac:dyDescent="0.25">
      <c r="A615" s="128" t="s">
        <v>1031</v>
      </c>
      <c r="B615" s="20" t="s">
        <v>182</v>
      </c>
      <c r="C615" s="131" t="s">
        <v>1187</v>
      </c>
      <c r="D615" s="21"/>
      <c r="E615" s="24"/>
      <c r="F615" s="24"/>
      <c r="G615" s="24"/>
      <c r="H615" s="80"/>
      <c r="I615" s="24"/>
      <c r="J615" s="80"/>
      <c r="K615" s="24"/>
      <c r="L615" s="95"/>
      <c r="M615" s="24"/>
      <c r="N615" s="119"/>
      <c r="O615" s="24"/>
      <c r="P615" s="79">
        <f t="shared" ref="P615:X615" si="210">P616</f>
        <v>996.5</v>
      </c>
      <c r="Q615" s="24">
        <f t="shared" si="182"/>
        <v>996.5</v>
      </c>
      <c r="R615" s="79">
        <f t="shared" si="210"/>
        <v>-597.9</v>
      </c>
      <c r="S615" s="24">
        <f t="shared" si="111"/>
        <v>398.6</v>
      </c>
      <c r="T615" s="79">
        <f t="shared" si="210"/>
        <v>0</v>
      </c>
      <c r="U615" s="24">
        <f t="shared" si="114"/>
        <v>398.6</v>
      </c>
      <c r="V615" s="79">
        <f t="shared" si="210"/>
        <v>0</v>
      </c>
      <c r="W615" s="24">
        <f t="shared" si="129"/>
        <v>398.6</v>
      </c>
      <c r="X615" s="79">
        <f t="shared" si="210"/>
        <v>0</v>
      </c>
      <c r="Y615" s="24">
        <f t="shared" si="130"/>
        <v>398.6</v>
      </c>
      <c r="Z615" s="189"/>
    </row>
    <row r="616" spans="1:27" s="6" customFormat="1" x14ac:dyDescent="0.25">
      <c r="A616" s="30" t="s">
        <v>66</v>
      </c>
      <c r="B616" s="21" t="s">
        <v>182</v>
      </c>
      <c r="C616" s="132" t="s">
        <v>1187</v>
      </c>
      <c r="D616" s="81" t="s">
        <v>42</v>
      </c>
      <c r="E616" s="24"/>
      <c r="F616" s="24"/>
      <c r="G616" s="24"/>
      <c r="H616" s="80"/>
      <c r="I616" s="24"/>
      <c r="J616" s="80"/>
      <c r="K616" s="24"/>
      <c r="L616" s="95"/>
      <c r="M616" s="24"/>
      <c r="N616" s="119"/>
      <c r="O616" s="24"/>
      <c r="P616" s="95">
        <v>996.5</v>
      </c>
      <c r="Q616" s="24">
        <f t="shared" si="182"/>
        <v>996.5</v>
      </c>
      <c r="R616" s="80">
        <v>-597.9</v>
      </c>
      <c r="S616" s="24">
        <f t="shared" si="111"/>
        <v>398.6</v>
      </c>
      <c r="T616" s="83"/>
      <c r="U616" s="24">
        <f t="shared" si="114"/>
        <v>398.6</v>
      </c>
      <c r="V616" s="83"/>
      <c r="W616" s="24">
        <f t="shared" si="129"/>
        <v>398.6</v>
      </c>
      <c r="X616" s="83"/>
      <c r="Y616" s="24">
        <f t="shared" si="130"/>
        <v>398.6</v>
      </c>
      <c r="Z616" s="189"/>
      <c r="AA616" s="189">
        <f>Y616+Z616</f>
        <v>398.6</v>
      </c>
    </row>
    <row r="617" spans="1:27" s="6" customFormat="1" x14ac:dyDescent="0.25">
      <c r="A617" s="128" t="s">
        <v>1032</v>
      </c>
      <c r="B617" s="20" t="s">
        <v>182</v>
      </c>
      <c r="C617" s="131" t="s">
        <v>1188</v>
      </c>
      <c r="D617" s="21"/>
      <c r="E617" s="24"/>
      <c r="F617" s="24"/>
      <c r="G617" s="24"/>
      <c r="H617" s="80"/>
      <c r="I617" s="24"/>
      <c r="J617" s="80"/>
      <c r="K617" s="24"/>
      <c r="L617" s="95"/>
      <c r="M617" s="24"/>
      <c r="N617" s="119"/>
      <c r="O617" s="24"/>
      <c r="P617" s="79">
        <f t="shared" ref="P617:X617" si="211">P618</f>
        <v>370</v>
      </c>
      <c r="Q617" s="24">
        <f t="shared" si="182"/>
        <v>370</v>
      </c>
      <c r="R617" s="79">
        <f t="shared" si="211"/>
        <v>-222</v>
      </c>
      <c r="S617" s="24">
        <f t="shared" si="111"/>
        <v>148</v>
      </c>
      <c r="T617" s="79">
        <f t="shared" si="211"/>
        <v>0</v>
      </c>
      <c r="U617" s="24">
        <f t="shared" si="114"/>
        <v>148</v>
      </c>
      <c r="V617" s="79">
        <f t="shared" si="211"/>
        <v>0</v>
      </c>
      <c r="W617" s="24">
        <f t="shared" si="129"/>
        <v>148</v>
      </c>
      <c r="X617" s="79">
        <f t="shared" si="211"/>
        <v>0</v>
      </c>
      <c r="Y617" s="24">
        <f t="shared" si="130"/>
        <v>148</v>
      </c>
      <c r="Z617" s="189"/>
    </row>
    <row r="618" spans="1:27" s="6" customFormat="1" x14ac:dyDescent="0.25">
      <c r="A618" s="30" t="s">
        <v>66</v>
      </c>
      <c r="B618" s="21" t="s">
        <v>182</v>
      </c>
      <c r="C618" s="132" t="s">
        <v>1188</v>
      </c>
      <c r="D618" s="81" t="s">
        <v>42</v>
      </c>
      <c r="E618" s="24"/>
      <c r="F618" s="24"/>
      <c r="G618" s="24"/>
      <c r="H618" s="80"/>
      <c r="I618" s="24"/>
      <c r="J618" s="80"/>
      <c r="K618" s="24"/>
      <c r="L618" s="95"/>
      <c r="M618" s="24"/>
      <c r="N618" s="119"/>
      <c r="O618" s="24"/>
      <c r="P618" s="95">
        <v>370</v>
      </c>
      <c r="Q618" s="24">
        <f t="shared" si="182"/>
        <v>370</v>
      </c>
      <c r="R618" s="80">
        <v>-222</v>
      </c>
      <c r="S618" s="24">
        <f t="shared" si="111"/>
        <v>148</v>
      </c>
      <c r="T618" s="83"/>
      <c r="U618" s="24">
        <f t="shared" si="114"/>
        <v>148</v>
      </c>
      <c r="V618" s="83"/>
      <c r="W618" s="24">
        <f t="shared" si="129"/>
        <v>148</v>
      </c>
      <c r="X618" s="83"/>
      <c r="Y618" s="24">
        <f t="shared" si="130"/>
        <v>148</v>
      </c>
      <c r="Z618" s="189"/>
      <c r="AA618" s="189">
        <f>Y618+Z618</f>
        <v>148</v>
      </c>
    </row>
    <row r="619" spans="1:27" s="6" customFormat="1" ht="24" x14ac:dyDescent="0.25">
      <c r="A619" s="128" t="s">
        <v>1033</v>
      </c>
      <c r="B619" s="20" t="s">
        <v>182</v>
      </c>
      <c r="C619" s="131" t="s">
        <v>1189</v>
      </c>
      <c r="D619" s="21"/>
      <c r="E619" s="24"/>
      <c r="F619" s="24"/>
      <c r="G619" s="24"/>
      <c r="H619" s="80"/>
      <c r="I619" s="24"/>
      <c r="J619" s="80"/>
      <c r="K619" s="24"/>
      <c r="L619" s="95"/>
      <c r="M619" s="24"/>
      <c r="N619" s="119"/>
      <c r="O619" s="24"/>
      <c r="P619" s="79">
        <f t="shared" ref="P619:X619" si="212">P620</f>
        <v>870</v>
      </c>
      <c r="Q619" s="24">
        <f t="shared" si="182"/>
        <v>870</v>
      </c>
      <c r="R619" s="79">
        <f t="shared" si="212"/>
        <v>-522</v>
      </c>
      <c r="S619" s="24">
        <f t="shared" si="111"/>
        <v>348</v>
      </c>
      <c r="T619" s="79">
        <f t="shared" si="212"/>
        <v>0</v>
      </c>
      <c r="U619" s="24">
        <f t="shared" si="114"/>
        <v>348</v>
      </c>
      <c r="V619" s="79">
        <f t="shared" si="212"/>
        <v>0</v>
      </c>
      <c r="W619" s="24">
        <f t="shared" si="129"/>
        <v>348</v>
      </c>
      <c r="X619" s="79">
        <f t="shared" si="212"/>
        <v>0</v>
      </c>
      <c r="Y619" s="24">
        <f t="shared" si="130"/>
        <v>348</v>
      </c>
      <c r="Z619" s="189"/>
    </row>
    <row r="620" spans="1:27" s="6" customFormat="1" x14ac:dyDescent="0.25">
      <c r="A620" s="30" t="s">
        <v>66</v>
      </c>
      <c r="B620" s="21" t="s">
        <v>182</v>
      </c>
      <c r="C620" s="132" t="s">
        <v>1189</v>
      </c>
      <c r="D620" s="81" t="s">
        <v>42</v>
      </c>
      <c r="E620" s="24"/>
      <c r="F620" s="24"/>
      <c r="G620" s="24"/>
      <c r="H620" s="80"/>
      <c r="I620" s="24"/>
      <c r="J620" s="80"/>
      <c r="K620" s="24"/>
      <c r="L620" s="95"/>
      <c r="M620" s="24"/>
      <c r="N620" s="119"/>
      <c r="O620" s="24"/>
      <c r="P620" s="95">
        <v>870</v>
      </c>
      <c r="Q620" s="24">
        <f t="shared" si="182"/>
        <v>870</v>
      </c>
      <c r="R620" s="80">
        <v>-522</v>
      </c>
      <c r="S620" s="24">
        <f t="shared" si="111"/>
        <v>348</v>
      </c>
      <c r="T620" s="83"/>
      <c r="U620" s="24">
        <f t="shared" si="114"/>
        <v>348</v>
      </c>
      <c r="V620" s="83"/>
      <c r="W620" s="24">
        <f t="shared" si="129"/>
        <v>348</v>
      </c>
      <c r="X620" s="83"/>
      <c r="Y620" s="24">
        <f t="shared" si="130"/>
        <v>348</v>
      </c>
      <c r="Z620" s="189"/>
      <c r="AA620" s="189">
        <f>Y620+Z620</f>
        <v>348</v>
      </c>
    </row>
    <row r="621" spans="1:27" s="6" customFormat="1" x14ac:dyDescent="0.25">
      <c r="A621" s="128" t="s">
        <v>1034</v>
      </c>
      <c r="B621" s="20" t="s">
        <v>182</v>
      </c>
      <c r="C621" s="131" t="s">
        <v>1190</v>
      </c>
      <c r="D621" s="21"/>
      <c r="E621" s="24"/>
      <c r="F621" s="24"/>
      <c r="G621" s="24"/>
      <c r="H621" s="80"/>
      <c r="I621" s="24"/>
      <c r="J621" s="80"/>
      <c r="K621" s="24"/>
      <c r="L621" s="95"/>
      <c r="M621" s="24"/>
      <c r="N621" s="119"/>
      <c r="O621" s="24"/>
      <c r="P621" s="79">
        <f t="shared" ref="P621:X621" si="213">P622</f>
        <v>1060</v>
      </c>
      <c r="Q621" s="24">
        <f t="shared" si="182"/>
        <v>1060</v>
      </c>
      <c r="R621" s="79">
        <f t="shared" si="213"/>
        <v>-636</v>
      </c>
      <c r="S621" s="24">
        <f t="shared" si="111"/>
        <v>424</v>
      </c>
      <c r="T621" s="79">
        <f t="shared" si="213"/>
        <v>0</v>
      </c>
      <c r="U621" s="24">
        <f t="shared" si="114"/>
        <v>424</v>
      </c>
      <c r="V621" s="79">
        <f t="shared" si="213"/>
        <v>0</v>
      </c>
      <c r="W621" s="24">
        <f t="shared" si="129"/>
        <v>424</v>
      </c>
      <c r="X621" s="79">
        <f t="shared" si="213"/>
        <v>0</v>
      </c>
      <c r="Y621" s="24">
        <f t="shared" si="130"/>
        <v>424</v>
      </c>
      <c r="Z621" s="189"/>
    </row>
    <row r="622" spans="1:27" s="6" customFormat="1" x14ac:dyDescent="0.25">
      <c r="A622" s="30" t="s">
        <v>66</v>
      </c>
      <c r="B622" s="21" t="s">
        <v>182</v>
      </c>
      <c r="C622" s="132" t="s">
        <v>1190</v>
      </c>
      <c r="D622" s="81" t="s">
        <v>42</v>
      </c>
      <c r="E622" s="24"/>
      <c r="F622" s="24"/>
      <c r="G622" s="24"/>
      <c r="H622" s="80"/>
      <c r="I622" s="24"/>
      <c r="J622" s="80"/>
      <c r="K622" s="24"/>
      <c r="L622" s="95"/>
      <c r="M622" s="24"/>
      <c r="N622" s="119"/>
      <c r="O622" s="24"/>
      <c r="P622" s="95">
        <v>1060</v>
      </c>
      <c r="Q622" s="24">
        <f t="shared" si="182"/>
        <v>1060</v>
      </c>
      <c r="R622" s="80">
        <v>-636</v>
      </c>
      <c r="S622" s="24">
        <f t="shared" si="111"/>
        <v>424</v>
      </c>
      <c r="T622" s="83"/>
      <c r="U622" s="24">
        <f t="shared" si="114"/>
        <v>424</v>
      </c>
      <c r="V622" s="83"/>
      <c r="W622" s="24">
        <f t="shared" si="129"/>
        <v>424</v>
      </c>
      <c r="X622" s="83"/>
      <c r="Y622" s="24">
        <f t="shared" si="130"/>
        <v>424</v>
      </c>
      <c r="Z622" s="189"/>
      <c r="AA622" s="189">
        <f>Y622+Z622</f>
        <v>424</v>
      </c>
    </row>
    <row r="623" spans="1:27" s="6" customFormat="1" ht="24" x14ac:dyDescent="0.25">
      <c r="A623" s="128" t="s">
        <v>1035</v>
      </c>
      <c r="B623" s="20" t="s">
        <v>182</v>
      </c>
      <c r="C623" s="131" t="s">
        <v>1191</v>
      </c>
      <c r="D623" s="21"/>
      <c r="E623" s="24"/>
      <c r="F623" s="24"/>
      <c r="G623" s="24"/>
      <c r="H623" s="80"/>
      <c r="I623" s="24"/>
      <c r="J623" s="80"/>
      <c r="K623" s="24"/>
      <c r="L623" s="95"/>
      <c r="M623" s="24"/>
      <c r="N623" s="119"/>
      <c r="O623" s="24"/>
      <c r="P623" s="79">
        <f t="shared" ref="P623:X623" si="214">P624</f>
        <v>335</v>
      </c>
      <c r="Q623" s="24">
        <f t="shared" ref="Q623:Q680" si="215">O623+P623</f>
        <v>335</v>
      </c>
      <c r="R623" s="79">
        <f t="shared" si="214"/>
        <v>-201</v>
      </c>
      <c r="S623" s="24">
        <f t="shared" si="111"/>
        <v>134</v>
      </c>
      <c r="T623" s="79">
        <f t="shared" si="214"/>
        <v>0</v>
      </c>
      <c r="U623" s="24">
        <f t="shared" si="114"/>
        <v>134</v>
      </c>
      <c r="V623" s="79">
        <f t="shared" si="214"/>
        <v>0</v>
      </c>
      <c r="W623" s="24">
        <f t="shared" si="129"/>
        <v>134</v>
      </c>
      <c r="X623" s="79">
        <f t="shared" si="214"/>
        <v>0</v>
      </c>
      <c r="Y623" s="24">
        <f t="shared" si="130"/>
        <v>134</v>
      </c>
      <c r="Z623" s="189"/>
    </row>
    <row r="624" spans="1:27" s="6" customFormat="1" x14ac:dyDescent="0.25">
      <c r="A624" s="30" t="s">
        <v>66</v>
      </c>
      <c r="B624" s="21" t="s">
        <v>182</v>
      </c>
      <c r="C624" s="132" t="s">
        <v>1191</v>
      </c>
      <c r="D624" s="81" t="s">
        <v>42</v>
      </c>
      <c r="E624" s="24"/>
      <c r="F624" s="24"/>
      <c r="G624" s="24"/>
      <c r="H624" s="80"/>
      <c r="I624" s="24"/>
      <c r="J624" s="80"/>
      <c r="K624" s="24"/>
      <c r="L624" s="95"/>
      <c r="M624" s="24"/>
      <c r="N624" s="119"/>
      <c r="O624" s="24"/>
      <c r="P624" s="95">
        <v>335</v>
      </c>
      <c r="Q624" s="24">
        <f t="shared" si="215"/>
        <v>335</v>
      </c>
      <c r="R624" s="80">
        <v>-201</v>
      </c>
      <c r="S624" s="24">
        <f t="shared" si="111"/>
        <v>134</v>
      </c>
      <c r="T624" s="83"/>
      <c r="U624" s="24">
        <f t="shared" si="114"/>
        <v>134</v>
      </c>
      <c r="V624" s="83"/>
      <c r="W624" s="24">
        <f t="shared" si="129"/>
        <v>134</v>
      </c>
      <c r="X624" s="83"/>
      <c r="Y624" s="24">
        <f t="shared" si="130"/>
        <v>134</v>
      </c>
      <c r="Z624" s="189"/>
      <c r="AA624" s="189">
        <f>Y624+Z624</f>
        <v>134</v>
      </c>
    </row>
    <row r="625" spans="1:27" s="6" customFormat="1" ht="24" x14ac:dyDescent="0.25">
      <c r="A625" s="128" t="s">
        <v>1036</v>
      </c>
      <c r="B625" s="20" t="s">
        <v>182</v>
      </c>
      <c r="C625" s="131" t="s">
        <v>1192</v>
      </c>
      <c r="D625" s="21"/>
      <c r="E625" s="24"/>
      <c r="F625" s="24"/>
      <c r="G625" s="24"/>
      <c r="H625" s="80"/>
      <c r="I625" s="24"/>
      <c r="J625" s="80"/>
      <c r="K625" s="24"/>
      <c r="L625" s="95"/>
      <c r="M625" s="24"/>
      <c r="N625" s="119"/>
      <c r="O625" s="24"/>
      <c r="P625" s="79">
        <f t="shared" ref="P625:X625" si="216">P626</f>
        <v>190</v>
      </c>
      <c r="Q625" s="24">
        <f t="shared" si="215"/>
        <v>190</v>
      </c>
      <c r="R625" s="79">
        <f t="shared" si="216"/>
        <v>-114</v>
      </c>
      <c r="S625" s="24">
        <f t="shared" si="111"/>
        <v>76</v>
      </c>
      <c r="T625" s="79">
        <f t="shared" si="216"/>
        <v>0</v>
      </c>
      <c r="U625" s="24">
        <f t="shared" si="114"/>
        <v>76</v>
      </c>
      <c r="V625" s="79">
        <f t="shared" si="216"/>
        <v>0</v>
      </c>
      <c r="W625" s="24">
        <f t="shared" si="129"/>
        <v>76</v>
      </c>
      <c r="X625" s="79">
        <f t="shared" si="216"/>
        <v>0</v>
      </c>
      <c r="Y625" s="24">
        <f t="shared" si="130"/>
        <v>76</v>
      </c>
      <c r="Z625" s="189"/>
    </row>
    <row r="626" spans="1:27" s="6" customFormat="1" x14ac:dyDescent="0.25">
      <c r="A626" s="30" t="s">
        <v>66</v>
      </c>
      <c r="B626" s="21" t="s">
        <v>182</v>
      </c>
      <c r="C626" s="132" t="s">
        <v>1192</v>
      </c>
      <c r="D626" s="81" t="s">
        <v>42</v>
      </c>
      <c r="E626" s="24"/>
      <c r="F626" s="24"/>
      <c r="G626" s="24"/>
      <c r="H626" s="80"/>
      <c r="I626" s="24"/>
      <c r="J626" s="80"/>
      <c r="K626" s="24"/>
      <c r="L626" s="95"/>
      <c r="M626" s="24"/>
      <c r="N626" s="119"/>
      <c r="O626" s="24"/>
      <c r="P626" s="95">
        <v>190</v>
      </c>
      <c r="Q626" s="24">
        <f t="shared" si="215"/>
        <v>190</v>
      </c>
      <c r="R626" s="80">
        <v>-114</v>
      </c>
      <c r="S626" s="24">
        <f t="shared" si="111"/>
        <v>76</v>
      </c>
      <c r="T626" s="83"/>
      <c r="U626" s="24">
        <f t="shared" si="114"/>
        <v>76</v>
      </c>
      <c r="V626" s="83"/>
      <c r="W626" s="24">
        <f t="shared" si="129"/>
        <v>76</v>
      </c>
      <c r="X626" s="83"/>
      <c r="Y626" s="24">
        <f t="shared" si="130"/>
        <v>76</v>
      </c>
      <c r="Z626" s="189"/>
      <c r="AA626" s="189">
        <f>Y626+Z626</f>
        <v>76</v>
      </c>
    </row>
    <row r="627" spans="1:27" s="6" customFormat="1" x14ac:dyDescent="0.25">
      <c r="A627" s="128" t="s">
        <v>1037</v>
      </c>
      <c r="B627" s="20" t="s">
        <v>182</v>
      </c>
      <c r="C627" s="131" t="s">
        <v>1193</v>
      </c>
      <c r="D627" s="21"/>
      <c r="E627" s="24"/>
      <c r="F627" s="24"/>
      <c r="G627" s="24"/>
      <c r="H627" s="80"/>
      <c r="I627" s="24"/>
      <c r="J627" s="80"/>
      <c r="K627" s="24"/>
      <c r="L627" s="95"/>
      <c r="M627" s="24"/>
      <c r="N627" s="119"/>
      <c r="O627" s="24"/>
      <c r="P627" s="79">
        <f t="shared" ref="P627:X627" si="217">P628</f>
        <v>500</v>
      </c>
      <c r="Q627" s="24">
        <f t="shared" si="215"/>
        <v>500</v>
      </c>
      <c r="R627" s="79">
        <f t="shared" si="217"/>
        <v>-300</v>
      </c>
      <c r="S627" s="24">
        <f t="shared" si="111"/>
        <v>200</v>
      </c>
      <c r="T627" s="79">
        <f t="shared" si="217"/>
        <v>0</v>
      </c>
      <c r="U627" s="24">
        <f t="shared" si="114"/>
        <v>200</v>
      </c>
      <c r="V627" s="79">
        <f t="shared" si="217"/>
        <v>0</v>
      </c>
      <c r="W627" s="24">
        <f t="shared" si="129"/>
        <v>200</v>
      </c>
      <c r="X627" s="79">
        <f t="shared" si="217"/>
        <v>0</v>
      </c>
      <c r="Y627" s="24">
        <f t="shared" si="130"/>
        <v>200</v>
      </c>
      <c r="Z627" s="189"/>
    </row>
    <row r="628" spans="1:27" s="6" customFormat="1" x14ac:dyDescent="0.25">
      <c r="A628" s="30" t="s">
        <v>66</v>
      </c>
      <c r="B628" s="21" t="s">
        <v>182</v>
      </c>
      <c r="C628" s="132" t="s">
        <v>1193</v>
      </c>
      <c r="D628" s="81" t="s">
        <v>42</v>
      </c>
      <c r="E628" s="24"/>
      <c r="F628" s="24"/>
      <c r="G628" s="24"/>
      <c r="H628" s="80"/>
      <c r="I628" s="24"/>
      <c r="J628" s="80"/>
      <c r="K628" s="24"/>
      <c r="L628" s="95"/>
      <c r="M628" s="24"/>
      <c r="N628" s="119"/>
      <c r="O628" s="24"/>
      <c r="P628" s="95">
        <v>500</v>
      </c>
      <c r="Q628" s="24">
        <f t="shared" si="215"/>
        <v>500</v>
      </c>
      <c r="R628" s="80">
        <v>-300</v>
      </c>
      <c r="S628" s="24">
        <f t="shared" si="111"/>
        <v>200</v>
      </c>
      <c r="T628" s="83"/>
      <c r="U628" s="24">
        <f t="shared" si="114"/>
        <v>200</v>
      </c>
      <c r="V628" s="83"/>
      <c r="W628" s="24">
        <f t="shared" si="129"/>
        <v>200</v>
      </c>
      <c r="X628" s="83"/>
      <c r="Y628" s="24">
        <f t="shared" si="130"/>
        <v>200</v>
      </c>
      <c r="Z628" s="189"/>
      <c r="AA628" s="189">
        <f>Y628+Z628</f>
        <v>200</v>
      </c>
    </row>
    <row r="629" spans="1:27" s="6" customFormat="1" ht="24" x14ac:dyDescent="0.25">
      <c r="A629" s="128" t="s">
        <v>1038</v>
      </c>
      <c r="B629" s="20" t="s">
        <v>182</v>
      </c>
      <c r="C629" s="131" t="s">
        <v>1194</v>
      </c>
      <c r="D629" s="21"/>
      <c r="E629" s="24"/>
      <c r="F629" s="24"/>
      <c r="G629" s="24"/>
      <c r="H629" s="80"/>
      <c r="I629" s="24"/>
      <c r="J629" s="80"/>
      <c r="K629" s="24"/>
      <c r="L629" s="95"/>
      <c r="M629" s="24"/>
      <c r="N629" s="119"/>
      <c r="O629" s="24"/>
      <c r="P629" s="79">
        <f>P630</f>
        <v>448</v>
      </c>
      <c r="Q629" s="24">
        <f t="shared" si="215"/>
        <v>448</v>
      </c>
      <c r="R629" s="79">
        <f>R630</f>
        <v>-268.8</v>
      </c>
      <c r="S629" s="24">
        <f t="shared" si="111"/>
        <v>179.2</v>
      </c>
      <c r="T629" s="79">
        <f>T630</f>
        <v>0</v>
      </c>
      <c r="U629" s="24">
        <f t="shared" si="114"/>
        <v>179.2</v>
      </c>
      <c r="V629" s="79">
        <f>V630</f>
        <v>0</v>
      </c>
      <c r="W629" s="24">
        <f t="shared" si="129"/>
        <v>179.2</v>
      </c>
      <c r="X629" s="79">
        <f>X630</f>
        <v>0</v>
      </c>
      <c r="Y629" s="24">
        <f t="shared" si="130"/>
        <v>179.2</v>
      </c>
      <c r="Z629" s="189"/>
    </row>
    <row r="630" spans="1:27" s="6" customFormat="1" x14ac:dyDescent="0.25">
      <c r="A630" s="30" t="s">
        <v>66</v>
      </c>
      <c r="B630" s="21" t="s">
        <v>182</v>
      </c>
      <c r="C630" s="132" t="s">
        <v>1194</v>
      </c>
      <c r="D630" s="81" t="s">
        <v>42</v>
      </c>
      <c r="E630" s="24"/>
      <c r="F630" s="24"/>
      <c r="G630" s="24"/>
      <c r="H630" s="80"/>
      <c r="I630" s="24"/>
      <c r="J630" s="80"/>
      <c r="K630" s="24"/>
      <c r="L630" s="95"/>
      <c r="M630" s="24"/>
      <c r="N630" s="119"/>
      <c r="O630" s="24"/>
      <c r="P630" s="95">
        <v>448</v>
      </c>
      <c r="Q630" s="24">
        <f t="shared" si="215"/>
        <v>448</v>
      </c>
      <c r="R630" s="80">
        <v>-268.8</v>
      </c>
      <c r="S630" s="24">
        <f t="shared" si="111"/>
        <v>179.2</v>
      </c>
      <c r="T630" s="83"/>
      <c r="U630" s="24">
        <f t="shared" si="114"/>
        <v>179.2</v>
      </c>
      <c r="V630" s="83"/>
      <c r="W630" s="24">
        <f t="shared" si="129"/>
        <v>179.2</v>
      </c>
      <c r="X630" s="83"/>
      <c r="Y630" s="24">
        <f t="shared" si="130"/>
        <v>179.2</v>
      </c>
      <c r="Z630" s="189"/>
      <c r="AA630" s="189">
        <f>Y630+Z630</f>
        <v>179.2</v>
      </c>
    </row>
    <row r="631" spans="1:27" s="6" customFormat="1" x14ac:dyDescent="0.25">
      <c r="A631" s="128" t="s">
        <v>1039</v>
      </c>
      <c r="B631" s="20" t="s">
        <v>182</v>
      </c>
      <c r="C631" s="131" t="s">
        <v>1195</v>
      </c>
      <c r="D631" s="21"/>
      <c r="E631" s="24"/>
      <c r="F631" s="24"/>
      <c r="G631" s="24"/>
      <c r="H631" s="80"/>
      <c r="I631" s="24"/>
      <c r="J631" s="80"/>
      <c r="K631" s="24"/>
      <c r="L631" s="95"/>
      <c r="M631" s="24"/>
      <c r="N631" s="119"/>
      <c r="O631" s="24"/>
      <c r="P631" s="79">
        <f>P632</f>
        <v>1485</v>
      </c>
      <c r="Q631" s="24">
        <f t="shared" si="215"/>
        <v>1485</v>
      </c>
      <c r="R631" s="79">
        <f>R632</f>
        <v>-891</v>
      </c>
      <c r="S631" s="24">
        <f t="shared" si="111"/>
        <v>594</v>
      </c>
      <c r="T631" s="79">
        <f>T632</f>
        <v>0</v>
      </c>
      <c r="U631" s="24">
        <f t="shared" si="114"/>
        <v>594</v>
      </c>
      <c r="V631" s="79">
        <f>V632</f>
        <v>0</v>
      </c>
      <c r="W631" s="24">
        <f t="shared" si="129"/>
        <v>594</v>
      </c>
      <c r="X631" s="79">
        <f>X632</f>
        <v>0</v>
      </c>
      <c r="Y631" s="24">
        <f t="shared" si="130"/>
        <v>594</v>
      </c>
      <c r="Z631" s="189"/>
    </row>
    <row r="632" spans="1:27" s="6" customFormat="1" x14ac:dyDescent="0.25">
      <c r="A632" s="30" t="s">
        <v>66</v>
      </c>
      <c r="B632" s="21" t="s">
        <v>182</v>
      </c>
      <c r="C632" s="132" t="s">
        <v>1195</v>
      </c>
      <c r="D632" s="81" t="s">
        <v>42</v>
      </c>
      <c r="E632" s="24"/>
      <c r="F632" s="24"/>
      <c r="G632" s="24"/>
      <c r="H632" s="80"/>
      <c r="I632" s="24"/>
      <c r="J632" s="80"/>
      <c r="K632" s="24"/>
      <c r="L632" s="95"/>
      <c r="M632" s="24"/>
      <c r="N632" s="119"/>
      <c r="O632" s="24"/>
      <c r="P632" s="95">
        <v>1485</v>
      </c>
      <c r="Q632" s="24">
        <f t="shared" si="215"/>
        <v>1485</v>
      </c>
      <c r="R632" s="80">
        <v>-891</v>
      </c>
      <c r="S632" s="24">
        <f t="shared" si="111"/>
        <v>594</v>
      </c>
      <c r="T632" s="83"/>
      <c r="U632" s="24">
        <f t="shared" si="114"/>
        <v>594</v>
      </c>
      <c r="V632" s="83"/>
      <c r="W632" s="24">
        <f t="shared" si="129"/>
        <v>594</v>
      </c>
      <c r="X632" s="83"/>
      <c r="Y632" s="24">
        <f t="shared" si="130"/>
        <v>594</v>
      </c>
      <c r="Z632" s="189"/>
      <c r="AA632" s="189">
        <f>Y632+Z632</f>
        <v>594</v>
      </c>
    </row>
    <row r="633" spans="1:27" s="6" customFormat="1" x14ac:dyDescent="0.25">
      <c r="A633" s="128" t="s">
        <v>1040</v>
      </c>
      <c r="B633" s="20" t="s">
        <v>182</v>
      </c>
      <c r="C633" s="131" t="s">
        <v>1196</v>
      </c>
      <c r="D633" s="21"/>
      <c r="E633" s="24"/>
      <c r="F633" s="24"/>
      <c r="G633" s="24"/>
      <c r="H633" s="80"/>
      <c r="I633" s="24"/>
      <c r="J633" s="80"/>
      <c r="K633" s="24"/>
      <c r="L633" s="95"/>
      <c r="M633" s="24"/>
      <c r="N633" s="119"/>
      <c r="O633" s="24"/>
      <c r="P633" s="79">
        <f>P634</f>
        <v>2550</v>
      </c>
      <c r="Q633" s="24">
        <f t="shared" si="215"/>
        <v>2550</v>
      </c>
      <c r="R633" s="79">
        <f>R634</f>
        <v>-1530</v>
      </c>
      <c r="S633" s="24">
        <f t="shared" si="111"/>
        <v>1020</v>
      </c>
      <c r="T633" s="79">
        <f>T634</f>
        <v>0</v>
      </c>
      <c r="U633" s="24">
        <f t="shared" si="114"/>
        <v>1020</v>
      </c>
      <c r="V633" s="79">
        <f>V634</f>
        <v>0</v>
      </c>
      <c r="W633" s="24">
        <f t="shared" si="129"/>
        <v>1020</v>
      </c>
      <c r="X633" s="79">
        <f>X634</f>
        <v>0</v>
      </c>
      <c r="Y633" s="24">
        <f t="shared" si="130"/>
        <v>1020</v>
      </c>
      <c r="Z633" s="189"/>
    </row>
    <row r="634" spans="1:27" s="6" customFormat="1" x14ac:dyDescent="0.25">
      <c r="A634" s="30" t="s">
        <v>66</v>
      </c>
      <c r="B634" s="21" t="s">
        <v>182</v>
      </c>
      <c r="C634" s="132" t="s">
        <v>1196</v>
      </c>
      <c r="D634" s="81" t="s">
        <v>42</v>
      </c>
      <c r="E634" s="24"/>
      <c r="F634" s="24"/>
      <c r="G634" s="24"/>
      <c r="H634" s="80"/>
      <c r="I634" s="24"/>
      <c r="J634" s="80"/>
      <c r="K634" s="24"/>
      <c r="L634" s="95"/>
      <c r="M634" s="24"/>
      <c r="N634" s="119"/>
      <c r="O634" s="24"/>
      <c r="P634" s="95">
        <v>2550</v>
      </c>
      <c r="Q634" s="24">
        <f t="shared" si="215"/>
        <v>2550</v>
      </c>
      <c r="R634" s="80">
        <v>-1530</v>
      </c>
      <c r="S634" s="24">
        <f t="shared" si="111"/>
        <v>1020</v>
      </c>
      <c r="T634" s="83"/>
      <c r="U634" s="24">
        <f t="shared" si="114"/>
        <v>1020</v>
      </c>
      <c r="V634" s="83"/>
      <c r="W634" s="24">
        <f t="shared" si="129"/>
        <v>1020</v>
      </c>
      <c r="X634" s="83"/>
      <c r="Y634" s="24">
        <f t="shared" si="130"/>
        <v>1020</v>
      </c>
      <c r="Z634" s="189"/>
      <c r="AA634" s="189">
        <f>Y634+Z634</f>
        <v>1020</v>
      </c>
    </row>
    <row r="635" spans="1:27" s="6" customFormat="1" x14ac:dyDescent="0.25">
      <c r="A635" s="128" t="s">
        <v>1041</v>
      </c>
      <c r="B635" s="20" t="s">
        <v>182</v>
      </c>
      <c r="C635" s="131" t="s">
        <v>1197</v>
      </c>
      <c r="D635" s="21"/>
      <c r="E635" s="24"/>
      <c r="F635" s="24"/>
      <c r="G635" s="24"/>
      <c r="H635" s="80"/>
      <c r="I635" s="24"/>
      <c r="J635" s="80"/>
      <c r="K635" s="24"/>
      <c r="L635" s="95"/>
      <c r="M635" s="24"/>
      <c r="N635" s="119"/>
      <c r="O635" s="24"/>
      <c r="P635" s="79">
        <f t="shared" ref="P635:X635" si="218">P636</f>
        <v>855</v>
      </c>
      <c r="Q635" s="24">
        <f t="shared" si="215"/>
        <v>855</v>
      </c>
      <c r="R635" s="79">
        <f t="shared" si="218"/>
        <v>-513</v>
      </c>
      <c r="S635" s="24">
        <f t="shared" si="111"/>
        <v>342</v>
      </c>
      <c r="T635" s="79">
        <f t="shared" si="218"/>
        <v>0</v>
      </c>
      <c r="U635" s="24">
        <f t="shared" si="114"/>
        <v>342</v>
      </c>
      <c r="V635" s="79">
        <f t="shared" si="218"/>
        <v>0</v>
      </c>
      <c r="W635" s="24">
        <f t="shared" si="129"/>
        <v>342</v>
      </c>
      <c r="X635" s="79">
        <f t="shared" si="218"/>
        <v>0</v>
      </c>
      <c r="Y635" s="24">
        <f t="shared" si="130"/>
        <v>342</v>
      </c>
      <c r="Z635" s="189"/>
    </row>
    <row r="636" spans="1:27" s="6" customFormat="1" x14ac:dyDescent="0.25">
      <c r="A636" s="30" t="s">
        <v>66</v>
      </c>
      <c r="B636" s="21" t="s">
        <v>182</v>
      </c>
      <c r="C636" s="132" t="s">
        <v>1197</v>
      </c>
      <c r="D636" s="81" t="s">
        <v>42</v>
      </c>
      <c r="E636" s="24"/>
      <c r="F636" s="24"/>
      <c r="G636" s="24"/>
      <c r="H636" s="80"/>
      <c r="I636" s="24"/>
      <c r="J636" s="80"/>
      <c r="K636" s="24"/>
      <c r="L636" s="95"/>
      <c r="M636" s="24"/>
      <c r="N636" s="119"/>
      <c r="O636" s="24"/>
      <c r="P636" s="95">
        <v>855</v>
      </c>
      <c r="Q636" s="24">
        <f t="shared" si="215"/>
        <v>855</v>
      </c>
      <c r="R636" s="80">
        <v>-513</v>
      </c>
      <c r="S636" s="24">
        <f t="shared" si="111"/>
        <v>342</v>
      </c>
      <c r="T636" s="83"/>
      <c r="U636" s="24">
        <f t="shared" si="114"/>
        <v>342</v>
      </c>
      <c r="V636" s="83"/>
      <c r="W636" s="24">
        <f t="shared" si="129"/>
        <v>342</v>
      </c>
      <c r="X636" s="83"/>
      <c r="Y636" s="24">
        <f t="shared" si="130"/>
        <v>342</v>
      </c>
      <c r="Z636" s="189"/>
      <c r="AA636" s="189">
        <f>Y636+Z636</f>
        <v>342</v>
      </c>
    </row>
    <row r="637" spans="1:27" s="6" customFormat="1" x14ac:dyDescent="0.25">
      <c r="A637" s="128" t="s">
        <v>1042</v>
      </c>
      <c r="B637" s="20" t="s">
        <v>182</v>
      </c>
      <c r="C637" s="131" t="s">
        <v>1198</v>
      </c>
      <c r="D637" s="21"/>
      <c r="E637" s="24"/>
      <c r="F637" s="24"/>
      <c r="G637" s="24"/>
      <c r="H637" s="80"/>
      <c r="I637" s="24"/>
      <c r="J637" s="80"/>
      <c r="K637" s="24"/>
      <c r="L637" s="95"/>
      <c r="M637" s="24"/>
      <c r="N637" s="119"/>
      <c r="O637" s="24"/>
      <c r="P637" s="79">
        <f>P638</f>
        <v>1007.5</v>
      </c>
      <c r="Q637" s="24">
        <f t="shared" si="215"/>
        <v>1007.5</v>
      </c>
      <c r="R637" s="79">
        <f>R638</f>
        <v>-604.5</v>
      </c>
      <c r="S637" s="24">
        <f t="shared" si="111"/>
        <v>403</v>
      </c>
      <c r="T637" s="79">
        <f>T638</f>
        <v>0</v>
      </c>
      <c r="U637" s="24">
        <f t="shared" si="114"/>
        <v>403</v>
      </c>
      <c r="V637" s="79">
        <f>V638</f>
        <v>0</v>
      </c>
      <c r="W637" s="24">
        <f t="shared" si="129"/>
        <v>403</v>
      </c>
      <c r="X637" s="79">
        <f>X638</f>
        <v>0</v>
      </c>
      <c r="Y637" s="24">
        <f t="shared" si="130"/>
        <v>403</v>
      </c>
      <c r="Z637" s="189"/>
    </row>
    <row r="638" spans="1:27" s="6" customFormat="1" x14ac:dyDescent="0.25">
      <c r="A638" s="30" t="s">
        <v>66</v>
      </c>
      <c r="B638" s="21" t="s">
        <v>182</v>
      </c>
      <c r="C638" s="132" t="s">
        <v>1198</v>
      </c>
      <c r="D638" s="81" t="s">
        <v>42</v>
      </c>
      <c r="E638" s="24"/>
      <c r="F638" s="24"/>
      <c r="G638" s="24"/>
      <c r="H638" s="80"/>
      <c r="I638" s="24"/>
      <c r="J638" s="80"/>
      <c r="K638" s="24"/>
      <c r="L638" s="95"/>
      <c r="M638" s="24"/>
      <c r="N638" s="119"/>
      <c r="O638" s="24"/>
      <c r="P638" s="95">
        <v>1007.5</v>
      </c>
      <c r="Q638" s="24">
        <f t="shared" si="215"/>
        <v>1007.5</v>
      </c>
      <c r="R638" s="80">
        <v>-604.5</v>
      </c>
      <c r="S638" s="24">
        <f t="shared" si="111"/>
        <v>403</v>
      </c>
      <c r="T638" s="83"/>
      <c r="U638" s="24">
        <f t="shared" si="114"/>
        <v>403</v>
      </c>
      <c r="V638" s="83"/>
      <c r="W638" s="24">
        <f t="shared" si="129"/>
        <v>403</v>
      </c>
      <c r="X638" s="83"/>
      <c r="Y638" s="24">
        <f t="shared" si="130"/>
        <v>403</v>
      </c>
      <c r="Z638" s="189"/>
      <c r="AA638" s="189">
        <f>Y638+Z638</f>
        <v>403</v>
      </c>
    </row>
    <row r="639" spans="1:27" s="6" customFormat="1" x14ac:dyDescent="0.25">
      <c r="A639" s="128" t="s">
        <v>1043</v>
      </c>
      <c r="B639" s="20" t="s">
        <v>182</v>
      </c>
      <c r="C639" s="131" t="s">
        <v>1199</v>
      </c>
      <c r="D639" s="21"/>
      <c r="E639" s="24"/>
      <c r="F639" s="24"/>
      <c r="G639" s="24"/>
      <c r="H639" s="80"/>
      <c r="I639" s="24"/>
      <c r="J639" s="80"/>
      <c r="K639" s="24"/>
      <c r="L639" s="95"/>
      <c r="M639" s="24"/>
      <c r="N639" s="119"/>
      <c r="O639" s="24"/>
      <c r="P639" s="79">
        <f>P640</f>
        <v>900</v>
      </c>
      <c r="Q639" s="24">
        <f t="shared" si="215"/>
        <v>900</v>
      </c>
      <c r="R639" s="79">
        <f>R640</f>
        <v>-540</v>
      </c>
      <c r="S639" s="24">
        <f t="shared" si="111"/>
        <v>360</v>
      </c>
      <c r="T639" s="79">
        <f>T640</f>
        <v>0</v>
      </c>
      <c r="U639" s="24">
        <f t="shared" si="114"/>
        <v>360</v>
      </c>
      <c r="V639" s="79">
        <f>V640</f>
        <v>0</v>
      </c>
      <c r="W639" s="24">
        <f t="shared" si="129"/>
        <v>360</v>
      </c>
      <c r="X639" s="79">
        <f>X640</f>
        <v>0</v>
      </c>
      <c r="Y639" s="24">
        <f t="shared" si="130"/>
        <v>360</v>
      </c>
      <c r="Z639" s="189"/>
    </row>
    <row r="640" spans="1:27" s="6" customFormat="1" x14ac:dyDescent="0.25">
      <c r="A640" s="30" t="s">
        <v>66</v>
      </c>
      <c r="B640" s="21" t="s">
        <v>182</v>
      </c>
      <c r="C640" s="132" t="s">
        <v>1199</v>
      </c>
      <c r="D640" s="81" t="s">
        <v>42</v>
      </c>
      <c r="E640" s="24"/>
      <c r="F640" s="24"/>
      <c r="G640" s="24"/>
      <c r="H640" s="80"/>
      <c r="I640" s="24"/>
      <c r="J640" s="80"/>
      <c r="K640" s="24"/>
      <c r="L640" s="95"/>
      <c r="M640" s="24"/>
      <c r="N640" s="119"/>
      <c r="O640" s="24"/>
      <c r="P640" s="95">
        <v>900</v>
      </c>
      <c r="Q640" s="24">
        <f t="shared" si="215"/>
        <v>900</v>
      </c>
      <c r="R640" s="80">
        <v>-540</v>
      </c>
      <c r="S640" s="24">
        <f t="shared" si="111"/>
        <v>360</v>
      </c>
      <c r="T640" s="83"/>
      <c r="U640" s="24">
        <f t="shared" si="114"/>
        <v>360</v>
      </c>
      <c r="V640" s="83"/>
      <c r="W640" s="24">
        <f t="shared" si="129"/>
        <v>360</v>
      </c>
      <c r="X640" s="83"/>
      <c r="Y640" s="24">
        <f t="shared" si="130"/>
        <v>360</v>
      </c>
      <c r="Z640" s="189"/>
      <c r="AA640" s="189">
        <f>Y640+Z640</f>
        <v>360</v>
      </c>
    </row>
    <row r="641" spans="1:27" s="6" customFormat="1" x14ac:dyDescent="0.25">
      <c r="A641" s="128" t="s">
        <v>1044</v>
      </c>
      <c r="B641" s="20" t="s">
        <v>182</v>
      </c>
      <c r="C641" s="131" t="s">
        <v>1200</v>
      </c>
      <c r="D641" s="21"/>
      <c r="E641" s="24"/>
      <c r="F641" s="24"/>
      <c r="G641" s="24"/>
      <c r="H641" s="80"/>
      <c r="I641" s="24"/>
      <c r="J641" s="80"/>
      <c r="K641" s="24"/>
      <c r="L641" s="95"/>
      <c r="M641" s="24"/>
      <c r="N641" s="119"/>
      <c r="O641" s="24"/>
      <c r="P641" s="79">
        <f>P642</f>
        <v>2500</v>
      </c>
      <c r="Q641" s="24">
        <f t="shared" si="215"/>
        <v>2500</v>
      </c>
      <c r="R641" s="79">
        <f>R642</f>
        <v>-1500</v>
      </c>
      <c r="S641" s="24">
        <f t="shared" si="111"/>
        <v>1000</v>
      </c>
      <c r="T641" s="79">
        <f>T642</f>
        <v>0</v>
      </c>
      <c r="U641" s="24">
        <f t="shared" si="114"/>
        <v>1000</v>
      </c>
      <c r="V641" s="79">
        <f>V642</f>
        <v>-40</v>
      </c>
      <c r="W641" s="24">
        <f t="shared" si="129"/>
        <v>960</v>
      </c>
      <c r="X641" s="79">
        <f>X642</f>
        <v>0</v>
      </c>
      <c r="Y641" s="24">
        <f t="shared" si="130"/>
        <v>960</v>
      </c>
      <c r="Z641" s="189"/>
    </row>
    <row r="642" spans="1:27" s="6" customFormat="1" x14ac:dyDescent="0.25">
      <c r="A642" s="30" t="s">
        <v>66</v>
      </c>
      <c r="B642" s="21" t="s">
        <v>182</v>
      </c>
      <c r="C642" s="132" t="s">
        <v>1200</v>
      </c>
      <c r="D642" s="81" t="s">
        <v>42</v>
      </c>
      <c r="E642" s="24"/>
      <c r="F642" s="24"/>
      <c r="G642" s="24"/>
      <c r="H642" s="80"/>
      <c r="I642" s="24"/>
      <c r="J642" s="80"/>
      <c r="K642" s="24"/>
      <c r="L642" s="95"/>
      <c r="M642" s="24"/>
      <c r="N642" s="119"/>
      <c r="O642" s="24"/>
      <c r="P642" s="95">
        <v>2500</v>
      </c>
      <c r="Q642" s="24">
        <f t="shared" si="215"/>
        <v>2500</v>
      </c>
      <c r="R642" s="80">
        <v>-1500</v>
      </c>
      <c r="S642" s="24">
        <f t="shared" si="111"/>
        <v>1000</v>
      </c>
      <c r="T642" s="83"/>
      <c r="U642" s="24">
        <f t="shared" si="114"/>
        <v>1000</v>
      </c>
      <c r="V642" s="80">
        <v>-40</v>
      </c>
      <c r="W642" s="24">
        <f t="shared" si="129"/>
        <v>960</v>
      </c>
      <c r="X642" s="83"/>
      <c r="Y642" s="24">
        <f t="shared" si="130"/>
        <v>960</v>
      </c>
      <c r="Z642" s="189"/>
      <c r="AA642" s="189">
        <f>Y642+Z642</f>
        <v>960</v>
      </c>
    </row>
    <row r="643" spans="1:27" s="6" customFormat="1" x14ac:dyDescent="0.25">
      <c r="A643" s="128" t="s">
        <v>1045</v>
      </c>
      <c r="B643" s="20" t="s">
        <v>182</v>
      </c>
      <c r="C643" s="131" t="s">
        <v>1201</v>
      </c>
      <c r="D643" s="21"/>
      <c r="E643" s="24"/>
      <c r="F643" s="24"/>
      <c r="G643" s="24"/>
      <c r="H643" s="80"/>
      <c r="I643" s="24"/>
      <c r="J643" s="80"/>
      <c r="K643" s="24"/>
      <c r="L643" s="95"/>
      <c r="M643" s="24"/>
      <c r="N643" s="119"/>
      <c r="O643" s="24"/>
      <c r="P643" s="79">
        <f>P644</f>
        <v>1416</v>
      </c>
      <c r="Q643" s="24">
        <f t="shared" si="215"/>
        <v>1416</v>
      </c>
      <c r="R643" s="79">
        <f>R644</f>
        <v>-849.6</v>
      </c>
      <c r="S643" s="24">
        <f t="shared" si="111"/>
        <v>566.4</v>
      </c>
      <c r="T643" s="79">
        <f>T644</f>
        <v>0</v>
      </c>
      <c r="U643" s="24">
        <f t="shared" si="114"/>
        <v>566.4</v>
      </c>
      <c r="V643" s="79">
        <f>V644</f>
        <v>0</v>
      </c>
      <c r="W643" s="24">
        <f t="shared" si="129"/>
        <v>566.4</v>
      </c>
      <c r="X643" s="79">
        <f>X644</f>
        <v>0</v>
      </c>
      <c r="Y643" s="24">
        <f t="shared" si="130"/>
        <v>566.4</v>
      </c>
      <c r="Z643" s="189"/>
    </row>
    <row r="644" spans="1:27" s="6" customFormat="1" x14ac:dyDescent="0.25">
      <c r="A644" s="30" t="s">
        <v>66</v>
      </c>
      <c r="B644" s="21" t="s">
        <v>182</v>
      </c>
      <c r="C644" s="132" t="s">
        <v>1201</v>
      </c>
      <c r="D644" s="81" t="s">
        <v>42</v>
      </c>
      <c r="E644" s="24"/>
      <c r="F644" s="24"/>
      <c r="G644" s="24"/>
      <c r="H644" s="80"/>
      <c r="I644" s="24"/>
      <c r="J644" s="80"/>
      <c r="K644" s="24"/>
      <c r="L644" s="95"/>
      <c r="M644" s="24"/>
      <c r="N644" s="119"/>
      <c r="O644" s="24"/>
      <c r="P644" s="95">
        <v>1416</v>
      </c>
      <c r="Q644" s="24">
        <f t="shared" si="215"/>
        <v>1416</v>
      </c>
      <c r="R644" s="80">
        <v>-849.6</v>
      </c>
      <c r="S644" s="24">
        <f t="shared" si="111"/>
        <v>566.4</v>
      </c>
      <c r="T644" s="83"/>
      <c r="U644" s="24">
        <f t="shared" si="114"/>
        <v>566.4</v>
      </c>
      <c r="V644" s="83"/>
      <c r="W644" s="24">
        <f t="shared" si="129"/>
        <v>566.4</v>
      </c>
      <c r="X644" s="83"/>
      <c r="Y644" s="24">
        <f t="shared" si="130"/>
        <v>566.4</v>
      </c>
      <c r="Z644" s="189"/>
      <c r="AA644" s="189">
        <f>Y644+Z644</f>
        <v>566.4</v>
      </c>
    </row>
    <row r="645" spans="1:27" s="6" customFormat="1" x14ac:dyDescent="0.25">
      <c r="A645" s="128" t="s">
        <v>1046</v>
      </c>
      <c r="B645" s="20" t="s">
        <v>182</v>
      </c>
      <c r="C645" s="131" t="s">
        <v>1202</v>
      </c>
      <c r="D645" s="21"/>
      <c r="E645" s="24"/>
      <c r="F645" s="24"/>
      <c r="G645" s="24"/>
      <c r="H645" s="80"/>
      <c r="I645" s="24"/>
      <c r="J645" s="80"/>
      <c r="K645" s="24"/>
      <c r="L645" s="95"/>
      <c r="M645" s="24"/>
      <c r="N645" s="119"/>
      <c r="O645" s="24"/>
      <c r="P645" s="79">
        <f>P646</f>
        <v>2047.5</v>
      </c>
      <c r="Q645" s="24">
        <f t="shared" si="215"/>
        <v>2047.5</v>
      </c>
      <c r="R645" s="79">
        <f>R646</f>
        <v>-1228.5</v>
      </c>
      <c r="S645" s="24">
        <f t="shared" si="111"/>
        <v>819</v>
      </c>
      <c r="T645" s="79">
        <f>T646</f>
        <v>0</v>
      </c>
      <c r="U645" s="24">
        <f t="shared" si="114"/>
        <v>819</v>
      </c>
      <c r="V645" s="79">
        <f>V646</f>
        <v>0</v>
      </c>
      <c r="W645" s="24">
        <f t="shared" si="129"/>
        <v>819</v>
      </c>
      <c r="X645" s="79">
        <f>X646</f>
        <v>0</v>
      </c>
      <c r="Y645" s="24">
        <f t="shared" si="130"/>
        <v>819</v>
      </c>
      <c r="Z645" s="189"/>
    </row>
    <row r="646" spans="1:27" s="6" customFormat="1" x14ac:dyDescent="0.25">
      <c r="A646" s="30" t="s">
        <v>66</v>
      </c>
      <c r="B646" s="21" t="s">
        <v>182</v>
      </c>
      <c r="C646" s="132" t="s">
        <v>1202</v>
      </c>
      <c r="D646" s="81" t="s">
        <v>42</v>
      </c>
      <c r="E646" s="24"/>
      <c r="F646" s="24"/>
      <c r="G646" s="24"/>
      <c r="H646" s="80"/>
      <c r="I646" s="24"/>
      <c r="J646" s="80"/>
      <c r="K646" s="24"/>
      <c r="L646" s="95"/>
      <c r="M646" s="24"/>
      <c r="N646" s="119"/>
      <c r="O646" s="24"/>
      <c r="P646" s="95">
        <v>2047.5</v>
      </c>
      <c r="Q646" s="24">
        <f t="shared" si="215"/>
        <v>2047.5</v>
      </c>
      <c r="R646" s="80">
        <v>-1228.5</v>
      </c>
      <c r="S646" s="24">
        <f t="shared" si="111"/>
        <v>819</v>
      </c>
      <c r="T646" s="83"/>
      <c r="U646" s="24">
        <f t="shared" si="114"/>
        <v>819</v>
      </c>
      <c r="V646" s="83"/>
      <c r="W646" s="24">
        <f t="shared" si="129"/>
        <v>819</v>
      </c>
      <c r="X646" s="83"/>
      <c r="Y646" s="24">
        <f t="shared" si="130"/>
        <v>819</v>
      </c>
      <c r="Z646" s="189"/>
      <c r="AA646" s="189">
        <f>Y646+Z646</f>
        <v>819</v>
      </c>
    </row>
    <row r="647" spans="1:27" s="6" customFormat="1" x14ac:dyDescent="0.25">
      <c r="A647" s="128" t="s">
        <v>1047</v>
      </c>
      <c r="B647" s="20" t="s">
        <v>182</v>
      </c>
      <c r="C647" s="131" t="s">
        <v>1203</v>
      </c>
      <c r="D647" s="21"/>
      <c r="E647" s="24"/>
      <c r="F647" s="24"/>
      <c r="G647" s="24"/>
      <c r="H647" s="80"/>
      <c r="I647" s="24"/>
      <c r="J647" s="80"/>
      <c r="K647" s="24"/>
      <c r="L647" s="95"/>
      <c r="M647" s="24"/>
      <c r="N647" s="119"/>
      <c r="O647" s="24"/>
      <c r="P647" s="79">
        <f>P648</f>
        <v>1530</v>
      </c>
      <c r="Q647" s="24">
        <f t="shared" si="215"/>
        <v>1530</v>
      </c>
      <c r="R647" s="79">
        <f>R648</f>
        <v>-918</v>
      </c>
      <c r="S647" s="24">
        <f t="shared" si="111"/>
        <v>612</v>
      </c>
      <c r="T647" s="79">
        <f>T648</f>
        <v>0</v>
      </c>
      <c r="U647" s="24">
        <f t="shared" si="114"/>
        <v>612</v>
      </c>
      <c r="V647" s="79">
        <f>V648</f>
        <v>0</v>
      </c>
      <c r="W647" s="24">
        <f t="shared" si="129"/>
        <v>612</v>
      </c>
      <c r="X647" s="79">
        <f>X648</f>
        <v>0</v>
      </c>
      <c r="Y647" s="24">
        <f t="shared" si="130"/>
        <v>612</v>
      </c>
      <c r="Z647" s="189"/>
    </row>
    <row r="648" spans="1:27" s="6" customFormat="1" x14ac:dyDescent="0.25">
      <c r="A648" s="30" t="s">
        <v>66</v>
      </c>
      <c r="B648" s="21" t="s">
        <v>182</v>
      </c>
      <c r="C648" s="132" t="s">
        <v>1203</v>
      </c>
      <c r="D648" s="81" t="s">
        <v>42</v>
      </c>
      <c r="E648" s="24"/>
      <c r="F648" s="24"/>
      <c r="G648" s="24"/>
      <c r="H648" s="80"/>
      <c r="I648" s="24"/>
      <c r="J648" s="80"/>
      <c r="K648" s="24"/>
      <c r="L648" s="95"/>
      <c r="M648" s="24"/>
      <c r="N648" s="119"/>
      <c r="O648" s="24"/>
      <c r="P648" s="95">
        <v>1530</v>
      </c>
      <c r="Q648" s="24">
        <f t="shared" si="215"/>
        <v>1530</v>
      </c>
      <c r="R648" s="80">
        <v>-918</v>
      </c>
      <c r="S648" s="24">
        <f t="shared" si="111"/>
        <v>612</v>
      </c>
      <c r="T648" s="83"/>
      <c r="U648" s="24">
        <f t="shared" si="114"/>
        <v>612</v>
      </c>
      <c r="V648" s="83"/>
      <c r="W648" s="24">
        <f t="shared" si="129"/>
        <v>612</v>
      </c>
      <c r="X648" s="83"/>
      <c r="Y648" s="24">
        <f t="shared" si="130"/>
        <v>612</v>
      </c>
      <c r="Z648" s="189"/>
      <c r="AA648" s="189">
        <f>Y648+Z648</f>
        <v>612</v>
      </c>
    </row>
    <row r="649" spans="1:27" s="6" customFormat="1" ht="24" x14ac:dyDescent="0.25">
      <c r="A649" s="128" t="s">
        <v>1048</v>
      </c>
      <c r="B649" s="20" t="s">
        <v>182</v>
      </c>
      <c r="C649" s="131" t="s">
        <v>1204</v>
      </c>
      <c r="D649" s="21"/>
      <c r="E649" s="24"/>
      <c r="F649" s="24"/>
      <c r="G649" s="24"/>
      <c r="H649" s="80"/>
      <c r="I649" s="24"/>
      <c r="J649" s="80"/>
      <c r="K649" s="24"/>
      <c r="L649" s="95"/>
      <c r="M649" s="24"/>
      <c r="N649" s="119"/>
      <c r="O649" s="24"/>
      <c r="P649" s="79">
        <f t="shared" ref="P649:X649" si="219">P650</f>
        <v>605</v>
      </c>
      <c r="Q649" s="24">
        <f t="shared" si="215"/>
        <v>605</v>
      </c>
      <c r="R649" s="79">
        <f t="shared" si="219"/>
        <v>-363</v>
      </c>
      <c r="S649" s="24">
        <f t="shared" si="111"/>
        <v>242</v>
      </c>
      <c r="T649" s="79">
        <f t="shared" si="219"/>
        <v>0</v>
      </c>
      <c r="U649" s="24">
        <f t="shared" si="114"/>
        <v>242</v>
      </c>
      <c r="V649" s="79">
        <f t="shared" si="219"/>
        <v>0</v>
      </c>
      <c r="W649" s="24">
        <f t="shared" si="129"/>
        <v>242</v>
      </c>
      <c r="X649" s="79">
        <f t="shared" si="219"/>
        <v>0</v>
      </c>
      <c r="Y649" s="24">
        <f t="shared" si="130"/>
        <v>242</v>
      </c>
      <c r="Z649" s="189"/>
    </row>
    <row r="650" spans="1:27" s="6" customFormat="1" x14ac:dyDescent="0.25">
      <c r="A650" s="30" t="s">
        <v>66</v>
      </c>
      <c r="B650" s="21" t="s">
        <v>182</v>
      </c>
      <c r="C650" s="132" t="s">
        <v>1204</v>
      </c>
      <c r="D650" s="81" t="s">
        <v>42</v>
      </c>
      <c r="E650" s="24"/>
      <c r="F650" s="24"/>
      <c r="G650" s="24"/>
      <c r="H650" s="80"/>
      <c r="I650" s="24"/>
      <c r="J650" s="80"/>
      <c r="K650" s="24"/>
      <c r="L650" s="95"/>
      <c r="M650" s="24"/>
      <c r="N650" s="119"/>
      <c r="O650" s="24"/>
      <c r="P650" s="95">
        <v>605</v>
      </c>
      <c r="Q650" s="24">
        <f t="shared" si="215"/>
        <v>605</v>
      </c>
      <c r="R650" s="80">
        <v>-363</v>
      </c>
      <c r="S650" s="24">
        <f t="shared" si="111"/>
        <v>242</v>
      </c>
      <c r="T650" s="83"/>
      <c r="U650" s="24">
        <f t="shared" si="114"/>
        <v>242</v>
      </c>
      <c r="V650" s="83"/>
      <c r="W650" s="24">
        <f t="shared" si="129"/>
        <v>242</v>
      </c>
      <c r="X650" s="83"/>
      <c r="Y650" s="24">
        <f t="shared" si="130"/>
        <v>242</v>
      </c>
      <c r="Z650" s="189"/>
      <c r="AA650" s="189">
        <f>Y650+Z650</f>
        <v>242</v>
      </c>
    </row>
    <row r="651" spans="1:27" s="6" customFormat="1" x14ac:dyDescent="0.25">
      <c r="A651" s="128" t="s">
        <v>1049</v>
      </c>
      <c r="B651" s="20" t="s">
        <v>182</v>
      </c>
      <c r="C651" s="131" t="s">
        <v>1205</v>
      </c>
      <c r="D651" s="21"/>
      <c r="E651" s="24"/>
      <c r="F651" s="24"/>
      <c r="G651" s="24"/>
      <c r="H651" s="80"/>
      <c r="I651" s="24"/>
      <c r="J651" s="80"/>
      <c r="K651" s="24"/>
      <c r="L651" s="95"/>
      <c r="M651" s="24"/>
      <c r="N651" s="119"/>
      <c r="O651" s="24"/>
      <c r="P651" s="79">
        <f>P652</f>
        <v>1750</v>
      </c>
      <c r="Q651" s="24">
        <f t="shared" si="215"/>
        <v>1750</v>
      </c>
      <c r="R651" s="79">
        <f>R652</f>
        <v>-1050</v>
      </c>
      <c r="S651" s="24">
        <f t="shared" si="111"/>
        <v>700</v>
      </c>
      <c r="T651" s="79">
        <f>T652</f>
        <v>0</v>
      </c>
      <c r="U651" s="24">
        <f t="shared" si="114"/>
        <v>700</v>
      </c>
      <c r="V651" s="79">
        <f>V652</f>
        <v>0</v>
      </c>
      <c r="W651" s="24">
        <f t="shared" si="129"/>
        <v>700</v>
      </c>
      <c r="X651" s="79">
        <f>X652</f>
        <v>0</v>
      </c>
      <c r="Y651" s="24">
        <f t="shared" si="130"/>
        <v>700</v>
      </c>
      <c r="Z651" s="189"/>
    </row>
    <row r="652" spans="1:27" s="6" customFormat="1" x14ac:dyDescent="0.25">
      <c r="A652" s="30" t="s">
        <v>66</v>
      </c>
      <c r="B652" s="21" t="s">
        <v>182</v>
      </c>
      <c r="C652" s="132" t="s">
        <v>1205</v>
      </c>
      <c r="D652" s="81" t="s">
        <v>42</v>
      </c>
      <c r="E652" s="24"/>
      <c r="F652" s="24"/>
      <c r="G652" s="24"/>
      <c r="H652" s="80"/>
      <c r="I652" s="24"/>
      <c r="J652" s="80"/>
      <c r="K652" s="24"/>
      <c r="L652" s="95"/>
      <c r="M652" s="24"/>
      <c r="N652" s="119"/>
      <c r="O652" s="24"/>
      <c r="P652" s="95">
        <v>1750</v>
      </c>
      <c r="Q652" s="24">
        <f t="shared" si="215"/>
        <v>1750</v>
      </c>
      <c r="R652" s="80">
        <v>-1050</v>
      </c>
      <c r="S652" s="24">
        <f t="shared" si="111"/>
        <v>700</v>
      </c>
      <c r="T652" s="83"/>
      <c r="U652" s="24">
        <f t="shared" si="114"/>
        <v>700</v>
      </c>
      <c r="V652" s="83"/>
      <c r="W652" s="24">
        <f t="shared" si="129"/>
        <v>700</v>
      </c>
      <c r="X652" s="83"/>
      <c r="Y652" s="24">
        <f t="shared" si="130"/>
        <v>700</v>
      </c>
      <c r="Z652" s="189"/>
      <c r="AA652" s="189">
        <f>Y652+Z652</f>
        <v>700</v>
      </c>
    </row>
    <row r="653" spans="1:27" s="6" customFormat="1" x14ac:dyDescent="0.25">
      <c r="A653" s="128" t="s">
        <v>1050</v>
      </c>
      <c r="B653" s="20" t="s">
        <v>182</v>
      </c>
      <c r="C653" s="131" t="s">
        <v>1206</v>
      </c>
      <c r="D653" s="21"/>
      <c r="E653" s="24"/>
      <c r="F653" s="24"/>
      <c r="G653" s="24"/>
      <c r="H653" s="80"/>
      <c r="I653" s="24"/>
      <c r="J653" s="80"/>
      <c r="K653" s="24"/>
      <c r="L653" s="95"/>
      <c r="M653" s="24"/>
      <c r="N653" s="119"/>
      <c r="O653" s="24"/>
      <c r="P653" s="79">
        <f>P654</f>
        <v>300</v>
      </c>
      <c r="Q653" s="24">
        <f t="shared" si="215"/>
        <v>300</v>
      </c>
      <c r="R653" s="79">
        <f>R654</f>
        <v>-180</v>
      </c>
      <c r="S653" s="24">
        <f t="shared" si="111"/>
        <v>120</v>
      </c>
      <c r="T653" s="79">
        <f>T654</f>
        <v>0</v>
      </c>
      <c r="U653" s="24">
        <f t="shared" si="114"/>
        <v>120</v>
      </c>
      <c r="V653" s="79">
        <f>V654</f>
        <v>0</v>
      </c>
      <c r="W653" s="24">
        <f t="shared" si="129"/>
        <v>120</v>
      </c>
      <c r="X653" s="79">
        <f>X654</f>
        <v>0</v>
      </c>
      <c r="Y653" s="24">
        <f t="shared" si="130"/>
        <v>120</v>
      </c>
      <c r="Z653" s="189"/>
    </row>
    <row r="654" spans="1:27" s="6" customFormat="1" x14ac:dyDescent="0.25">
      <c r="A654" s="30" t="s">
        <v>66</v>
      </c>
      <c r="B654" s="21" t="s">
        <v>182</v>
      </c>
      <c r="C654" s="132" t="s">
        <v>1206</v>
      </c>
      <c r="D654" s="81" t="s">
        <v>42</v>
      </c>
      <c r="E654" s="24"/>
      <c r="F654" s="24"/>
      <c r="G654" s="24"/>
      <c r="H654" s="80"/>
      <c r="I654" s="24"/>
      <c r="J654" s="80"/>
      <c r="K654" s="24"/>
      <c r="L654" s="95"/>
      <c r="M654" s="24"/>
      <c r="N654" s="119"/>
      <c r="O654" s="24"/>
      <c r="P654" s="95">
        <v>300</v>
      </c>
      <c r="Q654" s="24">
        <f t="shared" si="215"/>
        <v>300</v>
      </c>
      <c r="R654" s="80">
        <v>-180</v>
      </c>
      <c r="S654" s="24">
        <f t="shared" si="111"/>
        <v>120</v>
      </c>
      <c r="T654" s="83"/>
      <c r="U654" s="24">
        <f t="shared" si="114"/>
        <v>120</v>
      </c>
      <c r="V654" s="83"/>
      <c r="W654" s="24">
        <f t="shared" si="129"/>
        <v>120</v>
      </c>
      <c r="X654" s="83"/>
      <c r="Y654" s="24">
        <f t="shared" si="130"/>
        <v>120</v>
      </c>
      <c r="Z654" s="189"/>
      <c r="AA654" s="189">
        <f>Y654+Z654</f>
        <v>120</v>
      </c>
    </row>
    <row r="655" spans="1:27" s="6" customFormat="1" x14ac:dyDescent="0.25">
      <c r="A655" s="128" t="s">
        <v>1051</v>
      </c>
      <c r="B655" s="20" t="s">
        <v>182</v>
      </c>
      <c r="C655" s="131" t="s">
        <v>1207</v>
      </c>
      <c r="D655" s="21"/>
      <c r="E655" s="24"/>
      <c r="F655" s="24"/>
      <c r="G655" s="24"/>
      <c r="H655" s="80"/>
      <c r="I655" s="24"/>
      <c r="J655" s="80"/>
      <c r="K655" s="24"/>
      <c r="L655" s="95"/>
      <c r="M655" s="24"/>
      <c r="N655" s="119"/>
      <c r="O655" s="24"/>
      <c r="P655" s="79">
        <f>P656</f>
        <v>752.5</v>
      </c>
      <c r="Q655" s="24">
        <f t="shared" si="215"/>
        <v>752.5</v>
      </c>
      <c r="R655" s="79">
        <f>R656</f>
        <v>-451.5</v>
      </c>
      <c r="S655" s="24">
        <f t="shared" si="111"/>
        <v>301</v>
      </c>
      <c r="T655" s="79">
        <f>T656</f>
        <v>0</v>
      </c>
      <c r="U655" s="24">
        <f t="shared" si="114"/>
        <v>301</v>
      </c>
      <c r="V655" s="79">
        <f>V656</f>
        <v>0</v>
      </c>
      <c r="W655" s="24">
        <f t="shared" si="129"/>
        <v>301</v>
      </c>
      <c r="X655" s="79">
        <f>X656</f>
        <v>0</v>
      </c>
      <c r="Y655" s="24">
        <f t="shared" si="130"/>
        <v>301</v>
      </c>
      <c r="Z655" s="189"/>
    </row>
    <row r="656" spans="1:27" s="6" customFormat="1" x14ac:dyDescent="0.25">
      <c r="A656" s="30" t="s">
        <v>66</v>
      </c>
      <c r="B656" s="21" t="s">
        <v>182</v>
      </c>
      <c r="C656" s="132" t="s">
        <v>1207</v>
      </c>
      <c r="D656" s="81" t="s">
        <v>42</v>
      </c>
      <c r="E656" s="24"/>
      <c r="F656" s="24"/>
      <c r="G656" s="24"/>
      <c r="H656" s="80"/>
      <c r="I656" s="24"/>
      <c r="J656" s="80"/>
      <c r="K656" s="24"/>
      <c r="L656" s="95"/>
      <c r="M656" s="24"/>
      <c r="N656" s="119"/>
      <c r="O656" s="24"/>
      <c r="P656" s="95">
        <v>752.5</v>
      </c>
      <c r="Q656" s="24">
        <f t="shared" si="215"/>
        <v>752.5</v>
      </c>
      <c r="R656" s="80">
        <v>-451.5</v>
      </c>
      <c r="S656" s="24">
        <f t="shared" si="111"/>
        <v>301</v>
      </c>
      <c r="T656" s="83"/>
      <c r="U656" s="24">
        <f t="shared" si="114"/>
        <v>301</v>
      </c>
      <c r="V656" s="83"/>
      <c r="W656" s="24">
        <f t="shared" si="129"/>
        <v>301</v>
      </c>
      <c r="X656" s="83"/>
      <c r="Y656" s="24">
        <f t="shared" si="130"/>
        <v>301</v>
      </c>
      <c r="Z656" s="189"/>
      <c r="AA656" s="189">
        <f>Y656+Z656</f>
        <v>301</v>
      </c>
    </row>
    <row r="657" spans="1:27" s="6" customFormat="1" x14ac:dyDescent="0.25">
      <c r="A657" s="128" t="s">
        <v>1052</v>
      </c>
      <c r="B657" s="20" t="s">
        <v>182</v>
      </c>
      <c r="C657" s="131" t="s">
        <v>1208</v>
      </c>
      <c r="D657" s="21"/>
      <c r="E657" s="24"/>
      <c r="F657" s="24"/>
      <c r="G657" s="24"/>
      <c r="H657" s="80"/>
      <c r="I657" s="24"/>
      <c r="J657" s="80"/>
      <c r="K657" s="24"/>
      <c r="L657" s="95"/>
      <c r="M657" s="24"/>
      <c r="N657" s="119"/>
      <c r="O657" s="24"/>
      <c r="P657" s="79">
        <f>P658</f>
        <v>375</v>
      </c>
      <c r="Q657" s="24">
        <f t="shared" si="215"/>
        <v>375</v>
      </c>
      <c r="R657" s="79">
        <f>R658</f>
        <v>-225</v>
      </c>
      <c r="S657" s="24">
        <f t="shared" si="111"/>
        <v>150</v>
      </c>
      <c r="T657" s="79">
        <f>T658</f>
        <v>0</v>
      </c>
      <c r="U657" s="24">
        <f t="shared" si="114"/>
        <v>150</v>
      </c>
      <c r="V657" s="79">
        <f>V658</f>
        <v>0</v>
      </c>
      <c r="W657" s="24">
        <f t="shared" si="129"/>
        <v>150</v>
      </c>
      <c r="X657" s="79">
        <f>X658</f>
        <v>0</v>
      </c>
      <c r="Y657" s="24">
        <f t="shared" si="130"/>
        <v>150</v>
      </c>
      <c r="Z657" s="189"/>
    </row>
    <row r="658" spans="1:27" s="6" customFormat="1" x14ac:dyDescent="0.25">
      <c r="A658" s="30" t="s">
        <v>66</v>
      </c>
      <c r="B658" s="21" t="s">
        <v>182</v>
      </c>
      <c r="C658" s="132" t="s">
        <v>1208</v>
      </c>
      <c r="D658" s="81" t="s">
        <v>42</v>
      </c>
      <c r="E658" s="24"/>
      <c r="F658" s="24"/>
      <c r="G658" s="24"/>
      <c r="H658" s="80"/>
      <c r="I658" s="24"/>
      <c r="J658" s="80"/>
      <c r="K658" s="24"/>
      <c r="L658" s="95"/>
      <c r="M658" s="24"/>
      <c r="N658" s="119"/>
      <c r="O658" s="24"/>
      <c r="P658" s="95">
        <v>375</v>
      </c>
      <c r="Q658" s="24">
        <f t="shared" si="215"/>
        <v>375</v>
      </c>
      <c r="R658" s="80">
        <v>-225</v>
      </c>
      <c r="S658" s="24">
        <f t="shared" si="111"/>
        <v>150</v>
      </c>
      <c r="T658" s="83"/>
      <c r="U658" s="24">
        <f t="shared" si="114"/>
        <v>150</v>
      </c>
      <c r="V658" s="83"/>
      <c r="W658" s="24">
        <f t="shared" si="129"/>
        <v>150</v>
      </c>
      <c r="X658" s="83"/>
      <c r="Y658" s="24">
        <f t="shared" si="130"/>
        <v>150</v>
      </c>
      <c r="Z658" s="189"/>
      <c r="AA658" s="189">
        <f>Y658+Z658</f>
        <v>150</v>
      </c>
    </row>
    <row r="659" spans="1:27" s="6" customFormat="1" x14ac:dyDescent="0.25">
      <c r="A659" s="128" t="s">
        <v>1053</v>
      </c>
      <c r="B659" s="20" t="s">
        <v>182</v>
      </c>
      <c r="C659" s="131" t="s">
        <v>1209</v>
      </c>
      <c r="D659" s="21"/>
      <c r="E659" s="24"/>
      <c r="F659" s="24"/>
      <c r="G659" s="24"/>
      <c r="H659" s="80"/>
      <c r="I659" s="24"/>
      <c r="J659" s="80"/>
      <c r="K659" s="24"/>
      <c r="L659" s="95"/>
      <c r="M659" s="24"/>
      <c r="N659" s="119"/>
      <c r="O659" s="24"/>
      <c r="P659" s="79">
        <f>P660</f>
        <v>650</v>
      </c>
      <c r="Q659" s="24">
        <f t="shared" si="215"/>
        <v>650</v>
      </c>
      <c r="R659" s="79">
        <f>R660</f>
        <v>-390</v>
      </c>
      <c r="S659" s="24">
        <f t="shared" si="111"/>
        <v>260</v>
      </c>
      <c r="T659" s="79">
        <f>T660</f>
        <v>0</v>
      </c>
      <c r="U659" s="24">
        <f t="shared" si="114"/>
        <v>260</v>
      </c>
      <c r="V659" s="79">
        <f>V660</f>
        <v>0</v>
      </c>
      <c r="W659" s="24">
        <f t="shared" si="129"/>
        <v>260</v>
      </c>
      <c r="X659" s="79">
        <f>X660</f>
        <v>0</v>
      </c>
      <c r="Y659" s="24">
        <f t="shared" si="130"/>
        <v>260</v>
      </c>
      <c r="Z659" s="189"/>
    </row>
    <row r="660" spans="1:27" s="6" customFormat="1" x14ac:dyDescent="0.25">
      <c r="A660" s="30" t="s">
        <v>66</v>
      </c>
      <c r="B660" s="21" t="s">
        <v>182</v>
      </c>
      <c r="C660" s="132" t="s">
        <v>1209</v>
      </c>
      <c r="D660" s="81" t="s">
        <v>42</v>
      </c>
      <c r="E660" s="24"/>
      <c r="F660" s="24"/>
      <c r="G660" s="24"/>
      <c r="H660" s="80"/>
      <c r="I660" s="24"/>
      <c r="J660" s="80"/>
      <c r="K660" s="24"/>
      <c r="L660" s="95"/>
      <c r="M660" s="24"/>
      <c r="N660" s="119"/>
      <c r="O660" s="24"/>
      <c r="P660" s="95">
        <v>650</v>
      </c>
      <c r="Q660" s="24">
        <f t="shared" si="215"/>
        <v>650</v>
      </c>
      <c r="R660" s="80">
        <v>-390</v>
      </c>
      <c r="S660" s="24">
        <f t="shared" si="111"/>
        <v>260</v>
      </c>
      <c r="T660" s="83"/>
      <c r="U660" s="24">
        <f t="shared" si="114"/>
        <v>260</v>
      </c>
      <c r="V660" s="83"/>
      <c r="W660" s="24">
        <f t="shared" si="129"/>
        <v>260</v>
      </c>
      <c r="X660" s="83"/>
      <c r="Y660" s="24">
        <f t="shared" si="130"/>
        <v>260</v>
      </c>
      <c r="Z660" s="189"/>
      <c r="AA660" s="189">
        <f>Y660+Z660</f>
        <v>260</v>
      </c>
    </row>
    <row r="661" spans="1:27" s="6" customFormat="1" x14ac:dyDescent="0.25">
      <c r="A661" s="128" t="s">
        <v>1054</v>
      </c>
      <c r="B661" s="20" t="s">
        <v>182</v>
      </c>
      <c r="C661" s="131" t="s">
        <v>1210</v>
      </c>
      <c r="D661" s="21"/>
      <c r="E661" s="24"/>
      <c r="F661" s="24"/>
      <c r="G661" s="24"/>
      <c r="H661" s="80"/>
      <c r="I661" s="24"/>
      <c r="J661" s="80"/>
      <c r="K661" s="24"/>
      <c r="L661" s="95"/>
      <c r="M661" s="24"/>
      <c r="N661" s="119"/>
      <c r="O661" s="24"/>
      <c r="P661" s="79">
        <f>P662</f>
        <v>600</v>
      </c>
      <c r="Q661" s="24">
        <f t="shared" si="215"/>
        <v>600</v>
      </c>
      <c r="R661" s="79">
        <f>R662</f>
        <v>-360</v>
      </c>
      <c r="S661" s="24">
        <f t="shared" si="111"/>
        <v>240</v>
      </c>
      <c r="T661" s="79">
        <f>T662</f>
        <v>0</v>
      </c>
      <c r="U661" s="24">
        <f t="shared" si="114"/>
        <v>240</v>
      </c>
      <c r="V661" s="79">
        <f>V662</f>
        <v>0</v>
      </c>
      <c r="W661" s="24">
        <f t="shared" si="129"/>
        <v>240</v>
      </c>
      <c r="X661" s="79">
        <f>X662</f>
        <v>0</v>
      </c>
      <c r="Y661" s="24">
        <f t="shared" si="130"/>
        <v>240</v>
      </c>
      <c r="Z661" s="189"/>
    </row>
    <row r="662" spans="1:27" s="6" customFormat="1" x14ac:dyDescent="0.25">
      <c r="A662" s="30" t="s">
        <v>66</v>
      </c>
      <c r="B662" s="21" t="s">
        <v>182</v>
      </c>
      <c r="C662" s="132" t="s">
        <v>1210</v>
      </c>
      <c r="D662" s="81" t="s">
        <v>42</v>
      </c>
      <c r="E662" s="24"/>
      <c r="F662" s="24"/>
      <c r="G662" s="24"/>
      <c r="H662" s="80"/>
      <c r="I662" s="24"/>
      <c r="J662" s="80"/>
      <c r="K662" s="24"/>
      <c r="L662" s="95"/>
      <c r="M662" s="24"/>
      <c r="N662" s="119"/>
      <c r="O662" s="24"/>
      <c r="P662" s="95">
        <v>600</v>
      </c>
      <c r="Q662" s="24">
        <f t="shared" si="215"/>
        <v>600</v>
      </c>
      <c r="R662" s="80">
        <v>-360</v>
      </c>
      <c r="S662" s="24">
        <f t="shared" si="111"/>
        <v>240</v>
      </c>
      <c r="T662" s="83"/>
      <c r="U662" s="24">
        <f t="shared" si="114"/>
        <v>240</v>
      </c>
      <c r="V662" s="83"/>
      <c r="W662" s="24">
        <f t="shared" si="129"/>
        <v>240</v>
      </c>
      <c r="X662" s="83"/>
      <c r="Y662" s="24">
        <f t="shared" si="130"/>
        <v>240</v>
      </c>
      <c r="Z662" s="189"/>
      <c r="AA662" s="189">
        <f>Y662+Z662</f>
        <v>240</v>
      </c>
    </row>
    <row r="663" spans="1:27" s="6" customFormat="1" x14ac:dyDescent="0.25">
      <c r="A663" s="128" t="s">
        <v>1055</v>
      </c>
      <c r="B663" s="20" t="s">
        <v>182</v>
      </c>
      <c r="C663" s="131" t="s">
        <v>1211</v>
      </c>
      <c r="D663" s="21"/>
      <c r="E663" s="24"/>
      <c r="F663" s="24"/>
      <c r="G663" s="24"/>
      <c r="H663" s="80"/>
      <c r="I663" s="24"/>
      <c r="J663" s="80"/>
      <c r="K663" s="24"/>
      <c r="L663" s="95"/>
      <c r="M663" s="24"/>
      <c r="N663" s="119"/>
      <c r="O663" s="24"/>
      <c r="P663" s="79">
        <f t="shared" ref="P663:X663" si="220">P664</f>
        <v>469</v>
      </c>
      <c r="Q663" s="24">
        <f t="shared" si="215"/>
        <v>469</v>
      </c>
      <c r="R663" s="79">
        <f t="shared" si="220"/>
        <v>-281.39999999999998</v>
      </c>
      <c r="S663" s="24">
        <f t="shared" si="111"/>
        <v>187.60000000000002</v>
      </c>
      <c r="T663" s="79">
        <f t="shared" si="220"/>
        <v>0</v>
      </c>
      <c r="U663" s="24">
        <f t="shared" si="114"/>
        <v>187.60000000000002</v>
      </c>
      <c r="V663" s="79">
        <f t="shared" si="220"/>
        <v>0</v>
      </c>
      <c r="W663" s="24">
        <f t="shared" si="129"/>
        <v>187.60000000000002</v>
      </c>
      <c r="X663" s="79">
        <f t="shared" si="220"/>
        <v>0</v>
      </c>
      <c r="Y663" s="24">
        <f t="shared" si="130"/>
        <v>187.60000000000002</v>
      </c>
      <c r="Z663" s="189"/>
    </row>
    <row r="664" spans="1:27" s="6" customFormat="1" x14ac:dyDescent="0.25">
      <c r="A664" s="30" t="s">
        <v>66</v>
      </c>
      <c r="B664" s="21" t="s">
        <v>182</v>
      </c>
      <c r="C664" s="132" t="s">
        <v>1211</v>
      </c>
      <c r="D664" s="81" t="s">
        <v>42</v>
      </c>
      <c r="E664" s="24"/>
      <c r="F664" s="24"/>
      <c r="G664" s="24"/>
      <c r="H664" s="80"/>
      <c r="I664" s="24"/>
      <c r="J664" s="80"/>
      <c r="K664" s="24"/>
      <c r="L664" s="95"/>
      <c r="M664" s="24"/>
      <c r="N664" s="119"/>
      <c r="O664" s="24"/>
      <c r="P664" s="95">
        <v>469</v>
      </c>
      <c r="Q664" s="24">
        <f t="shared" si="215"/>
        <v>469</v>
      </c>
      <c r="R664" s="80">
        <v>-281.39999999999998</v>
      </c>
      <c r="S664" s="24">
        <f t="shared" si="111"/>
        <v>187.60000000000002</v>
      </c>
      <c r="T664" s="83"/>
      <c r="U664" s="24">
        <f t="shared" si="114"/>
        <v>187.60000000000002</v>
      </c>
      <c r="V664" s="83"/>
      <c r="W664" s="24">
        <f t="shared" si="129"/>
        <v>187.60000000000002</v>
      </c>
      <c r="X664" s="83"/>
      <c r="Y664" s="24">
        <f t="shared" si="130"/>
        <v>187.60000000000002</v>
      </c>
      <c r="Z664" s="189"/>
      <c r="AA664" s="189">
        <f>Y664+Z664</f>
        <v>187.60000000000002</v>
      </c>
    </row>
    <row r="665" spans="1:27" s="6" customFormat="1" x14ac:dyDescent="0.25">
      <c r="A665" s="128" t="s">
        <v>1056</v>
      </c>
      <c r="B665" s="20" t="s">
        <v>182</v>
      </c>
      <c r="C665" s="131" t="s">
        <v>1212</v>
      </c>
      <c r="D665" s="21"/>
      <c r="E665" s="24"/>
      <c r="F665" s="24"/>
      <c r="G665" s="24"/>
      <c r="H665" s="80"/>
      <c r="I665" s="24"/>
      <c r="J665" s="80"/>
      <c r="K665" s="24"/>
      <c r="L665" s="95"/>
      <c r="M665" s="24"/>
      <c r="N665" s="119"/>
      <c r="O665" s="24"/>
      <c r="P665" s="79">
        <f>P666</f>
        <v>292</v>
      </c>
      <c r="Q665" s="24">
        <f t="shared" si="215"/>
        <v>292</v>
      </c>
      <c r="R665" s="79">
        <f>R666</f>
        <v>-175.2</v>
      </c>
      <c r="S665" s="24">
        <f t="shared" si="111"/>
        <v>116.80000000000001</v>
      </c>
      <c r="T665" s="79">
        <f>T666</f>
        <v>0</v>
      </c>
      <c r="U665" s="24">
        <f t="shared" si="114"/>
        <v>116.80000000000001</v>
      </c>
      <c r="V665" s="79">
        <f>V666</f>
        <v>0</v>
      </c>
      <c r="W665" s="24">
        <f t="shared" si="129"/>
        <v>116.80000000000001</v>
      </c>
      <c r="X665" s="79">
        <f>X666</f>
        <v>0</v>
      </c>
      <c r="Y665" s="24">
        <f t="shared" si="130"/>
        <v>116.80000000000001</v>
      </c>
      <c r="Z665" s="189"/>
    </row>
    <row r="666" spans="1:27" s="6" customFormat="1" x14ac:dyDescent="0.25">
      <c r="A666" s="30" t="s">
        <v>66</v>
      </c>
      <c r="B666" s="21" t="s">
        <v>182</v>
      </c>
      <c r="C666" s="132" t="s">
        <v>1212</v>
      </c>
      <c r="D666" s="81" t="s">
        <v>42</v>
      </c>
      <c r="E666" s="24"/>
      <c r="F666" s="24"/>
      <c r="G666" s="24"/>
      <c r="H666" s="80"/>
      <c r="I666" s="24"/>
      <c r="J666" s="80"/>
      <c r="K666" s="24"/>
      <c r="L666" s="95"/>
      <c r="M666" s="24"/>
      <c r="N666" s="119"/>
      <c r="O666" s="24"/>
      <c r="P666" s="95">
        <v>292</v>
      </c>
      <c r="Q666" s="24">
        <f t="shared" si="215"/>
        <v>292</v>
      </c>
      <c r="R666" s="80">
        <v>-175.2</v>
      </c>
      <c r="S666" s="24">
        <f t="shared" si="111"/>
        <v>116.80000000000001</v>
      </c>
      <c r="T666" s="83"/>
      <c r="U666" s="24">
        <f t="shared" si="114"/>
        <v>116.80000000000001</v>
      </c>
      <c r="V666" s="83"/>
      <c r="W666" s="24">
        <f t="shared" si="129"/>
        <v>116.80000000000001</v>
      </c>
      <c r="X666" s="83"/>
      <c r="Y666" s="24">
        <f t="shared" si="130"/>
        <v>116.80000000000001</v>
      </c>
      <c r="Z666" s="189"/>
      <c r="AA666" s="189">
        <f>Y666+Z666</f>
        <v>116.80000000000001</v>
      </c>
    </row>
    <row r="667" spans="1:27" s="6" customFormat="1" ht="24" x14ac:dyDescent="0.25">
      <c r="A667" s="128" t="s">
        <v>1057</v>
      </c>
      <c r="B667" s="20" t="s">
        <v>182</v>
      </c>
      <c r="C667" s="131" t="s">
        <v>1213</v>
      </c>
      <c r="D667" s="21"/>
      <c r="E667" s="24"/>
      <c r="F667" s="24"/>
      <c r="G667" s="24"/>
      <c r="H667" s="80"/>
      <c r="I667" s="24"/>
      <c r="J667" s="80"/>
      <c r="K667" s="24"/>
      <c r="L667" s="95"/>
      <c r="M667" s="24"/>
      <c r="N667" s="119"/>
      <c r="O667" s="24"/>
      <c r="P667" s="79">
        <f>P668</f>
        <v>765</v>
      </c>
      <c r="Q667" s="24">
        <f t="shared" si="215"/>
        <v>765</v>
      </c>
      <c r="R667" s="79">
        <f>R668</f>
        <v>-459</v>
      </c>
      <c r="S667" s="24">
        <f t="shared" si="111"/>
        <v>306</v>
      </c>
      <c r="T667" s="79">
        <f>T668</f>
        <v>0</v>
      </c>
      <c r="U667" s="24">
        <f t="shared" si="114"/>
        <v>306</v>
      </c>
      <c r="V667" s="79">
        <f>V668</f>
        <v>0</v>
      </c>
      <c r="W667" s="24">
        <f t="shared" si="129"/>
        <v>306</v>
      </c>
      <c r="X667" s="79">
        <f>X668</f>
        <v>0</v>
      </c>
      <c r="Y667" s="24">
        <f t="shared" si="130"/>
        <v>306</v>
      </c>
      <c r="Z667" s="189"/>
    </row>
    <row r="668" spans="1:27" s="6" customFormat="1" x14ac:dyDescent="0.25">
      <c r="A668" s="30" t="s">
        <v>66</v>
      </c>
      <c r="B668" s="21" t="s">
        <v>182</v>
      </c>
      <c r="C668" s="132" t="s">
        <v>1213</v>
      </c>
      <c r="D668" s="81" t="s">
        <v>42</v>
      </c>
      <c r="E668" s="24"/>
      <c r="F668" s="24"/>
      <c r="G668" s="24"/>
      <c r="H668" s="80"/>
      <c r="I668" s="24"/>
      <c r="J668" s="80"/>
      <c r="K668" s="24"/>
      <c r="L668" s="95"/>
      <c r="M668" s="24"/>
      <c r="N668" s="119"/>
      <c r="O668" s="24"/>
      <c r="P668" s="95">
        <v>765</v>
      </c>
      <c r="Q668" s="24">
        <f t="shared" si="215"/>
        <v>765</v>
      </c>
      <c r="R668" s="80">
        <v>-459</v>
      </c>
      <c r="S668" s="24">
        <f t="shared" si="111"/>
        <v>306</v>
      </c>
      <c r="T668" s="83"/>
      <c r="U668" s="24">
        <f t="shared" si="114"/>
        <v>306</v>
      </c>
      <c r="V668" s="83"/>
      <c r="W668" s="24">
        <f t="shared" si="129"/>
        <v>306</v>
      </c>
      <c r="X668" s="83"/>
      <c r="Y668" s="24">
        <f t="shared" si="130"/>
        <v>306</v>
      </c>
      <c r="Z668" s="189"/>
      <c r="AA668" s="189">
        <f>Y668+Z668</f>
        <v>306</v>
      </c>
    </row>
    <row r="669" spans="1:27" s="6" customFormat="1" x14ac:dyDescent="0.25">
      <c r="A669" s="128" t="s">
        <v>1058</v>
      </c>
      <c r="B669" s="20" t="s">
        <v>182</v>
      </c>
      <c r="C669" s="131" t="s">
        <v>1214</v>
      </c>
      <c r="D669" s="21"/>
      <c r="E669" s="24"/>
      <c r="F669" s="24"/>
      <c r="G669" s="24"/>
      <c r="H669" s="80"/>
      <c r="I669" s="24"/>
      <c r="J669" s="80"/>
      <c r="K669" s="24"/>
      <c r="L669" s="95"/>
      <c r="M669" s="24"/>
      <c r="N669" s="119"/>
      <c r="O669" s="24"/>
      <c r="P669" s="79">
        <f>P670</f>
        <v>355</v>
      </c>
      <c r="Q669" s="24">
        <f t="shared" si="215"/>
        <v>355</v>
      </c>
      <c r="R669" s="79">
        <f>R670</f>
        <v>-213</v>
      </c>
      <c r="S669" s="24">
        <f t="shared" si="111"/>
        <v>142</v>
      </c>
      <c r="T669" s="79">
        <f>T670</f>
        <v>0</v>
      </c>
      <c r="U669" s="24">
        <f t="shared" si="114"/>
        <v>142</v>
      </c>
      <c r="V669" s="79">
        <f>V670</f>
        <v>0</v>
      </c>
      <c r="W669" s="24">
        <f t="shared" si="129"/>
        <v>142</v>
      </c>
      <c r="X669" s="79">
        <f>X670</f>
        <v>0</v>
      </c>
      <c r="Y669" s="24">
        <f t="shared" si="130"/>
        <v>142</v>
      </c>
      <c r="Z669" s="189"/>
    </row>
    <row r="670" spans="1:27" s="6" customFormat="1" x14ac:dyDescent="0.25">
      <c r="A670" s="30" t="s">
        <v>66</v>
      </c>
      <c r="B670" s="21" t="s">
        <v>182</v>
      </c>
      <c r="C670" s="132" t="s">
        <v>1214</v>
      </c>
      <c r="D670" s="81" t="s">
        <v>42</v>
      </c>
      <c r="E670" s="24"/>
      <c r="F670" s="24"/>
      <c r="G670" s="24"/>
      <c r="H670" s="80"/>
      <c r="I670" s="24"/>
      <c r="J670" s="80"/>
      <c r="K670" s="24"/>
      <c r="L670" s="95"/>
      <c r="M670" s="24"/>
      <c r="N670" s="119"/>
      <c r="O670" s="24"/>
      <c r="P670" s="95">
        <v>355</v>
      </c>
      <c r="Q670" s="24">
        <f t="shared" si="215"/>
        <v>355</v>
      </c>
      <c r="R670" s="80">
        <v>-213</v>
      </c>
      <c r="S670" s="24">
        <f t="shared" si="111"/>
        <v>142</v>
      </c>
      <c r="T670" s="83"/>
      <c r="U670" s="24">
        <f t="shared" si="114"/>
        <v>142</v>
      </c>
      <c r="V670" s="83"/>
      <c r="W670" s="24">
        <f t="shared" si="129"/>
        <v>142</v>
      </c>
      <c r="X670" s="83"/>
      <c r="Y670" s="24">
        <f t="shared" si="130"/>
        <v>142</v>
      </c>
      <c r="Z670" s="189"/>
      <c r="AA670" s="189">
        <f>Y670+Z670</f>
        <v>142</v>
      </c>
    </row>
    <row r="671" spans="1:27" s="6" customFormat="1" x14ac:dyDescent="0.25">
      <c r="A671" s="128" t="s">
        <v>1059</v>
      </c>
      <c r="B671" s="20" t="s">
        <v>182</v>
      </c>
      <c r="C671" s="131" t="s">
        <v>1215</v>
      </c>
      <c r="D671" s="21"/>
      <c r="E671" s="24"/>
      <c r="F671" s="24"/>
      <c r="G671" s="24"/>
      <c r="H671" s="80"/>
      <c r="I671" s="24"/>
      <c r="J671" s="80"/>
      <c r="K671" s="24"/>
      <c r="L671" s="95"/>
      <c r="M671" s="24"/>
      <c r="N671" s="119"/>
      <c r="O671" s="24"/>
      <c r="P671" s="79">
        <f>P672</f>
        <v>295</v>
      </c>
      <c r="Q671" s="24">
        <f t="shared" si="215"/>
        <v>295</v>
      </c>
      <c r="R671" s="79">
        <f>R672</f>
        <v>-177</v>
      </c>
      <c r="S671" s="24">
        <f t="shared" si="111"/>
        <v>118</v>
      </c>
      <c r="T671" s="79">
        <f>T672</f>
        <v>0</v>
      </c>
      <c r="U671" s="24">
        <f t="shared" si="114"/>
        <v>118</v>
      </c>
      <c r="V671" s="79">
        <f>V672</f>
        <v>0</v>
      </c>
      <c r="W671" s="24">
        <f t="shared" si="129"/>
        <v>118</v>
      </c>
      <c r="X671" s="79">
        <f>X672</f>
        <v>0</v>
      </c>
      <c r="Y671" s="24">
        <f t="shared" si="130"/>
        <v>118</v>
      </c>
      <c r="Z671" s="189"/>
    </row>
    <row r="672" spans="1:27" s="6" customFormat="1" x14ac:dyDescent="0.25">
      <c r="A672" s="30" t="s">
        <v>66</v>
      </c>
      <c r="B672" s="21" t="s">
        <v>182</v>
      </c>
      <c r="C672" s="132" t="s">
        <v>1215</v>
      </c>
      <c r="D672" s="81" t="s">
        <v>42</v>
      </c>
      <c r="E672" s="24"/>
      <c r="F672" s="24"/>
      <c r="G672" s="24"/>
      <c r="H672" s="80"/>
      <c r="I672" s="24"/>
      <c r="J672" s="80"/>
      <c r="K672" s="24"/>
      <c r="L672" s="95"/>
      <c r="M672" s="24"/>
      <c r="N672" s="119"/>
      <c r="O672" s="24"/>
      <c r="P672" s="95">
        <v>295</v>
      </c>
      <c r="Q672" s="24">
        <f t="shared" si="215"/>
        <v>295</v>
      </c>
      <c r="R672" s="80">
        <v>-177</v>
      </c>
      <c r="S672" s="24">
        <f t="shared" si="111"/>
        <v>118</v>
      </c>
      <c r="T672" s="83"/>
      <c r="U672" s="24">
        <f t="shared" si="114"/>
        <v>118</v>
      </c>
      <c r="V672" s="83"/>
      <c r="W672" s="24">
        <f t="shared" si="129"/>
        <v>118</v>
      </c>
      <c r="X672" s="83"/>
      <c r="Y672" s="24">
        <f t="shared" si="130"/>
        <v>118</v>
      </c>
      <c r="Z672" s="189"/>
      <c r="AA672" s="189">
        <f>Y672+Z672</f>
        <v>118</v>
      </c>
    </row>
    <row r="673" spans="1:27" s="6" customFormat="1" x14ac:dyDescent="0.25">
      <c r="A673" s="128" t="s">
        <v>1060</v>
      </c>
      <c r="B673" s="20" t="s">
        <v>182</v>
      </c>
      <c r="C673" s="131" t="s">
        <v>1216</v>
      </c>
      <c r="D673" s="21"/>
      <c r="E673" s="24"/>
      <c r="F673" s="24"/>
      <c r="G673" s="24"/>
      <c r="H673" s="80"/>
      <c r="I673" s="24"/>
      <c r="J673" s="80"/>
      <c r="K673" s="24"/>
      <c r="L673" s="95"/>
      <c r="M673" s="24"/>
      <c r="N673" s="119"/>
      <c r="O673" s="24"/>
      <c r="P673" s="79">
        <f>P674</f>
        <v>247.5</v>
      </c>
      <c r="Q673" s="24">
        <f t="shared" si="215"/>
        <v>247.5</v>
      </c>
      <c r="R673" s="79">
        <f>R674</f>
        <v>-148.5</v>
      </c>
      <c r="S673" s="24">
        <f t="shared" si="111"/>
        <v>99</v>
      </c>
      <c r="T673" s="79">
        <f>T674</f>
        <v>0</v>
      </c>
      <c r="U673" s="24">
        <f t="shared" si="114"/>
        <v>99</v>
      </c>
      <c r="V673" s="79">
        <f>V674</f>
        <v>0</v>
      </c>
      <c r="W673" s="24">
        <f t="shared" si="129"/>
        <v>99</v>
      </c>
      <c r="X673" s="79">
        <f>X674</f>
        <v>0</v>
      </c>
      <c r="Y673" s="24">
        <f t="shared" si="130"/>
        <v>99</v>
      </c>
      <c r="Z673" s="189"/>
    </row>
    <row r="674" spans="1:27" s="6" customFormat="1" x14ac:dyDescent="0.25">
      <c r="A674" s="30" t="s">
        <v>66</v>
      </c>
      <c r="B674" s="21" t="s">
        <v>182</v>
      </c>
      <c r="C674" s="132" t="s">
        <v>1216</v>
      </c>
      <c r="D674" s="81" t="s">
        <v>42</v>
      </c>
      <c r="E674" s="24"/>
      <c r="F674" s="24"/>
      <c r="G674" s="24"/>
      <c r="H674" s="80"/>
      <c r="I674" s="24"/>
      <c r="J674" s="80"/>
      <c r="K674" s="24"/>
      <c r="L674" s="95"/>
      <c r="M674" s="24"/>
      <c r="N674" s="119"/>
      <c r="O674" s="24"/>
      <c r="P674" s="95">
        <v>247.5</v>
      </c>
      <c r="Q674" s="24">
        <f t="shared" si="215"/>
        <v>247.5</v>
      </c>
      <c r="R674" s="80">
        <v>-148.5</v>
      </c>
      <c r="S674" s="24">
        <f t="shared" si="111"/>
        <v>99</v>
      </c>
      <c r="T674" s="83"/>
      <c r="U674" s="24">
        <f t="shared" si="114"/>
        <v>99</v>
      </c>
      <c r="V674" s="83"/>
      <c r="W674" s="24">
        <f t="shared" si="129"/>
        <v>99</v>
      </c>
      <c r="X674" s="83"/>
      <c r="Y674" s="24">
        <f t="shared" si="130"/>
        <v>99</v>
      </c>
      <c r="Z674" s="189"/>
      <c r="AA674" s="189">
        <f>Y674+Z674</f>
        <v>99</v>
      </c>
    </row>
    <row r="675" spans="1:27" s="6" customFormat="1" x14ac:dyDescent="0.25">
      <c r="A675" s="128" t="s">
        <v>1061</v>
      </c>
      <c r="B675" s="20" t="s">
        <v>182</v>
      </c>
      <c r="C675" s="131" t="s">
        <v>1217</v>
      </c>
      <c r="D675" s="21"/>
      <c r="E675" s="24"/>
      <c r="F675" s="24"/>
      <c r="G675" s="24"/>
      <c r="H675" s="80"/>
      <c r="I675" s="24"/>
      <c r="J675" s="80"/>
      <c r="K675" s="24"/>
      <c r="L675" s="95"/>
      <c r="M675" s="24"/>
      <c r="N675" s="119"/>
      <c r="O675" s="24"/>
      <c r="P675" s="79">
        <f>P676</f>
        <v>120</v>
      </c>
      <c r="Q675" s="24">
        <f t="shared" si="215"/>
        <v>120</v>
      </c>
      <c r="R675" s="79">
        <f>R676</f>
        <v>-72</v>
      </c>
      <c r="S675" s="24">
        <f t="shared" si="111"/>
        <v>48</v>
      </c>
      <c r="T675" s="79">
        <f>T676</f>
        <v>0</v>
      </c>
      <c r="U675" s="24">
        <f t="shared" si="114"/>
        <v>48</v>
      </c>
      <c r="V675" s="79">
        <f>V676</f>
        <v>0</v>
      </c>
      <c r="W675" s="24">
        <f t="shared" si="129"/>
        <v>48</v>
      </c>
      <c r="X675" s="79">
        <f>X676</f>
        <v>0</v>
      </c>
      <c r="Y675" s="24">
        <f t="shared" si="130"/>
        <v>48</v>
      </c>
      <c r="Z675" s="189"/>
    </row>
    <row r="676" spans="1:27" s="6" customFormat="1" x14ac:dyDescent="0.25">
      <c r="A676" s="30" t="s">
        <v>66</v>
      </c>
      <c r="B676" s="21" t="s">
        <v>182</v>
      </c>
      <c r="C676" s="132" t="s">
        <v>1217</v>
      </c>
      <c r="D676" s="81" t="s">
        <v>42</v>
      </c>
      <c r="E676" s="24"/>
      <c r="F676" s="24"/>
      <c r="G676" s="24"/>
      <c r="H676" s="80"/>
      <c r="I676" s="24"/>
      <c r="J676" s="80"/>
      <c r="K676" s="24"/>
      <c r="L676" s="95"/>
      <c r="M676" s="24"/>
      <c r="N676" s="119"/>
      <c r="O676" s="24"/>
      <c r="P676" s="95">
        <v>120</v>
      </c>
      <c r="Q676" s="24">
        <f t="shared" si="215"/>
        <v>120</v>
      </c>
      <c r="R676" s="80">
        <v>-72</v>
      </c>
      <c r="S676" s="24">
        <f t="shared" si="111"/>
        <v>48</v>
      </c>
      <c r="T676" s="83"/>
      <c r="U676" s="24">
        <f t="shared" si="114"/>
        <v>48</v>
      </c>
      <c r="V676" s="83"/>
      <c r="W676" s="24">
        <f t="shared" si="129"/>
        <v>48</v>
      </c>
      <c r="X676" s="83"/>
      <c r="Y676" s="24">
        <f t="shared" si="130"/>
        <v>48</v>
      </c>
      <c r="Z676" s="189"/>
      <c r="AA676" s="189">
        <f>Y676+Z676</f>
        <v>48</v>
      </c>
    </row>
    <row r="677" spans="1:27" s="6" customFormat="1" ht="24" x14ac:dyDescent="0.25">
      <c r="A677" s="128" t="s">
        <v>1063</v>
      </c>
      <c r="B677" s="20" t="s">
        <v>182</v>
      </c>
      <c r="C677" s="131" t="s">
        <v>1219</v>
      </c>
      <c r="D677" s="21"/>
      <c r="E677" s="24"/>
      <c r="F677" s="24"/>
      <c r="G677" s="24"/>
      <c r="H677" s="80"/>
      <c r="I677" s="24"/>
      <c r="J677" s="80"/>
      <c r="K677" s="24"/>
      <c r="L677" s="95"/>
      <c r="M677" s="24"/>
      <c r="N677" s="119"/>
      <c r="O677" s="24"/>
      <c r="P677" s="79">
        <f>P678</f>
        <v>685</v>
      </c>
      <c r="Q677" s="24">
        <f t="shared" si="215"/>
        <v>685</v>
      </c>
      <c r="R677" s="79">
        <f>R678</f>
        <v>-411</v>
      </c>
      <c r="S677" s="24">
        <f t="shared" si="111"/>
        <v>274</v>
      </c>
      <c r="T677" s="79">
        <f>T678</f>
        <v>0</v>
      </c>
      <c r="U677" s="24">
        <f t="shared" si="114"/>
        <v>274</v>
      </c>
      <c r="V677" s="79">
        <f>V678</f>
        <v>0</v>
      </c>
      <c r="W677" s="24">
        <f t="shared" si="129"/>
        <v>274</v>
      </c>
      <c r="X677" s="79">
        <f>X678</f>
        <v>0</v>
      </c>
      <c r="Y677" s="24">
        <f t="shared" si="130"/>
        <v>274</v>
      </c>
      <c r="Z677" s="189"/>
    </row>
    <row r="678" spans="1:27" s="6" customFormat="1" x14ac:dyDescent="0.25">
      <c r="A678" s="30" t="s">
        <v>66</v>
      </c>
      <c r="B678" s="21" t="s">
        <v>182</v>
      </c>
      <c r="C678" s="132" t="s">
        <v>1219</v>
      </c>
      <c r="D678" s="81" t="s">
        <v>42</v>
      </c>
      <c r="E678" s="24"/>
      <c r="F678" s="24"/>
      <c r="G678" s="24"/>
      <c r="H678" s="80"/>
      <c r="I678" s="24"/>
      <c r="J678" s="80"/>
      <c r="K678" s="24"/>
      <c r="L678" s="95"/>
      <c r="M678" s="24"/>
      <c r="N678" s="119"/>
      <c r="O678" s="24"/>
      <c r="P678" s="95">
        <v>685</v>
      </c>
      <c r="Q678" s="24">
        <f t="shared" si="215"/>
        <v>685</v>
      </c>
      <c r="R678" s="80">
        <v>-411</v>
      </c>
      <c r="S678" s="24">
        <f t="shared" si="111"/>
        <v>274</v>
      </c>
      <c r="T678" s="83"/>
      <c r="U678" s="24">
        <f t="shared" si="114"/>
        <v>274</v>
      </c>
      <c r="V678" s="83"/>
      <c r="W678" s="24">
        <f t="shared" si="129"/>
        <v>274</v>
      </c>
      <c r="X678" s="83"/>
      <c r="Y678" s="24">
        <f t="shared" si="130"/>
        <v>274</v>
      </c>
      <c r="Z678" s="189"/>
      <c r="AA678" s="189">
        <f>Y678+Z678</f>
        <v>274</v>
      </c>
    </row>
    <row r="679" spans="1:27" s="6" customFormat="1" ht="24" x14ac:dyDescent="0.25">
      <c r="A679" s="128" t="s">
        <v>1064</v>
      </c>
      <c r="B679" s="20" t="s">
        <v>182</v>
      </c>
      <c r="C679" s="131" t="s">
        <v>1220</v>
      </c>
      <c r="D679" s="21"/>
      <c r="E679" s="24"/>
      <c r="F679" s="24"/>
      <c r="G679" s="24"/>
      <c r="H679" s="80"/>
      <c r="I679" s="24"/>
      <c r="J679" s="80"/>
      <c r="K679" s="24"/>
      <c r="L679" s="95"/>
      <c r="M679" s="24"/>
      <c r="N679" s="119"/>
      <c r="O679" s="24"/>
      <c r="P679" s="79">
        <f>P680</f>
        <v>190</v>
      </c>
      <c r="Q679" s="24">
        <f t="shared" si="215"/>
        <v>190</v>
      </c>
      <c r="R679" s="79">
        <f>R680</f>
        <v>-114</v>
      </c>
      <c r="S679" s="24">
        <f t="shared" si="111"/>
        <v>76</v>
      </c>
      <c r="T679" s="79">
        <f>T680</f>
        <v>0</v>
      </c>
      <c r="U679" s="24">
        <f t="shared" si="114"/>
        <v>76</v>
      </c>
      <c r="V679" s="79">
        <f>V680</f>
        <v>0</v>
      </c>
      <c r="W679" s="24">
        <f t="shared" si="129"/>
        <v>76</v>
      </c>
      <c r="X679" s="79">
        <f>X680</f>
        <v>0</v>
      </c>
      <c r="Y679" s="24">
        <f t="shared" si="130"/>
        <v>76</v>
      </c>
      <c r="Z679" s="189"/>
    </row>
    <row r="680" spans="1:27" s="6" customFormat="1" x14ac:dyDescent="0.25">
      <c r="A680" s="30" t="s">
        <v>66</v>
      </c>
      <c r="B680" s="21" t="s">
        <v>182</v>
      </c>
      <c r="C680" s="132" t="s">
        <v>1220</v>
      </c>
      <c r="D680" s="81" t="s">
        <v>42</v>
      </c>
      <c r="E680" s="24"/>
      <c r="F680" s="24"/>
      <c r="G680" s="24"/>
      <c r="H680" s="80"/>
      <c r="I680" s="24"/>
      <c r="J680" s="80"/>
      <c r="K680" s="24"/>
      <c r="L680" s="95"/>
      <c r="M680" s="24"/>
      <c r="N680" s="119"/>
      <c r="O680" s="24"/>
      <c r="P680" s="95">
        <v>190</v>
      </c>
      <c r="Q680" s="24">
        <f t="shared" si="215"/>
        <v>190</v>
      </c>
      <c r="R680" s="80">
        <v>-114</v>
      </c>
      <c r="S680" s="24">
        <f t="shared" si="111"/>
        <v>76</v>
      </c>
      <c r="T680" s="83"/>
      <c r="U680" s="24">
        <f t="shared" si="114"/>
        <v>76</v>
      </c>
      <c r="V680" s="83"/>
      <c r="W680" s="24">
        <f t="shared" si="129"/>
        <v>76</v>
      </c>
      <c r="X680" s="83"/>
      <c r="Y680" s="24">
        <f t="shared" si="130"/>
        <v>76</v>
      </c>
      <c r="Z680" s="189"/>
      <c r="AA680" s="189">
        <f>Y680+Z680</f>
        <v>76</v>
      </c>
    </row>
    <row r="681" spans="1:27" s="6" customFormat="1" ht="24" x14ac:dyDescent="0.25">
      <c r="A681" s="128" t="s">
        <v>1065</v>
      </c>
      <c r="B681" s="20" t="s">
        <v>182</v>
      </c>
      <c r="C681" s="131" t="s">
        <v>1221</v>
      </c>
      <c r="D681" s="21"/>
      <c r="E681" s="24"/>
      <c r="F681" s="24"/>
      <c r="G681" s="24"/>
      <c r="H681" s="80"/>
      <c r="I681" s="24"/>
      <c r="J681" s="80"/>
      <c r="K681" s="24"/>
      <c r="L681" s="95"/>
      <c r="M681" s="24"/>
      <c r="N681" s="119"/>
      <c r="O681" s="24"/>
      <c r="P681" s="79">
        <f>P682</f>
        <v>710</v>
      </c>
      <c r="Q681" s="24">
        <f t="shared" ref="Q681:Q688" si="221">O681+P681</f>
        <v>710</v>
      </c>
      <c r="R681" s="79">
        <f>R682</f>
        <v>-426</v>
      </c>
      <c r="S681" s="24">
        <f t="shared" si="111"/>
        <v>284</v>
      </c>
      <c r="T681" s="79">
        <f>T682</f>
        <v>0</v>
      </c>
      <c r="U681" s="24">
        <f t="shared" si="114"/>
        <v>284</v>
      </c>
      <c r="V681" s="79">
        <f>V682</f>
        <v>0</v>
      </c>
      <c r="W681" s="24">
        <f t="shared" si="129"/>
        <v>284</v>
      </c>
      <c r="X681" s="79">
        <f>X682</f>
        <v>0</v>
      </c>
      <c r="Y681" s="24">
        <f t="shared" si="130"/>
        <v>284</v>
      </c>
      <c r="Z681" s="189"/>
    </row>
    <row r="682" spans="1:27" s="6" customFormat="1" x14ac:dyDescent="0.25">
      <c r="A682" s="30" t="s">
        <v>66</v>
      </c>
      <c r="B682" s="21" t="s">
        <v>182</v>
      </c>
      <c r="C682" s="132" t="s">
        <v>1221</v>
      </c>
      <c r="D682" s="81" t="s">
        <v>42</v>
      </c>
      <c r="E682" s="24"/>
      <c r="F682" s="24"/>
      <c r="G682" s="24"/>
      <c r="H682" s="80"/>
      <c r="I682" s="24"/>
      <c r="J682" s="80"/>
      <c r="K682" s="24"/>
      <c r="L682" s="95"/>
      <c r="M682" s="24"/>
      <c r="N682" s="119"/>
      <c r="O682" s="24"/>
      <c r="P682" s="95">
        <v>710</v>
      </c>
      <c r="Q682" s="24">
        <f t="shared" si="221"/>
        <v>710</v>
      </c>
      <c r="R682" s="80">
        <v>-426</v>
      </c>
      <c r="S682" s="24">
        <f t="shared" si="111"/>
        <v>284</v>
      </c>
      <c r="T682" s="83"/>
      <c r="U682" s="24">
        <f t="shared" si="114"/>
        <v>284</v>
      </c>
      <c r="V682" s="83"/>
      <c r="W682" s="24">
        <f t="shared" si="129"/>
        <v>284</v>
      </c>
      <c r="X682" s="83"/>
      <c r="Y682" s="24">
        <f t="shared" si="130"/>
        <v>284</v>
      </c>
      <c r="Z682" s="189"/>
      <c r="AA682" s="189">
        <f>Y682+Z682</f>
        <v>284</v>
      </c>
    </row>
    <row r="683" spans="1:27" s="6" customFormat="1" ht="24" x14ac:dyDescent="0.25">
      <c r="A683" s="128" t="s">
        <v>1066</v>
      </c>
      <c r="B683" s="20" t="s">
        <v>182</v>
      </c>
      <c r="C683" s="131" t="s">
        <v>1222</v>
      </c>
      <c r="D683" s="21"/>
      <c r="E683" s="24"/>
      <c r="F683" s="24"/>
      <c r="G683" s="24"/>
      <c r="H683" s="80"/>
      <c r="I683" s="24"/>
      <c r="J683" s="80"/>
      <c r="K683" s="24"/>
      <c r="L683" s="95"/>
      <c r="M683" s="24"/>
      <c r="N683" s="119"/>
      <c r="O683" s="24"/>
      <c r="P683" s="79">
        <f>P684</f>
        <v>955</v>
      </c>
      <c r="Q683" s="24">
        <f t="shared" si="221"/>
        <v>955</v>
      </c>
      <c r="R683" s="79">
        <f>R684</f>
        <v>-573</v>
      </c>
      <c r="S683" s="24">
        <f t="shared" ref="S683:S844" si="222">Q683+R683</f>
        <v>382</v>
      </c>
      <c r="T683" s="79">
        <f>T684</f>
        <v>0</v>
      </c>
      <c r="U683" s="24">
        <f t="shared" si="114"/>
        <v>382</v>
      </c>
      <c r="V683" s="79">
        <f>V684</f>
        <v>0</v>
      </c>
      <c r="W683" s="24">
        <f t="shared" si="129"/>
        <v>382</v>
      </c>
      <c r="X683" s="79">
        <f>X684</f>
        <v>0</v>
      </c>
      <c r="Y683" s="24">
        <f t="shared" si="130"/>
        <v>382</v>
      </c>
      <c r="Z683" s="189"/>
    </row>
    <row r="684" spans="1:27" s="6" customFormat="1" x14ac:dyDescent="0.25">
      <c r="A684" s="30" t="s">
        <v>66</v>
      </c>
      <c r="B684" s="21" t="s">
        <v>182</v>
      </c>
      <c r="C684" s="132" t="s">
        <v>1222</v>
      </c>
      <c r="D684" s="81" t="s">
        <v>42</v>
      </c>
      <c r="E684" s="24"/>
      <c r="F684" s="24"/>
      <c r="G684" s="24"/>
      <c r="H684" s="80"/>
      <c r="I684" s="24"/>
      <c r="J684" s="80"/>
      <c r="K684" s="24"/>
      <c r="L684" s="95"/>
      <c r="M684" s="24"/>
      <c r="N684" s="119"/>
      <c r="O684" s="24"/>
      <c r="P684" s="95">
        <v>955</v>
      </c>
      <c r="Q684" s="24">
        <f t="shared" si="221"/>
        <v>955</v>
      </c>
      <c r="R684" s="80">
        <v>-573</v>
      </c>
      <c r="S684" s="24">
        <f t="shared" si="222"/>
        <v>382</v>
      </c>
      <c r="T684" s="83"/>
      <c r="U684" s="24">
        <f t="shared" si="114"/>
        <v>382</v>
      </c>
      <c r="V684" s="83"/>
      <c r="W684" s="24">
        <f t="shared" si="129"/>
        <v>382</v>
      </c>
      <c r="X684" s="83"/>
      <c r="Y684" s="24">
        <f t="shared" si="130"/>
        <v>382</v>
      </c>
      <c r="Z684" s="189"/>
      <c r="AA684" s="189">
        <f>Y684+Z684</f>
        <v>382</v>
      </c>
    </row>
    <row r="685" spans="1:27" s="6" customFormat="1" x14ac:dyDescent="0.25">
      <c r="A685" s="128" t="s">
        <v>1067</v>
      </c>
      <c r="B685" s="20" t="s">
        <v>182</v>
      </c>
      <c r="C685" s="131" t="s">
        <v>1223</v>
      </c>
      <c r="D685" s="21"/>
      <c r="E685" s="24"/>
      <c r="F685" s="24"/>
      <c r="G685" s="24"/>
      <c r="H685" s="80"/>
      <c r="I685" s="24"/>
      <c r="J685" s="80"/>
      <c r="K685" s="24"/>
      <c r="L685" s="95"/>
      <c r="M685" s="24"/>
      <c r="N685" s="119"/>
      <c r="O685" s="24"/>
      <c r="P685" s="79">
        <f>P686</f>
        <v>825</v>
      </c>
      <c r="Q685" s="24">
        <f t="shared" si="221"/>
        <v>825</v>
      </c>
      <c r="R685" s="79">
        <f>R686</f>
        <v>-495</v>
      </c>
      <c r="S685" s="24">
        <f t="shared" si="222"/>
        <v>330</v>
      </c>
      <c r="T685" s="79">
        <f>T686</f>
        <v>0</v>
      </c>
      <c r="U685" s="24">
        <f t="shared" si="114"/>
        <v>330</v>
      </c>
      <c r="V685" s="79">
        <f>V686</f>
        <v>0</v>
      </c>
      <c r="W685" s="24">
        <f t="shared" si="129"/>
        <v>330</v>
      </c>
      <c r="X685" s="79">
        <f>X686</f>
        <v>0</v>
      </c>
      <c r="Y685" s="24">
        <f t="shared" si="130"/>
        <v>330</v>
      </c>
      <c r="Z685" s="189"/>
    </row>
    <row r="686" spans="1:27" s="6" customFormat="1" x14ac:dyDescent="0.25">
      <c r="A686" s="30" t="s">
        <v>66</v>
      </c>
      <c r="B686" s="21" t="s">
        <v>182</v>
      </c>
      <c r="C686" s="132" t="s">
        <v>1223</v>
      </c>
      <c r="D686" s="81" t="s">
        <v>42</v>
      </c>
      <c r="E686" s="24"/>
      <c r="F686" s="24"/>
      <c r="G686" s="24"/>
      <c r="H686" s="80"/>
      <c r="I686" s="24"/>
      <c r="J686" s="80"/>
      <c r="K686" s="24"/>
      <c r="L686" s="95"/>
      <c r="M686" s="24"/>
      <c r="N686" s="119"/>
      <c r="O686" s="24"/>
      <c r="P686" s="95">
        <v>825</v>
      </c>
      <c r="Q686" s="24">
        <f t="shared" si="221"/>
        <v>825</v>
      </c>
      <c r="R686" s="80">
        <v>-495</v>
      </c>
      <c r="S686" s="24">
        <f t="shared" si="222"/>
        <v>330</v>
      </c>
      <c r="T686" s="83"/>
      <c r="U686" s="24">
        <f t="shared" ref="U686:U847" si="223">S686+T686</f>
        <v>330</v>
      </c>
      <c r="V686" s="83"/>
      <c r="W686" s="24">
        <f t="shared" si="129"/>
        <v>330</v>
      </c>
      <c r="X686" s="83"/>
      <c r="Y686" s="24">
        <f t="shared" si="130"/>
        <v>330</v>
      </c>
      <c r="Z686" s="189"/>
      <c r="AA686" s="189">
        <f>Y686+Z686</f>
        <v>330</v>
      </c>
    </row>
    <row r="687" spans="1:27" s="6" customFormat="1" x14ac:dyDescent="0.25">
      <c r="A687" s="128" t="s">
        <v>1068</v>
      </c>
      <c r="B687" s="20" t="s">
        <v>182</v>
      </c>
      <c r="C687" s="131" t="s">
        <v>1224</v>
      </c>
      <c r="D687" s="21"/>
      <c r="E687" s="24"/>
      <c r="F687" s="24"/>
      <c r="G687" s="24"/>
      <c r="H687" s="80"/>
      <c r="I687" s="24"/>
      <c r="J687" s="80"/>
      <c r="K687" s="24"/>
      <c r="L687" s="95"/>
      <c r="M687" s="24"/>
      <c r="N687" s="119"/>
      <c r="O687" s="24"/>
      <c r="P687" s="79">
        <f>P688</f>
        <v>1345</v>
      </c>
      <c r="Q687" s="24">
        <f t="shared" si="221"/>
        <v>1345</v>
      </c>
      <c r="R687" s="79">
        <f>R688</f>
        <v>-807</v>
      </c>
      <c r="S687" s="24">
        <f t="shared" si="222"/>
        <v>538</v>
      </c>
      <c r="T687" s="79">
        <f>T688</f>
        <v>0</v>
      </c>
      <c r="U687" s="24">
        <f t="shared" si="223"/>
        <v>538</v>
      </c>
      <c r="V687" s="79">
        <f>V688</f>
        <v>0</v>
      </c>
      <c r="W687" s="24">
        <f t="shared" si="129"/>
        <v>538</v>
      </c>
      <c r="X687" s="79">
        <f>X688</f>
        <v>0</v>
      </c>
      <c r="Y687" s="24">
        <f t="shared" si="130"/>
        <v>538</v>
      </c>
      <c r="Z687" s="189"/>
    </row>
    <row r="688" spans="1:27" s="6" customFormat="1" x14ac:dyDescent="0.25">
      <c r="A688" s="30" t="s">
        <v>66</v>
      </c>
      <c r="B688" s="21" t="s">
        <v>182</v>
      </c>
      <c r="C688" s="132" t="s">
        <v>1224</v>
      </c>
      <c r="D688" s="81" t="s">
        <v>42</v>
      </c>
      <c r="E688" s="24"/>
      <c r="F688" s="24"/>
      <c r="G688" s="24"/>
      <c r="H688" s="80"/>
      <c r="I688" s="24"/>
      <c r="J688" s="80"/>
      <c r="K688" s="24"/>
      <c r="L688" s="95"/>
      <c r="M688" s="24"/>
      <c r="N688" s="119"/>
      <c r="O688" s="24"/>
      <c r="P688" s="95">
        <v>1345</v>
      </c>
      <c r="Q688" s="24">
        <f t="shared" si="221"/>
        <v>1345</v>
      </c>
      <c r="R688" s="80">
        <v>-807</v>
      </c>
      <c r="S688" s="24">
        <f t="shared" si="222"/>
        <v>538</v>
      </c>
      <c r="T688" s="83"/>
      <c r="U688" s="24">
        <f t="shared" si="223"/>
        <v>538</v>
      </c>
      <c r="V688" s="83"/>
      <c r="W688" s="24">
        <f t="shared" si="129"/>
        <v>538</v>
      </c>
      <c r="X688" s="83"/>
      <c r="Y688" s="24">
        <f t="shared" si="130"/>
        <v>538</v>
      </c>
      <c r="Z688" s="189"/>
      <c r="AA688" s="189">
        <f>Y688+Z688</f>
        <v>538</v>
      </c>
    </row>
    <row r="689" spans="1:27" s="6" customFormat="1" x14ac:dyDescent="0.25">
      <c r="A689" s="150" t="s">
        <v>1264</v>
      </c>
      <c r="B689" s="153" t="s">
        <v>182</v>
      </c>
      <c r="C689" s="154" t="s">
        <v>1306</v>
      </c>
      <c r="D689" s="155"/>
      <c r="E689" s="24"/>
      <c r="F689" s="24"/>
      <c r="G689" s="24"/>
      <c r="H689" s="80"/>
      <c r="I689" s="24"/>
      <c r="J689" s="80"/>
      <c r="K689" s="24"/>
      <c r="L689" s="95"/>
      <c r="M689" s="24"/>
      <c r="N689" s="119"/>
      <c r="O689" s="24"/>
      <c r="P689" s="95"/>
      <c r="Q689" s="24"/>
      <c r="R689" s="80"/>
      <c r="S689" s="24"/>
      <c r="T689" s="79">
        <f>T690</f>
        <v>0</v>
      </c>
      <c r="U689" s="24">
        <f t="shared" si="223"/>
        <v>0</v>
      </c>
      <c r="V689" s="79">
        <f>V690</f>
        <v>590.1</v>
      </c>
      <c r="W689" s="24">
        <f t="shared" si="129"/>
        <v>590.1</v>
      </c>
      <c r="X689" s="79">
        <f>X690</f>
        <v>-354.1</v>
      </c>
      <c r="Y689" s="24">
        <f t="shared" si="130"/>
        <v>236</v>
      </c>
      <c r="Z689" s="189"/>
    </row>
    <row r="690" spans="1:27" s="6" customFormat="1" x14ac:dyDescent="0.25">
      <c r="A690" s="30" t="s">
        <v>66</v>
      </c>
      <c r="B690" s="156" t="s">
        <v>182</v>
      </c>
      <c r="C690" s="155" t="s">
        <v>1306</v>
      </c>
      <c r="D690" s="155">
        <v>244</v>
      </c>
      <c r="E690" s="24"/>
      <c r="F690" s="24"/>
      <c r="G690" s="24"/>
      <c r="H690" s="80"/>
      <c r="I690" s="24"/>
      <c r="J690" s="80"/>
      <c r="K690" s="24"/>
      <c r="L690" s="95"/>
      <c r="M690" s="24"/>
      <c r="N690" s="119"/>
      <c r="O690" s="24"/>
      <c r="P690" s="95"/>
      <c r="Q690" s="24"/>
      <c r="R690" s="80"/>
      <c r="S690" s="24"/>
      <c r="T690" s="79"/>
      <c r="U690" s="24">
        <f t="shared" si="223"/>
        <v>0</v>
      </c>
      <c r="V690" s="39">
        <v>590.1</v>
      </c>
      <c r="W690" s="24">
        <f t="shared" si="129"/>
        <v>590.1</v>
      </c>
      <c r="X690" s="109">
        <v>-354.1</v>
      </c>
      <c r="Y690" s="24">
        <f t="shared" si="130"/>
        <v>236</v>
      </c>
      <c r="Z690" s="189"/>
      <c r="AA690" s="189">
        <f>Y690+Z690</f>
        <v>236</v>
      </c>
    </row>
    <row r="691" spans="1:27" s="6" customFormat="1" x14ac:dyDescent="0.25">
      <c r="A691" s="151" t="s">
        <v>1265</v>
      </c>
      <c r="B691" s="157" t="s">
        <v>182</v>
      </c>
      <c r="C691" s="157" t="s">
        <v>1307</v>
      </c>
      <c r="D691" s="158"/>
      <c r="E691" s="24"/>
      <c r="F691" s="24"/>
      <c r="G691" s="24"/>
      <c r="H691" s="80"/>
      <c r="I691" s="24"/>
      <c r="J691" s="80"/>
      <c r="K691" s="24"/>
      <c r="L691" s="95"/>
      <c r="M691" s="24"/>
      <c r="N691" s="119"/>
      <c r="O691" s="24"/>
      <c r="P691" s="95"/>
      <c r="Q691" s="24"/>
      <c r="R691" s="80"/>
      <c r="S691" s="24"/>
      <c r="T691" s="79">
        <f>T692</f>
        <v>0</v>
      </c>
      <c r="U691" s="24">
        <f t="shared" si="223"/>
        <v>0</v>
      </c>
      <c r="V691" s="79">
        <f>V692</f>
        <v>2810</v>
      </c>
      <c r="W691" s="24">
        <f t="shared" si="129"/>
        <v>2810</v>
      </c>
      <c r="X691" s="79">
        <f>X692</f>
        <v>-1686</v>
      </c>
      <c r="Y691" s="24">
        <f t="shared" si="130"/>
        <v>1124</v>
      </c>
      <c r="Z691" s="189"/>
    </row>
    <row r="692" spans="1:27" s="6" customFormat="1" x14ac:dyDescent="0.25">
      <c r="A692" s="30" t="s">
        <v>66</v>
      </c>
      <c r="B692" s="159" t="s">
        <v>182</v>
      </c>
      <c r="C692" s="159" t="s">
        <v>1307</v>
      </c>
      <c r="D692" s="155">
        <v>244</v>
      </c>
      <c r="E692" s="24"/>
      <c r="F692" s="24"/>
      <c r="G692" s="24"/>
      <c r="H692" s="80"/>
      <c r="I692" s="24"/>
      <c r="J692" s="80"/>
      <c r="K692" s="24"/>
      <c r="L692" s="95"/>
      <c r="M692" s="24"/>
      <c r="N692" s="119"/>
      <c r="O692" s="24"/>
      <c r="P692" s="95"/>
      <c r="Q692" s="24"/>
      <c r="R692" s="80"/>
      <c r="S692" s="24"/>
      <c r="T692" s="79"/>
      <c r="U692" s="24">
        <f t="shared" si="223"/>
        <v>0</v>
      </c>
      <c r="V692" s="39">
        <v>2810</v>
      </c>
      <c r="W692" s="24">
        <f t="shared" si="129"/>
        <v>2810</v>
      </c>
      <c r="X692" s="109">
        <v>-1686</v>
      </c>
      <c r="Y692" s="24">
        <f t="shared" si="130"/>
        <v>1124</v>
      </c>
      <c r="Z692" s="189"/>
      <c r="AA692" s="189">
        <f>Y692+Z692</f>
        <v>1124</v>
      </c>
    </row>
    <row r="693" spans="1:27" s="6" customFormat="1" ht="24" x14ac:dyDescent="0.25">
      <c r="A693" s="151" t="s">
        <v>1266</v>
      </c>
      <c r="B693" s="157" t="s">
        <v>182</v>
      </c>
      <c r="C693" s="157" t="s">
        <v>1308</v>
      </c>
      <c r="D693" s="155"/>
      <c r="E693" s="24"/>
      <c r="F693" s="24"/>
      <c r="G693" s="24"/>
      <c r="H693" s="80"/>
      <c r="I693" s="24"/>
      <c r="J693" s="80"/>
      <c r="K693" s="24"/>
      <c r="L693" s="95"/>
      <c r="M693" s="24"/>
      <c r="N693" s="119"/>
      <c r="O693" s="24"/>
      <c r="P693" s="95"/>
      <c r="Q693" s="24"/>
      <c r="R693" s="80"/>
      <c r="S693" s="24"/>
      <c r="T693" s="79">
        <f>T694</f>
        <v>0</v>
      </c>
      <c r="U693" s="24">
        <f t="shared" si="223"/>
        <v>0</v>
      </c>
      <c r="V693" s="79">
        <f>V694</f>
        <v>575</v>
      </c>
      <c r="W693" s="24">
        <f t="shared" si="129"/>
        <v>575</v>
      </c>
      <c r="X693" s="79">
        <f>X694</f>
        <v>-345</v>
      </c>
      <c r="Y693" s="24">
        <f t="shared" si="130"/>
        <v>230</v>
      </c>
      <c r="Z693" s="189"/>
    </row>
    <row r="694" spans="1:27" s="6" customFormat="1" x14ac:dyDescent="0.25">
      <c r="A694" s="30" t="s">
        <v>66</v>
      </c>
      <c r="B694" s="159" t="s">
        <v>182</v>
      </c>
      <c r="C694" s="159" t="s">
        <v>1308</v>
      </c>
      <c r="D694" s="155">
        <v>244</v>
      </c>
      <c r="E694" s="24"/>
      <c r="F694" s="24"/>
      <c r="G694" s="24"/>
      <c r="H694" s="80"/>
      <c r="I694" s="24"/>
      <c r="J694" s="80"/>
      <c r="K694" s="24"/>
      <c r="L694" s="95"/>
      <c r="M694" s="24"/>
      <c r="N694" s="119"/>
      <c r="O694" s="24"/>
      <c r="P694" s="95"/>
      <c r="Q694" s="24"/>
      <c r="R694" s="80"/>
      <c r="S694" s="24"/>
      <c r="T694" s="79"/>
      <c r="U694" s="24">
        <f t="shared" si="223"/>
        <v>0</v>
      </c>
      <c r="V694" s="39">
        <v>575</v>
      </c>
      <c r="W694" s="24">
        <f t="shared" si="129"/>
        <v>575</v>
      </c>
      <c r="X694" s="109">
        <v>-345</v>
      </c>
      <c r="Y694" s="24">
        <f t="shared" si="130"/>
        <v>230</v>
      </c>
      <c r="Z694" s="189"/>
      <c r="AA694" s="189">
        <f>Y694+Z694</f>
        <v>230</v>
      </c>
    </row>
    <row r="695" spans="1:27" s="6" customFormat="1" ht="24.75" x14ac:dyDescent="0.25">
      <c r="A695" s="40" t="s">
        <v>1267</v>
      </c>
      <c r="B695" s="20" t="s">
        <v>182</v>
      </c>
      <c r="C695" s="20" t="s">
        <v>1309</v>
      </c>
      <c r="D695" s="81"/>
      <c r="E695" s="24"/>
      <c r="F695" s="24"/>
      <c r="G695" s="24"/>
      <c r="H695" s="80"/>
      <c r="I695" s="24"/>
      <c r="J695" s="80"/>
      <c r="K695" s="24"/>
      <c r="L695" s="95"/>
      <c r="M695" s="24"/>
      <c r="N695" s="119"/>
      <c r="O695" s="24"/>
      <c r="P695" s="95"/>
      <c r="Q695" s="24"/>
      <c r="R695" s="80"/>
      <c r="S695" s="24"/>
      <c r="T695" s="79">
        <f>T696</f>
        <v>0</v>
      </c>
      <c r="U695" s="24">
        <f t="shared" si="223"/>
        <v>0</v>
      </c>
      <c r="V695" s="79">
        <f>V696</f>
        <v>1310</v>
      </c>
      <c r="W695" s="24">
        <f t="shared" si="129"/>
        <v>1310</v>
      </c>
      <c r="X695" s="79">
        <f>X696</f>
        <v>-786</v>
      </c>
      <c r="Y695" s="24">
        <f t="shared" si="130"/>
        <v>524</v>
      </c>
      <c r="Z695" s="189"/>
    </row>
    <row r="696" spans="1:27" s="6" customFormat="1" x14ac:dyDescent="0.25">
      <c r="A696" s="30" t="s">
        <v>66</v>
      </c>
      <c r="B696" s="21" t="s">
        <v>182</v>
      </c>
      <c r="C696" s="21" t="s">
        <v>1309</v>
      </c>
      <c r="D696" s="81">
        <v>244</v>
      </c>
      <c r="E696" s="24"/>
      <c r="F696" s="24"/>
      <c r="G696" s="24"/>
      <c r="H696" s="80"/>
      <c r="I696" s="24"/>
      <c r="J696" s="80"/>
      <c r="K696" s="24"/>
      <c r="L696" s="95"/>
      <c r="M696" s="24"/>
      <c r="N696" s="119"/>
      <c r="O696" s="24"/>
      <c r="P696" s="95"/>
      <c r="Q696" s="24"/>
      <c r="R696" s="80"/>
      <c r="S696" s="24"/>
      <c r="T696" s="79"/>
      <c r="U696" s="24">
        <f t="shared" si="223"/>
        <v>0</v>
      </c>
      <c r="V696" s="39">
        <v>1310</v>
      </c>
      <c r="W696" s="24">
        <f t="shared" si="129"/>
        <v>1310</v>
      </c>
      <c r="X696" s="109">
        <v>-786</v>
      </c>
      <c r="Y696" s="24">
        <f t="shared" si="130"/>
        <v>524</v>
      </c>
      <c r="Z696" s="189"/>
      <c r="AA696" s="189">
        <f>Y696+Z696</f>
        <v>524</v>
      </c>
    </row>
    <row r="697" spans="1:27" s="6" customFormat="1" ht="24.75" x14ac:dyDescent="0.25">
      <c r="A697" s="40" t="s">
        <v>1268</v>
      </c>
      <c r="B697" s="20" t="s">
        <v>182</v>
      </c>
      <c r="C697" s="20" t="s">
        <v>1310</v>
      </c>
      <c r="D697" s="81"/>
      <c r="E697" s="24"/>
      <c r="F697" s="24"/>
      <c r="G697" s="24"/>
      <c r="H697" s="80"/>
      <c r="I697" s="24"/>
      <c r="J697" s="80"/>
      <c r="K697" s="24"/>
      <c r="L697" s="95"/>
      <c r="M697" s="24"/>
      <c r="N697" s="119"/>
      <c r="O697" s="24"/>
      <c r="P697" s="95"/>
      <c r="Q697" s="24"/>
      <c r="R697" s="80"/>
      <c r="S697" s="24"/>
      <c r="T697" s="79">
        <f>T698</f>
        <v>0</v>
      </c>
      <c r="U697" s="24">
        <f t="shared" si="223"/>
        <v>0</v>
      </c>
      <c r="V697" s="79">
        <f>V698</f>
        <v>600</v>
      </c>
      <c r="W697" s="24">
        <f t="shared" si="129"/>
        <v>600</v>
      </c>
      <c r="X697" s="79">
        <f>X698</f>
        <v>-360</v>
      </c>
      <c r="Y697" s="24">
        <f t="shared" si="130"/>
        <v>240</v>
      </c>
      <c r="Z697" s="189"/>
    </row>
    <row r="698" spans="1:27" s="6" customFormat="1" x14ac:dyDescent="0.25">
      <c r="A698" s="30" t="s">
        <v>66</v>
      </c>
      <c r="B698" s="21" t="s">
        <v>182</v>
      </c>
      <c r="C698" s="21" t="s">
        <v>1310</v>
      </c>
      <c r="D698" s="81">
        <v>244</v>
      </c>
      <c r="E698" s="24"/>
      <c r="F698" s="24"/>
      <c r="G698" s="24"/>
      <c r="H698" s="80"/>
      <c r="I698" s="24"/>
      <c r="J698" s="80"/>
      <c r="K698" s="24"/>
      <c r="L698" s="95"/>
      <c r="M698" s="24"/>
      <c r="N698" s="119"/>
      <c r="O698" s="24"/>
      <c r="P698" s="95"/>
      <c r="Q698" s="24"/>
      <c r="R698" s="80"/>
      <c r="S698" s="24"/>
      <c r="T698" s="79"/>
      <c r="U698" s="24">
        <f t="shared" si="223"/>
        <v>0</v>
      </c>
      <c r="V698" s="39">
        <v>600</v>
      </c>
      <c r="W698" s="24">
        <f t="shared" si="129"/>
        <v>600</v>
      </c>
      <c r="X698" s="109">
        <v>-360</v>
      </c>
      <c r="Y698" s="24">
        <f t="shared" si="130"/>
        <v>240</v>
      </c>
      <c r="Z698" s="189"/>
      <c r="AA698" s="189">
        <f>Y698+Z698</f>
        <v>240</v>
      </c>
    </row>
    <row r="699" spans="1:27" s="6" customFormat="1" ht="24.75" x14ac:dyDescent="0.25">
      <c r="A699" s="40" t="s">
        <v>1269</v>
      </c>
      <c r="B699" s="20" t="s">
        <v>182</v>
      </c>
      <c r="C699" s="20" t="s">
        <v>1311</v>
      </c>
      <c r="D699" s="81"/>
      <c r="E699" s="24"/>
      <c r="F699" s="24"/>
      <c r="G699" s="24"/>
      <c r="H699" s="80"/>
      <c r="I699" s="24"/>
      <c r="J699" s="80"/>
      <c r="K699" s="24"/>
      <c r="L699" s="95"/>
      <c r="M699" s="24"/>
      <c r="N699" s="119"/>
      <c r="O699" s="24"/>
      <c r="P699" s="95"/>
      <c r="Q699" s="24"/>
      <c r="R699" s="80"/>
      <c r="S699" s="24"/>
      <c r="T699" s="79">
        <f>T700</f>
        <v>0</v>
      </c>
      <c r="U699" s="24">
        <f t="shared" si="223"/>
        <v>0</v>
      </c>
      <c r="V699" s="79">
        <f>V700</f>
        <v>320</v>
      </c>
      <c r="W699" s="24">
        <f t="shared" si="129"/>
        <v>320</v>
      </c>
      <c r="X699" s="79">
        <f>X700</f>
        <v>-192</v>
      </c>
      <c r="Y699" s="24">
        <f t="shared" si="130"/>
        <v>128</v>
      </c>
      <c r="Z699" s="189"/>
    </row>
    <row r="700" spans="1:27" s="6" customFormat="1" x14ac:dyDescent="0.25">
      <c r="A700" s="30" t="s">
        <v>66</v>
      </c>
      <c r="B700" s="21" t="s">
        <v>182</v>
      </c>
      <c r="C700" s="21" t="s">
        <v>1311</v>
      </c>
      <c r="D700" s="81">
        <v>244</v>
      </c>
      <c r="E700" s="24"/>
      <c r="F700" s="24"/>
      <c r="G700" s="24"/>
      <c r="H700" s="80"/>
      <c r="I700" s="24"/>
      <c r="J700" s="80"/>
      <c r="K700" s="24"/>
      <c r="L700" s="95"/>
      <c r="M700" s="24"/>
      <c r="N700" s="119"/>
      <c r="O700" s="24"/>
      <c r="P700" s="95"/>
      <c r="Q700" s="24"/>
      <c r="R700" s="80"/>
      <c r="S700" s="24"/>
      <c r="T700" s="79"/>
      <c r="U700" s="24">
        <f t="shared" si="223"/>
        <v>0</v>
      </c>
      <c r="V700" s="39">
        <v>320</v>
      </c>
      <c r="W700" s="24">
        <f t="shared" si="129"/>
        <v>320</v>
      </c>
      <c r="X700" s="109">
        <v>-192</v>
      </c>
      <c r="Y700" s="24">
        <f t="shared" si="130"/>
        <v>128</v>
      </c>
      <c r="Z700" s="189"/>
      <c r="AA700" s="189">
        <f>Y700+Z700</f>
        <v>128</v>
      </c>
    </row>
    <row r="701" spans="1:27" s="6" customFormat="1" ht="24.75" x14ac:dyDescent="0.25">
      <c r="A701" s="40" t="s">
        <v>1270</v>
      </c>
      <c r="B701" s="20" t="s">
        <v>182</v>
      </c>
      <c r="C701" s="20" t="s">
        <v>1312</v>
      </c>
      <c r="D701" s="81"/>
      <c r="E701" s="24"/>
      <c r="F701" s="24"/>
      <c r="G701" s="24"/>
      <c r="H701" s="80"/>
      <c r="I701" s="24"/>
      <c r="J701" s="80"/>
      <c r="K701" s="24"/>
      <c r="L701" s="95"/>
      <c r="M701" s="24"/>
      <c r="N701" s="119"/>
      <c r="O701" s="24"/>
      <c r="P701" s="95"/>
      <c r="Q701" s="24"/>
      <c r="R701" s="80"/>
      <c r="S701" s="24"/>
      <c r="T701" s="79">
        <f>T702</f>
        <v>0</v>
      </c>
      <c r="U701" s="24">
        <f t="shared" si="223"/>
        <v>0</v>
      </c>
      <c r="V701" s="79">
        <f>V702</f>
        <v>400</v>
      </c>
      <c r="W701" s="24">
        <f t="shared" si="129"/>
        <v>400</v>
      </c>
      <c r="X701" s="79">
        <f>X702</f>
        <v>-240</v>
      </c>
      <c r="Y701" s="24">
        <f t="shared" si="130"/>
        <v>160</v>
      </c>
      <c r="Z701" s="189"/>
    </row>
    <row r="702" spans="1:27" s="6" customFormat="1" x14ac:dyDescent="0.25">
      <c r="A702" s="30" t="s">
        <v>66</v>
      </c>
      <c r="B702" s="21" t="s">
        <v>182</v>
      </c>
      <c r="C702" s="21" t="s">
        <v>1312</v>
      </c>
      <c r="D702" s="81">
        <v>244</v>
      </c>
      <c r="E702" s="24"/>
      <c r="F702" s="24"/>
      <c r="G702" s="24"/>
      <c r="H702" s="80"/>
      <c r="I702" s="24"/>
      <c r="J702" s="80"/>
      <c r="K702" s="24"/>
      <c r="L702" s="95"/>
      <c r="M702" s="24"/>
      <c r="N702" s="119"/>
      <c r="O702" s="24"/>
      <c r="P702" s="95"/>
      <c r="Q702" s="24"/>
      <c r="R702" s="80"/>
      <c r="S702" s="24"/>
      <c r="T702" s="79"/>
      <c r="U702" s="24">
        <f t="shared" si="223"/>
        <v>0</v>
      </c>
      <c r="V702" s="39">
        <v>400</v>
      </c>
      <c r="W702" s="24">
        <f t="shared" si="129"/>
        <v>400</v>
      </c>
      <c r="X702" s="109">
        <v>-240</v>
      </c>
      <c r="Y702" s="24">
        <f t="shared" si="130"/>
        <v>160</v>
      </c>
      <c r="Z702" s="189"/>
      <c r="AA702" s="189">
        <f>Y702+Z702</f>
        <v>160</v>
      </c>
    </row>
    <row r="703" spans="1:27" s="6" customFormat="1" x14ac:dyDescent="0.25">
      <c r="A703" s="40" t="s">
        <v>1271</v>
      </c>
      <c r="B703" s="20" t="s">
        <v>182</v>
      </c>
      <c r="C703" s="20" t="s">
        <v>1313</v>
      </c>
      <c r="D703" s="81"/>
      <c r="E703" s="24"/>
      <c r="F703" s="24"/>
      <c r="G703" s="24"/>
      <c r="H703" s="80"/>
      <c r="I703" s="24"/>
      <c r="J703" s="80"/>
      <c r="K703" s="24"/>
      <c r="L703" s="95"/>
      <c r="M703" s="24"/>
      <c r="N703" s="119"/>
      <c r="O703" s="24"/>
      <c r="P703" s="95"/>
      <c r="Q703" s="24"/>
      <c r="R703" s="80"/>
      <c r="S703" s="24"/>
      <c r="T703" s="79">
        <f>T704</f>
        <v>0</v>
      </c>
      <c r="U703" s="24">
        <f t="shared" si="223"/>
        <v>0</v>
      </c>
      <c r="V703" s="79">
        <f>V704</f>
        <v>1200</v>
      </c>
      <c r="W703" s="24">
        <f t="shared" si="129"/>
        <v>1200</v>
      </c>
      <c r="X703" s="79">
        <f>X704</f>
        <v>-720</v>
      </c>
      <c r="Y703" s="24">
        <f t="shared" si="130"/>
        <v>480</v>
      </c>
      <c r="Z703" s="189"/>
    </row>
    <row r="704" spans="1:27" s="6" customFormat="1" x14ac:dyDescent="0.25">
      <c r="A704" s="30" t="s">
        <v>66</v>
      </c>
      <c r="B704" s="21" t="s">
        <v>182</v>
      </c>
      <c r="C704" s="21" t="s">
        <v>1313</v>
      </c>
      <c r="D704" s="81">
        <v>244</v>
      </c>
      <c r="E704" s="24"/>
      <c r="F704" s="24"/>
      <c r="G704" s="24"/>
      <c r="H704" s="80"/>
      <c r="I704" s="24"/>
      <c r="J704" s="80"/>
      <c r="K704" s="24"/>
      <c r="L704" s="95"/>
      <c r="M704" s="24"/>
      <c r="N704" s="119"/>
      <c r="O704" s="24"/>
      <c r="P704" s="95"/>
      <c r="Q704" s="24"/>
      <c r="R704" s="80"/>
      <c r="S704" s="24"/>
      <c r="T704" s="79"/>
      <c r="U704" s="24">
        <f t="shared" si="223"/>
        <v>0</v>
      </c>
      <c r="V704" s="39">
        <v>1200</v>
      </c>
      <c r="W704" s="24">
        <f t="shared" si="129"/>
        <v>1200</v>
      </c>
      <c r="X704" s="109">
        <v>-720</v>
      </c>
      <c r="Y704" s="24">
        <f t="shared" si="130"/>
        <v>480</v>
      </c>
      <c r="Z704" s="189"/>
      <c r="AA704" s="189">
        <f>Y704+Z704</f>
        <v>480</v>
      </c>
    </row>
    <row r="705" spans="1:27" s="6" customFormat="1" ht="24.75" x14ac:dyDescent="0.25">
      <c r="A705" s="40" t="s">
        <v>1272</v>
      </c>
      <c r="B705" s="20" t="s">
        <v>182</v>
      </c>
      <c r="C705" s="20" t="s">
        <v>1314</v>
      </c>
      <c r="D705" s="81"/>
      <c r="E705" s="24"/>
      <c r="F705" s="24"/>
      <c r="G705" s="24"/>
      <c r="H705" s="80"/>
      <c r="I705" s="24"/>
      <c r="J705" s="80"/>
      <c r="K705" s="24"/>
      <c r="L705" s="95"/>
      <c r="M705" s="24"/>
      <c r="N705" s="119"/>
      <c r="O705" s="24"/>
      <c r="P705" s="95"/>
      <c r="Q705" s="24"/>
      <c r="R705" s="80"/>
      <c r="S705" s="24"/>
      <c r="T705" s="79">
        <f>T706</f>
        <v>0</v>
      </c>
      <c r="U705" s="24">
        <f t="shared" si="223"/>
        <v>0</v>
      </c>
      <c r="V705" s="79">
        <f>V706</f>
        <v>400</v>
      </c>
      <c r="W705" s="24">
        <f t="shared" si="129"/>
        <v>400</v>
      </c>
      <c r="X705" s="79">
        <f>X706</f>
        <v>-240</v>
      </c>
      <c r="Y705" s="24">
        <f t="shared" si="130"/>
        <v>160</v>
      </c>
      <c r="Z705" s="189"/>
    </row>
    <row r="706" spans="1:27" s="6" customFormat="1" x14ac:dyDescent="0.25">
      <c r="A706" s="30" t="s">
        <v>66</v>
      </c>
      <c r="B706" s="21" t="s">
        <v>182</v>
      </c>
      <c r="C706" s="21" t="s">
        <v>1314</v>
      </c>
      <c r="D706" s="81">
        <v>244</v>
      </c>
      <c r="E706" s="24"/>
      <c r="F706" s="24"/>
      <c r="G706" s="24"/>
      <c r="H706" s="80"/>
      <c r="I706" s="24"/>
      <c r="J706" s="80"/>
      <c r="K706" s="24"/>
      <c r="L706" s="95"/>
      <c r="M706" s="24"/>
      <c r="N706" s="119"/>
      <c r="O706" s="24"/>
      <c r="P706" s="95"/>
      <c r="Q706" s="24"/>
      <c r="R706" s="80"/>
      <c r="S706" s="24"/>
      <c r="T706" s="79"/>
      <c r="U706" s="24">
        <f t="shared" si="223"/>
        <v>0</v>
      </c>
      <c r="V706" s="39">
        <v>400</v>
      </c>
      <c r="W706" s="24">
        <f t="shared" si="129"/>
        <v>400</v>
      </c>
      <c r="X706" s="109">
        <v>-240</v>
      </c>
      <c r="Y706" s="24">
        <f t="shared" si="130"/>
        <v>160</v>
      </c>
      <c r="Z706" s="189"/>
      <c r="AA706" s="189">
        <f>Y706+Z706</f>
        <v>160</v>
      </c>
    </row>
    <row r="707" spans="1:27" s="6" customFormat="1" ht="24.75" x14ac:dyDescent="0.25">
      <c r="A707" s="40" t="s">
        <v>1273</v>
      </c>
      <c r="B707" s="20" t="s">
        <v>182</v>
      </c>
      <c r="C707" s="20" t="s">
        <v>1315</v>
      </c>
      <c r="D707" s="81"/>
      <c r="E707" s="24"/>
      <c r="F707" s="24"/>
      <c r="G707" s="24"/>
      <c r="H707" s="80"/>
      <c r="I707" s="24"/>
      <c r="J707" s="80"/>
      <c r="K707" s="24"/>
      <c r="L707" s="95"/>
      <c r="M707" s="24"/>
      <c r="N707" s="119"/>
      <c r="O707" s="24"/>
      <c r="P707" s="95"/>
      <c r="Q707" s="24"/>
      <c r="R707" s="80"/>
      <c r="S707" s="24"/>
      <c r="T707" s="79">
        <f>T708</f>
        <v>0</v>
      </c>
      <c r="U707" s="24">
        <f t="shared" si="223"/>
        <v>0</v>
      </c>
      <c r="V707" s="79">
        <f>V708</f>
        <v>1487.5</v>
      </c>
      <c r="W707" s="24">
        <f t="shared" si="129"/>
        <v>1487.5</v>
      </c>
      <c r="X707" s="79">
        <f>X708</f>
        <v>-892.5</v>
      </c>
      <c r="Y707" s="24">
        <f t="shared" si="130"/>
        <v>595</v>
      </c>
      <c r="Z707" s="189"/>
    </row>
    <row r="708" spans="1:27" s="6" customFormat="1" x14ac:dyDescent="0.25">
      <c r="A708" s="30" t="s">
        <v>66</v>
      </c>
      <c r="B708" s="21" t="s">
        <v>182</v>
      </c>
      <c r="C708" s="21" t="s">
        <v>1315</v>
      </c>
      <c r="D708" s="81">
        <v>244</v>
      </c>
      <c r="E708" s="24"/>
      <c r="F708" s="24"/>
      <c r="G708" s="24"/>
      <c r="H708" s="80"/>
      <c r="I708" s="24"/>
      <c r="J708" s="80"/>
      <c r="K708" s="24"/>
      <c r="L708" s="95"/>
      <c r="M708" s="24"/>
      <c r="N708" s="119"/>
      <c r="O708" s="24"/>
      <c r="P708" s="95"/>
      <c r="Q708" s="24"/>
      <c r="R708" s="80"/>
      <c r="S708" s="24"/>
      <c r="T708" s="79"/>
      <c r="U708" s="24">
        <f t="shared" si="223"/>
        <v>0</v>
      </c>
      <c r="V708" s="39">
        <v>1487.5</v>
      </c>
      <c r="W708" s="24">
        <f t="shared" si="129"/>
        <v>1487.5</v>
      </c>
      <c r="X708" s="109">
        <v>-892.5</v>
      </c>
      <c r="Y708" s="24">
        <f t="shared" si="130"/>
        <v>595</v>
      </c>
      <c r="Z708" s="189"/>
      <c r="AA708" s="189">
        <f>Y708+Z708</f>
        <v>595</v>
      </c>
    </row>
    <row r="709" spans="1:27" s="6" customFormat="1" x14ac:dyDescent="0.25">
      <c r="A709" s="40" t="s">
        <v>1274</v>
      </c>
      <c r="B709" s="20" t="s">
        <v>182</v>
      </c>
      <c r="C709" s="20" t="s">
        <v>1316</v>
      </c>
      <c r="D709" s="81"/>
      <c r="E709" s="24"/>
      <c r="F709" s="24"/>
      <c r="G709" s="24"/>
      <c r="H709" s="80"/>
      <c r="I709" s="24"/>
      <c r="J709" s="80"/>
      <c r="K709" s="24"/>
      <c r="L709" s="95"/>
      <c r="M709" s="24"/>
      <c r="N709" s="119"/>
      <c r="O709" s="24"/>
      <c r="P709" s="95"/>
      <c r="Q709" s="24"/>
      <c r="R709" s="80"/>
      <c r="S709" s="24"/>
      <c r="T709" s="79">
        <f>T710</f>
        <v>0</v>
      </c>
      <c r="U709" s="24">
        <f t="shared" si="223"/>
        <v>0</v>
      </c>
      <c r="V709" s="79">
        <f>V710</f>
        <v>600</v>
      </c>
      <c r="W709" s="24">
        <f t="shared" si="129"/>
        <v>600</v>
      </c>
      <c r="X709" s="79">
        <f>X710</f>
        <v>-360</v>
      </c>
      <c r="Y709" s="24">
        <f t="shared" si="130"/>
        <v>240</v>
      </c>
      <c r="Z709" s="189"/>
    </row>
    <row r="710" spans="1:27" s="6" customFormat="1" x14ac:dyDescent="0.25">
      <c r="A710" s="30" t="s">
        <v>66</v>
      </c>
      <c r="B710" s="21" t="s">
        <v>182</v>
      </c>
      <c r="C710" s="21" t="s">
        <v>1316</v>
      </c>
      <c r="D710" s="81">
        <v>244</v>
      </c>
      <c r="E710" s="24"/>
      <c r="F710" s="24"/>
      <c r="G710" s="24"/>
      <c r="H710" s="80"/>
      <c r="I710" s="24"/>
      <c r="J710" s="80"/>
      <c r="K710" s="24"/>
      <c r="L710" s="95"/>
      <c r="M710" s="24"/>
      <c r="N710" s="119"/>
      <c r="O710" s="24"/>
      <c r="P710" s="95"/>
      <c r="Q710" s="24"/>
      <c r="R710" s="80"/>
      <c r="S710" s="24"/>
      <c r="T710" s="79"/>
      <c r="U710" s="24">
        <f t="shared" si="223"/>
        <v>0</v>
      </c>
      <c r="V710" s="39">
        <v>600</v>
      </c>
      <c r="W710" s="24">
        <f t="shared" si="129"/>
        <v>600</v>
      </c>
      <c r="X710" s="109">
        <v>-360</v>
      </c>
      <c r="Y710" s="24">
        <f t="shared" si="130"/>
        <v>240</v>
      </c>
      <c r="Z710" s="189"/>
      <c r="AA710" s="189">
        <f>Y710+Z710</f>
        <v>240</v>
      </c>
    </row>
    <row r="711" spans="1:27" s="6" customFormat="1" x14ac:dyDescent="0.25">
      <c r="A711" s="40" t="s">
        <v>1275</v>
      </c>
      <c r="B711" s="20" t="s">
        <v>182</v>
      </c>
      <c r="C711" s="20" t="s">
        <v>1317</v>
      </c>
      <c r="D711" s="81"/>
      <c r="E711" s="24"/>
      <c r="F711" s="24"/>
      <c r="G711" s="24"/>
      <c r="H711" s="80"/>
      <c r="I711" s="24"/>
      <c r="J711" s="80"/>
      <c r="K711" s="24"/>
      <c r="L711" s="95"/>
      <c r="M711" s="24"/>
      <c r="N711" s="119"/>
      <c r="O711" s="24"/>
      <c r="P711" s="95"/>
      <c r="Q711" s="24"/>
      <c r="R711" s="80"/>
      <c r="S711" s="24"/>
      <c r="T711" s="79">
        <f>T712</f>
        <v>0</v>
      </c>
      <c r="U711" s="24">
        <f t="shared" si="223"/>
        <v>0</v>
      </c>
      <c r="V711" s="79">
        <f>V712</f>
        <v>2400</v>
      </c>
      <c r="W711" s="24">
        <f t="shared" si="129"/>
        <v>2400</v>
      </c>
      <c r="X711" s="79">
        <f>X712</f>
        <v>-1440</v>
      </c>
      <c r="Y711" s="24">
        <f t="shared" si="130"/>
        <v>960</v>
      </c>
      <c r="Z711" s="189"/>
    </row>
    <row r="712" spans="1:27" s="6" customFormat="1" x14ac:dyDescent="0.25">
      <c r="A712" s="30" t="s">
        <v>66</v>
      </c>
      <c r="B712" s="21" t="s">
        <v>182</v>
      </c>
      <c r="C712" s="21" t="s">
        <v>1317</v>
      </c>
      <c r="D712" s="81">
        <v>244</v>
      </c>
      <c r="E712" s="24"/>
      <c r="F712" s="24"/>
      <c r="G712" s="24"/>
      <c r="H712" s="80"/>
      <c r="I712" s="24"/>
      <c r="J712" s="80"/>
      <c r="K712" s="24"/>
      <c r="L712" s="95"/>
      <c r="M712" s="24"/>
      <c r="N712" s="119"/>
      <c r="O712" s="24"/>
      <c r="P712" s="95"/>
      <c r="Q712" s="24"/>
      <c r="R712" s="80"/>
      <c r="S712" s="24"/>
      <c r="T712" s="79"/>
      <c r="U712" s="24">
        <f t="shared" si="223"/>
        <v>0</v>
      </c>
      <c r="V712" s="39">
        <v>2400</v>
      </c>
      <c r="W712" s="24">
        <f t="shared" si="129"/>
        <v>2400</v>
      </c>
      <c r="X712" s="109">
        <v>-1440</v>
      </c>
      <c r="Y712" s="24">
        <f t="shared" si="130"/>
        <v>960</v>
      </c>
      <c r="Z712" s="189"/>
      <c r="AA712" s="189">
        <f>Y712+Z712</f>
        <v>960</v>
      </c>
    </row>
    <row r="713" spans="1:27" s="6" customFormat="1" x14ac:dyDescent="0.25">
      <c r="A713" s="40" t="s">
        <v>1276</v>
      </c>
      <c r="B713" s="20" t="s">
        <v>182</v>
      </c>
      <c r="C713" s="20" t="s">
        <v>1318</v>
      </c>
      <c r="D713" s="81"/>
      <c r="E713" s="24"/>
      <c r="F713" s="24"/>
      <c r="G713" s="24"/>
      <c r="H713" s="80"/>
      <c r="I713" s="24"/>
      <c r="J713" s="80"/>
      <c r="K713" s="24"/>
      <c r="L713" s="95"/>
      <c r="M713" s="24"/>
      <c r="N713" s="119"/>
      <c r="O713" s="24"/>
      <c r="P713" s="95"/>
      <c r="Q713" s="24"/>
      <c r="R713" s="80"/>
      <c r="S713" s="24"/>
      <c r="T713" s="79">
        <f>T714</f>
        <v>0</v>
      </c>
      <c r="U713" s="24">
        <f t="shared" si="223"/>
        <v>0</v>
      </c>
      <c r="V713" s="79">
        <f>V714</f>
        <v>1895</v>
      </c>
      <c r="W713" s="24">
        <f t="shared" si="129"/>
        <v>1895</v>
      </c>
      <c r="X713" s="79">
        <f>X714</f>
        <v>-1137</v>
      </c>
      <c r="Y713" s="24">
        <f t="shared" si="130"/>
        <v>758</v>
      </c>
      <c r="Z713" s="189"/>
    </row>
    <row r="714" spans="1:27" s="6" customFormat="1" x14ac:dyDescent="0.25">
      <c r="A714" s="30" t="s">
        <v>66</v>
      </c>
      <c r="B714" s="21" t="s">
        <v>182</v>
      </c>
      <c r="C714" s="21" t="s">
        <v>1318</v>
      </c>
      <c r="D714" s="81">
        <v>244</v>
      </c>
      <c r="E714" s="24"/>
      <c r="F714" s="24"/>
      <c r="G714" s="24"/>
      <c r="H714" s="80"/>
      <c r="I714" s="24"/>
      <c r="J714" s="80"/>
      <c r="K714" s="24"/>
      <c r="L714" s="95"/>
      <c r="M714" s="24"/>
      <c r="N714" s="119"/>
      <c r="O714" s="24"/>
      <c r="P714" s="95"/>
      <c r="Q714" s="24"/>
      <c r="R714" s="80"/>
      <c r="S714" s="24"/>
      <c r="T714" s="79"/>
      <c r="U714" s="24">
        <f t="shared" si="223"/>
        <v>0</v>
      </c>
      <c r="V714" s="39">
        <v>1895</v>
      </c>
      <c r="W714" s="24">
        <f t="shared" ref="W714:W881" si="224">U714+V714</f>
        <v>1895</v>
      </c>
      <c r="X714" s="109">
        <v>-1137</v>
      </c>
      <c r="Y714" s="24">
        <f t="shared" ref="Y714:Y881" si="225">W714+X714</f>
        <v>758</v>
      </c>
      <c r="Z714" s="189"/>
      <c r="AA714" s="189">
        <f>Y714+Z714</f>
        <v>758</v>
      </c>
    </row>
    <row r="715" spans="1:27" s="6" customFormat="1" x14ac:dyDescent="0.25">
      <c r="A715" s="40" t="s">
        <v>1277</v>
      </c>
      <c r="B715" s="20" t="s">
        <v>182</v>
      </c>
      <c r="C715" s="20" t="s">
        <v>1319</v>
      </c>
      <c r="D715" s="81"/>
      <c r="E715" s="24"/>
      <c r="F715" s="24"/>
      <c r="G715" s="24"/>
      <c r="H715" s="80"/>
      <c r="I715" s="24"/>
      <c r="J715" s="80"/>
      <c r="K715" s="24"/>
      <c r="L715" s="95"/>
      <c r="M715" s="24"/>
      <c r="N715" s="119"/>
      <c r="O715" s="24"/>
      <c r="P715" s="95"/>
      <c r="Q715" s="24"/>
      <c r="R715" s="80"/>
      <c r="S715" s="24"/>
      <c r="T715" s="79">
        <f>T716</f>
        <v>0</v>
      </c>
      <c r="U715" s="24">
        <f t="shared" si="223"/>
        <v>0</v>
      </c>
      <c r="V715" s="79">
        <f>V716</f>
        <v>730</v>
      </c>
      <c r="W715" s="24">
        <f t="shared" si="224"/>
        <v>730</v>
      </c>
      <c r="X715" s="79">
        <f>X716</f>
        <v>-438</v>
      </c>
      <c r="Y715" s="24">
        <f t="shared" si="225"/>
        <v>292</v>
      </c>
      <c r="Z715" s="189"/>
    </row>
    <row r="716" spans="1:27" s="6" customFormat="1" x14ac:dyDescent="0.25">
      <c r="A716" s="30" t="s">
        <v>66</v>
      </c>
      <c r="B716" s="21" t="s">
        <v>182</v>
      </c>
      <c r="C716" s="21" t="s">
        <v>1319</v>
      </c>
      <c r="D716" s="81">
        <v>244</v>
      </c>
      <c r="E716" s="24"/>
      <c r="F716" s="24"/>
      <c r="G716" s="24"/>
      <c r="H716" s="80"/>
      <c r="I716" s="24"/>
      <c r="J716" s="80"/>
      <c r="K716" s="24"/>
      <c r="L716" s="95"/>
      <c r="M716" s="24"/>
      <c r="N716" s="119"/>
      <c r="O716" s="24"/>
      <c r="P716" s="95"/>
      <c r="Q716" s="24"/>
      <c r="R716" s="80"/>
      <c r="S716" s="24"/>
      <c r="T716" s="79"/>
      <c r="U716" s="24">
        <f t="shared" si="223"/>
        <v>0</v>
      </c>
      <c r="V716" s="39">
        <v>730</v>
      </c>
      <c r="W716" s="24">
        <f t="shared" si="224"/>
        <v>730</v>
      </c>
      <c r="X716" s="109">
        <v>-438</v>
      </c>
      <c r="Y716" s="24">
        <f t="shared" si="225"/>
        <v>292</v>
      </c>
      <c r="Z716" s="189"/>
      <c r="AA716" s="189">
        <f>Y716+Z716</f>
        <v>292</v>
      </c>
    </row>
    <row r="717" spans="1:27" s="6" customFormat="1" ht="36.75" x14ac:dyDescent="0.25">
      <c r="A717" s="40" t="s">
        <v>1278</v>
      </c>
      <c r="B717" s="20" t="s">
        <v>182</v>
      </c>
      <c r="C717" s="20" t="s">
        <v>1320</v>
      </c>
      <c r="D717" s="81"/>
      <c r="E717" s="24"/>
      <c r="F717" s="24"/>
      <c r="G717" s="24"/>
      <c r="H717" s="80"/>
      <c r="I717" s="24"/>
      <c r="J717" s="80"/>
      <c r="K717" s="24"/>
      <c r="L717" s="95"/>
      <c r="M717" s="24"/>
      <c r="N717" s="119"/>
      <c r="O717" s="24"/>
      <c r="P717" s="95"/>
      <c r="Q717" s="24"/>
      <c r="R717" s="80"/>
      <c r="S717" s="24"/>
      <c r="T717" s="79">
        <f>T718</f>
        <v>0</v>
      </c>
      <c r="U717" s="24">
        <f t="shared" si="223"/>
        <v>0</v>
      </c>
      <c r="V717" s="79">
        <f>V718</f>
        <v>900</v>
      </c>
      <c r="W717" s="24">
        <f t="shared" si="224"/>
        <v>900</v>
      </c>
      <c r="X717" s="79">
        <f>X718</f>
        <v>-540</v>
      </c>
      <c r="Y717" s="24">
        <f t="shared" si="225"/>
        <v>360</v>
      </c>
      <c r="Z717" s="189"/>
    </row>
    <row r="718" spans="1:27" s="6" customFormat="1" x14ac:dyDescent="0.25">
      <c r="A718" s="30" t="s">
        <v>66</v>
      </c>
      <c r="B718" s="21" t="s">
        <v>182</v>
      </c>
      <c r="C718" s="21" t="s">
        <v>1320</v>
      </c>
      <c r="D718" s="81">
        <v>244</v>
      </c>
      <c r="E718" s="24"/>
      <c r="F718" s="24"/>
      <c r="G718" s="24"/>
      <c r="H718" s="80"/>
      <c r="I718" s="24"/>
      <c r="J718" s="80"/>
      <c r="K718" s="24"/>
      <c r="L718" s="95"/>
      <c r="M718" s="24"/>
      <c r="N718" s="119"/>
      <c r="O718" s="24"/>
      <c r="P718" s="95"/>
      <c r="Q718" s="24"/>
      <c r="R718" s="80"/>
      <c r="S718" s="24"/>
      <c r="T718" s="79"/>
      <c r="U718" s="24">
        <f t="shared" si="223"/>
        <v>0</v>
      </c>
      <c r="V718" s="39">
        <v>900</v>
      </c>
      <c r="W718" s="24">
        <f t="shared" si="224"/>
        <v>900</v>
      </c>
      <c r="X718" s="109">
        <v>-540</v>
      </c>
      <c r="Y718" s="24">
        <f t="shared" si="225"/>
        <v>360</v>
      </c>
      <c r="Z718" s="189"/>
      <c r="AA718" s="189">
        <f>Y718+Z718</f>
        <v>360</v>
      </c>
    </row>
    <row r="719" spans="1:27" s="6" customFormat="1" x14ac:dyDescent="0.25">
      <c r="A719" s="40" t="s">
        <v>1279</v>
      </c>
      <c r="B719" s="20" t="s">
        <v>182</v>
      </c>
      <c r="C719" s="20" t="s">
        <v>1321</v>
      </c>
      <c r="D719" s="81"/>
      <c r="E719" s="24"/>
      <c r="F719" s="24"/>
      <c r="G719" s="24"/>
      <c r="H719" s="80"/>
      <c r="I719" s="24"/>
      <c r="J719" s="80"/>
      <c r="K719" s="24"/>
      <c r="L719" s="95"/>
      <c r="M719" s="24"/>
      <c r="N719" s="119"/>
      <c r="O719" s="24"/>
      <c r="P719" s="95"/>
      <c r="Q719" s="24"/>
      <c r="R719" s="80"/>
      <c r="S719" s="24"/>
      <c r="T719" s="79">
        <f>T720</f>
        <v>0</v>
      </c>
      <c r="U719" s="24">
        <f t="shared" si="223"/>
        <v>0</v>
      </c>
      <c r="V719" s="79">
        <f>V720</f>
        <v>460</v>
      </c>
      <c r="W719" s="24">
        <f t="shared" si="224"/>
        <v>460</v>
      </c>
      <c r="X719" s="79">
        <f>X720</f>
        <v>-276</v>
      </c>
      <c r="Y719" s="24">
        <f t="shared" si="225"/>
        <v>184</v>
      </c>
      <c r="Z719" s="189"/>
    </row>
    <row r="720" spans="1:27" s="6" customFormat="1" x14ac:dyDescent="0.25">
      <c r="A720" s="30" t="s">
        <v>66</v>
      </c>
      <c r="B720" s="21" t="s">
        <v>182</v>
      </c>
      <c r="C720" s="21" t="s">
        <v>1321</v>
      </c>
      <c r="D720" s="81">
        <v>244</v>
      </c>
      <c r="E720" s="24"/>
      <c r="F720" s="24"/>
      <c r="G720" s="24"/>
      <c r="H720" s="80"/>
      <c r="I720" s="24"/>
      <c r="J720" s="80"/>
      <c r="K720" s="24"/>
      <c r="L720" s="95"/>
      <c r="M720" s="24"/>
      <c r="N720" s="119"/>
      <c r="O720" s="24"/>
      <c r="P720" s="95"/>
      <c r="Q720" s="24"/>
      <c r="R720" s="80"/>
      <c r="S720" s="24"/>
      <c r="T720" s="79"/>
      <c r="U720" s="24">
        <f t="shared" si="223"/>
        <v>0</v>
      </c>
      <c r="V720" s="39">
        <v>460</v>
      </c>
      <c r="W720" s="24">
        <f t="shared" si="224"/>
        <v>460</v>
      </c>
      <c r="X720" s="109">
        <v>-276</v>
      </c>
      <c r="Y720" s="24">
        <f t="shared" si="225"/>
        <v>184</v>
      </c>
      <c r="Z720" s="189"/>
      <c r="AA720" s="189">
        <f>Y720+Z720</f>
        <v>184</v>
      </c>
    </row>
    <row r="721" spans="1:27" s="6" customFormat="1" x14ac:dyDescent="0.25">
      <c r="A721" s="40" t="s">
        <v>1280</v>
      </c>
      <c r="B721" s="20" t="s">
        <v>182</v>
      </c>
      <c r="C721" s="20" t="s">
        <v>1322</v>
      </c>
      <c r="D721" s="81"/>
      <c r="E721" s="24"/>
      <c r="F721" s="24"/>
      <c r="G721" s="24"/>
      <c r="H721" s="80"/>
      <c r="I721" s="24"/>
      <c r="J721" s="80"/>
      <c r="K721" s="24"/>
      <c r="L721" s="95"/>
      <c r="M721" s="24"/>
      <c r="N721" s="119"/>
      <c r="O721" s="24"/>
      <c r="P721" s="95"/>
      <c r="Q721" s="24"/>
      <c r="R721" s="80"/>
      <c r="S721" s="24"/>
      <c r="T721" s="79">
        <f>T722</f>
        <v>0</v>
      </c>
      <c r="U721" s="24">
        <f t="shared" si="223"/>
        <v>0</v>
      </c>
      <c r="V721" s="79">
        <f>V722</f>
        <v>883</v>
      </c>
      <c r="W721" s="24">
        <f t="shared" si="224"/>
        <v>883</v>
      </c>
      <c r="X721" s="79">
        <f>X722</f>
        <v>-529.79999999999995</v>
      </c>
      <c r="Y721" s="24">
        <f t="shared" si="225"/>
        <v>353.20000000000005</v>
      </c>
      <c r="Z721" s="189"/>
    </row>
    <row r="722" spans="1:27" s="6" customFormat="1" x14ac:dyDescent="0.25">
      <c r="A722" s="30" t="s">
        <v>66</v>
      </c>
      <c r="B722" s="21" t="s">
        <v>182</v>
      </c>
      <c r="C722" s="21" t="s">
        <v>1322</v>
      </c>
      <c r="D722" s="81">
        <v>244</v>
      </c>
      <c r="E722" s="24"/>
      <c r="F722" s="24"/>
      <c r="G722" s="24"/>
      <c r="H722" s="80"/>
      <c r="I722" s="24"/>
      <c r="J722" s="80"/>
      <c r="K722" s="24"/>
      <c r="L722" s="95"/>
      <c r="M722" s="24"/>
      <c r="N722" s="119"/>
      <c r="O722" s="24"/>
      <c r="P722" s="95"/>
      <c r="Q722" s="24"/>
      <c r="R722" s="80"/>
      <c r="S722" s="24"/>
      <c r="T722" s="79"/>
      <c r="U722" s="24">
        <f t="shared" si="223"/>
        <v>0</v>
      </c>
      <c r="V722" s="39">
        <v>883</v>
      </c>
      <c r="W722" s="24">
        <f t="shared" si="224"/>
        <v>883</v>
      </c>
      <c r="X722" s="109">
        <v>-529.79999999999995</v>
      </c>
      <c r="Y722" s="24">
        <f t="shared" si="225"/>
        <v>353.20000000000005</v>
      </c>
      <c r="Z722" s="189"/>
      <c r="AA722" s="189">
        <f>Y722+Z722</f>
        <v>353.20000000000005</v>
      </c>
    </row>
    <row r="723" spans="1:27" s="6" customFormat="1" x14ac:dyDescent="0.25">
      <c r="A723" s="40" t="s">
        <v>1281</v>
      </c>
      <c r="B723" s="20" t="s">
        <v>182</v>
      </c>
      <c r="C723" s="20" t="s">
        <v>1323</v>
      </c>
      <c r="D723" s="81"/>
      <c r="E723" s="24"/>
      <c r="F723" s="24"/>
      <c r="G723" s="24"/>
      <c r="H723" s="80"/>
      <c r="I723" s="24"/>
      <c r="J723" s="80"/>
      <c r="K723" s="24"/>
      <c r="L723" s="95"/>
      <c r="M723" s="24"/>
      <c r="N723" s="119"/>
      <c r="O723" s="24"/>
      <c r="P723" s="95"/>
      <c r="Q723" s="24"/>
      <c r="R723" s="80"/>
      <c r="S723" s="24"/>
      <c r="T723" s="79">
        <f>T724</f>
        <v>0</v>
      </c>
      <c r="U723" s="24">
        <f t="shared" si="223"/>
        <v>0</v>
      </c>
      <c r="V723" s="79">
        <f>V724</f>
        <v>479.5</v>
      </c>
      <c r="W723" s="24">
        <f t="shared" si="224"/>
        <v>479.5</v>
      </c>
      <c r="X723" s="79">
        <f>X724</f>
        <v>-287.7</v>
      </c>
      <c r="Y723" s="24">
        <f t="shared" si="225"/>
        <v>191.8</v>
      </c>
      <c r="Z723" s="189"/>
    </row>
    <row r="724" spans="1:27" s="6" customFormat="1" x14ac:dyDescent="0.25">
      <c r="A724" s="30" t="s">
        <v>66</v>
      </c>
      <c r="B724" s="21" t="s">
        <v>182</v>
      </c>
      <c r="C724" s="21" t="s">
        <v>1323</v>
      </c>
      <c r="D724" s="81">
        <v>244</v>
      </c>
      <c r="E724" s="24"/>
      <c r="F724" s="24"/>
      <c r="G724" s="24"/>
      <c r="H724" s="80"/>
      <c r="I724" s="24"/>
      <c r="J724" s="80"/>
      <c r="K724" s="24"/>
      <c r="L724" s="95"/>
      <c r="M724" s="24"/>
      <c r="N724" s="119"/>
      <c r="O724" s="24"/>
      <c r="P724" s="95"/>
      <c r="Q724" s="24"/>
      <c r="R724" s="80"/>
      <c r="S724" s="24"/>
      <c r="T724" s="79"/>
      <c r="U724" s="24">
        <f t="shared" si="223"/>
        <v>0</v>
      </c>
      <c r="V724" s="39">
        <v>479.5</v>
      </c>
      <c r="W724" s="24">
        <f t="shared" si="224"/>
        <v>479.5</v>
      </c>
      <c r="X724" s="109">
        <v>-287.7</v>
      </c>
      <c r="Y724" s="24">
        <f t="shared" si="225"/>
        <v>191.8</v>
      </c>
      <c r="Z724" s="189"/>
      <c r="AA724" s="189">
        <f>Y724+Z724</f>
        <v>191.8</v>
      </c>
    </row>
    <row r="725" spans="1:27" s="6" customFormat="1" x14ac:dyDescent="0.25">
      <c r="A725" s="40" t="s">
        <v>1282</v>
      </c>
      <c r="B725" s="20" t="s">
        <v>182</v>
      </c>
      <c r="C725" s="20" t="s">
        <v>1324</v>
      </c>
      <c r="D725" s="81"/>
      <c r="E725" s="24"/>
      <c r="F725" s="24"/>
      <c r="G725" s="24"/>
      <c r="H725" s="80"/>
      <c r="I725" s="24"/>
      <c r="J725" s="80"/>
      <c r="K725" s="24"/>
      <c r="L725" s="95"/>
      <c r="M725" s="24"/>
      <c r="N725" s="119"/>
      <c r="O725" s="24"/>
      <c r="P725" s="95"/>
      <c r="Q725" s="24"/>
      <c r="R725" s="80"/>
      <c r="S725" s="24"/>
      <c r="T725" s="79">
        <f>T726</f>
        <v>0</v>
      </c>
      <c r="U725" s="24">
        <f t="shared" si="223"/>
        <v>0</v>
      </c>
      <c r="V725" s="79">
        <f>V726</f>
        <v>1113</v>
      </c>
      <c r="W725" s="24">
        <f t="shared" si="224"/>
        <v>1113</v>
      </c>
      <c r="X725" s="79">
        <f>X726</f>
        <v>-667.8</v>
      </c>
      <c r="Y725" s="24">
        <f t="shared" si="225"/>
        <v>445.20000000000005</v>
      </c>
      <c r="Z725" s="189"/>
    </row>
    <row r="726" spans="1:27" s="6" customFormat="1" x14ac:dyDescent="0.25">
      <c r="A726" s="30" t="s">
        <v>66</v>
      </c>
      <c r="B726" s="21" t="s">
        <v>182</v>
      </c>
      <c r="C726" s="21" t="s">
        <v>1324</v>
      </c>
      <c r="D726" s="81">
        <v>244</v>
      </c>
      <c r="E726" s="24"/>
      <c r="F726" s="24"/>
      <c r="G726" s="24"/>
      <c r="H726" s="80"/>
      <c r="I726" s="24"/>
      <c r="J726" s="80"/>
      <c r="K726" s="24"/>
      <c r="L726" s="95"/>
      <c r="M726" s="24"/>
      <c r="N726" s="119"/>
      <c r="O726" s="24"/>
      <c r="P726" s="95"/>
      <c r="Q726" s="24"/>
      <c r="R726" s="80"/>
      <c r="S726" s="24"/>
      <c r="T726" s="79"/>
      <c r="U726" s="24">
        <f t="shared" si="223"/>
        <v>0</v>
      </c>
      <c r="V726" s="39">
        <v>1113</v>
      </c>
      <c r="W726" s="24">
        <f t="shared" si="224"/>
        <v>1113</v>
      </c>
      <c r="X726" s="109">
        <v>-667.8</v>
      </c>
      <c r="Y726" s="24">
        <f t="shared" si="225"/>
        <v>445.20000000000005</v>
      </c>
      <c r="Z726" s="189"/>
      <c r="AA726" s="189">
        <f>Y726+Z726</f>
        <v>445.20000000000005</v>
      </c>
    </row>
    <row r="727" spans="1:27" s="6" customFormat="1" x14ac:dyDescent="0.25">
      <c r="A727" s="40" t="s">
        <v>1283</v>
      </c>
      <c r="B727" s="20" t="s">
        <v>182</v>
      </c>
      <c r="C727" s="20" t="s">
        <v>1325</v>
      </c>
      <c r="D727" s="81"/>
      <c r="E727" s="24"/>
      <c r="F727" s="24"/>
      <c r="G727" s="24"/>
      <c r="H727" s="80"/>
      <c r="I727" s="24"/>
      <c r="J727" s="80"/>
      <c r="K727" s="24"/>
      <c r="L727" s="95"/>
      <c r="M727" s="24"/>
      <c r="N727" s="119"/>
      <c r="O727" s="24"/>
      <c r="P727" s="95"/>
      <c r="Q727" s="24"/>
      <c r="R727" s="80"/>
      <c r="S727" s="24"/>
      <c r="T727" s="79">
        <f>T728</f>
        <v>0</v>
      </c>
      <c r="U727" s="24">
        <f t="shared" si="223"/>
        <v>0</v>
      </c>
      <c r="V727" s="79">
        <f>V728</f>
        <v>1233.2</v>
      </c>
      <c r="W727" s="24">
        <f t="shared" si="224"/>
        <v>1233.2</v>
      </c>
      <c r="X727" s="79">
        <f>X728</f>
        <v>-739.9</v>
      </c>
      <c r="Y727" s="24">
        <f t="shared" si="225"/>
        <v>493.30000000000007</v>
      </c>
      <c r="Z727" s="189"/>
    </row>
    <row r="728" spans="1:27" s="6" customFormat="1" x14ac:dyDescent="0.25">
      <c r="A728" s="30" t="s">
        <v>66</v>
      </c>
      <c r="B728" s="21" t="s">
        <v>182</v>
      </c>
      <c r="C728" s="21" t="s">
        <v>1325</v>
      </c>
      <c r="D728" s="81">
        <v>244</v>
      </c>
      <c r="E728" s="24"/>
      <c r="F728" s="24"/>
      <c r="G728" s="24"/>
      <c r="H728" s="80"/>
      <c r="I728" s="24"/>
      <c r="J728" s="80"/>
      <c r="K728" s="24"/>
      <c r="L728" s="95"/>
      <c r="M728" s="24"/>
      <c r="N728" s="119"/>
      <c r="O728" s="24"/>
      <c r="P728" s="95"/>
      <c r="Q728" s="24"/>
      <c r="R728" s="80"/>
      <c r="S728" s="24"/>
      <c r="T728" s="79"/>
      <c r="U728" s="24">
        <f t="shared" si="223"/>
        <v>0</v>
      </c>
      <c r="V728" s="39">
        <v>1233.2</v>
      </c>
      <c r="W728" s="24">
        <f t="shared" si="224"/>
        <v>1233.2</v>
      </c>
      <c r="X728" s="109">
        <v>-739.9</v>
      </c>
      <c r="Y728" s="24">
        <f t="shared" si="225"/>
        <v>493.30000000000007</v>
      </c>
      <c r="Z728" s="189"/>
      <c r="AA728" s="189">
        <f>Y728+Z728</f>
        <v>493.30000000000007</v>
      </c>
    </row>
    <row r="729" spans="1:27" s="6" customFormat="1" x14ac:dyDescent="0.25">
      <c r="A729" s="40" t="s">
        <v>1284</v>
      </c>
      <c r="B729" s="20" t="s">
        <v>182</v>
      </c>
      <c r="C729" s="20" t="s">
        <v>1326</v>
      </c>
      <c r="D729" s="81"/>
      <c r="E729" s="24"/>
      <c r="F729" s="24"/>
      <c r="G729" s="24"/>
      <c r="H729" s="80"/>
      <c r="I729" s="24"/>
      <c r="J729" s="80"/>
      <c r="K729" s="24"/>
      <c r="L729" s="95"/>
      <c r="M729" s="24"/>
      <c r="N729" s="119"/>
      <c r="O729" s="24"/>
      <c r="P729" s="95"/>
      <c r="Q729" s="24"/>
      <c r="R729" s="80"/>
      <c r="S729" s="24"/>
      <c r="T729" s="79">
        <f>T730</f>
        <v>0</v>
      </c>
      <c r="U729" s="24">
        <f t="shared" si="223"/>
        <v>0</v>
      </c>
      <c r="V729" s="79">
        <f>V730</f>
        <v>1163.5</v>
      </c>
      <c r="W729" s="24">
        <f t="shared" si="224"/>
        <v>1163.5</v>
      </c>
      <c r="X729" s="79">
        <f>X730</f>
        <v>-698.1</v>
      </c>
      <c r="Y729" s="24">
        <f t="shared" si="225"/>
        <v>465.4</v>
      </c>
      <c r="Z729" s="189"/>
    </row>
    <row r="730" spans="1:27" s="6" customFormat="1" x14ac:dyDescent="0.25">
      <c r="A730" s="30" t="s">
        <v>66</v>
      </c>
      <c r="B730" s="21" t="s">
        <v>182</v>
      </c>
      <c r="C730" s="21" t="s">
        <v>1326</v>
      </c>
      <c r="D730" s="81">
        <v>244</v>
      </c>
      <c r="E730" s="24"/>
      <c r="F730" s="24"/>
      <c r="G730" s="24"/>
      <c r="H730" s="80"/>
      <c r="I730" s="24"/>
      <c r="J730" s="80"/>
      <c r="K730" s="24"/>
      <c r="L730" s="95"/>
      <c r="M730" s="24"/>
      <c r="N730" s="119"/>
      <c r="O730" s="24"/>
      <c r="P730" s="95"/>
      <c r="Q730" s="24"/>
      <c r="R730" s="80"/>
      <c r="S730" s="24"/>
      <c r="T730" s="79"/>
      <c r="U730" s="24">
        <f t="shared" si="223"/>
        <v>0</v>
      </c>
      <c r="V730" s="39">
        <v>1163.5</v>
      </c>
      <c r="W730" s="24">
        <f t="shared" si="224"/>
        <v>1163.5</v>
      </c>
      <c r="X730" s="109">
        <v>-698.1</v>
      </c>
      <c r="Y730" s="24">
        <f t="shared" si="225"/>
        <v>465.4</v>
      </c>
      <c r="Z730" s="189"/>
      <c r="AA730" s="189">
        <f>Y730+Z730</f>
        <v>465.4</v>
      </c>
    </row>
    <row r="731" spans="1:27" s="6" customFormat="1" x14ac:dyDescent="0.25">
      <c r="A731" s="40" t="s">
        <v>1285</v>
      </c>
      <c r="B731" s="20" t="s">
        <v>182</v>
      </c>
      <c r="C731" s="20" t="s">
        <v>1327</v>
      </c>
      <c r="D731" s="81"/>
      <c r="E731" s="24"/>
      <c r="F731" s="24"/>
      <c r="G731" s="24"/>
      <c r="H731" s="80"/>
      <c r="I731" s="24"/>
      <c r="J731" s="80"/>
      <c r="K731" s="24"/>
      <c r="L731" s="95"/>
      <c r="M731" s="24"/>
      <c r="N731" s="119"/>
      <c r="O731" s="24"/>
      <c r="P731" s="95"/>
      <c r="Q731" s="24"/>
      <c r="R731" s="80"/>
      <c r="S731" s="24"/>
      <c r="T731" s="79">
        <f>T732</f>
        <v>0</v>
      </c>
      <c r="U731" s="24">
        <f t="shared" si="223"/>
        <v>0</v>
      </c>
      <c r="V731" s="79">
        <f>V732</f>
        <v>2431.1999999999998</v>
      </c>
      <c r="W731" s="24">
        <f t="shared" si="224"/>
        <v>2431.1999999999998</v>
      </c>
      <c r="X731" s="79">
        <f>X732</f>
        <v>-1458</v>
      </c>
      <c r="Y731" s="24">
        <f t="shared" si="225"/>
        <v>973.19999999999982</v>
      </c>
      <c r="Z731" s="189"/>
    </row>
    <row r="732" spans="1:27" s="6" customFormat="1" x14ac:dyDescent="0.25">
      <c r="A732" s="30" t="s">
        <v>66</v>
      </c>
      <c r="B732" s="21" t="s">
        <v>182</v>
      </c>
      <c r="C732" s="21" t="s">
        <v>1327</v>
      </c>
      <c r="D732" s="81">
        <v>244</v>
      </c>
      <c r="E732" s="24"/>
      <c r="F732" s="24"/>
      <c r="G732" s="24"/>
      <c r="H732" s="80"/>
      <c r="I732" s="24"/>
      <c r="J732" s="80"/>
      <c r="K732" s="24"/>
      <c r="L732" s="95"/>
      <c r="M732" s="24"/>
      <c r="N732" s="119"/>
      <c r="O732" s="24"/>
      <c r="P732" s="95"/>
      <c r="Q732" s="24"/>
      <c r="R732" s="80"/>
      <c r="S732" s="24"/>
      <c r="T732" s="79"/>
      <c r="U732" s="24">
        <f t="shared" si="223"/>
        <v>0</v>
      </c>
      <c r="V732" s="39">
        <v>2431.1999999999998</v>
      </c>
      <c r="W732" s="24">
        <f t="shared" si="224"/>
        <v>2431.1999999999998</v>
      </c>
      <c r="X732" s="109">
        <v>-1458</v>
      </c>
      <c r="Y732" s="24">
        <f t="shared" si="225"/>
        <v>973.19999999999982</v>
      </c>
      <c r="Z732" s="189"/>
      <c r="AA732" s="189">
        <f>Y732+Z732</f>
        <v>973.19999999999982</v>
      </c>
    </row>
    <row r="733" spans="1:27" s="6" customFormat="1" x14ac:dyDescent="0.25">
      <c r="A733" s="40" t="s">
        <v>1286</v>
      </c>
      <c r="B733" s="20" t="s">
        <v>182</v>
      </c>
      <c r="C733" s="20" t="s">
        <v>1328</v>
      </c>
      <c r="D733" s="81"/>
      <c r="E733" s="24"/>
      <c r="F733" s="24"/>
      <c r="G733" s="24"/>
      <c r="H733" s="80"/>
      <c r="I733" s="24"/>
      <c r="J733" s="80"/>
      <c r="K733" s="24"/>
      <c r="L733" s="95"/>
      <c r="M733" s="24"/>
      <c r="N733" s="119"/>
      <c r="O733" s="24"/>
      <c r="P733" s="95"/>
      <c r="Q733" s="24"/>
      <c r="R733" s="80"/>
      <c r="S733" s="24"/>
      <c r="T733" s="79">
        <f>T734</f>
        <v>0</v>
      </c>
      <c r="U733" s="24">
        <f t="shared" si="223"/>
        <v>0</v>
      </c>
      <c r="V733" s="79">
        <f>V734</f>
        <v>513.9</v>
      </c>
      <c r="W733" s="24">
        <f t="shared" si="224"/>
        <v>513.9</v>
      </c>
      <c r="X733" s="79">
        <f>X734</f>
        <v>-308.39999999999998</v>
      </c>
      <c r="Y733" s="24">
        <f t="shared" si="225"/>
        <v>205.5</v>
      </c>
      <c r="Z733" s="189"/>
    </row>
    <row r="734" spans="1:27" s="6" customFormat="1" x14ac:dyDescent="0.25">
      <c r="A734" s="30" t="s">
        <v>66</v>
      </c>
      <c r="B734" s="21" t="s">
        <v>182</v>
      </c>
      <c r="C734" s="21" t="s">
        <v>1328</v>
      </c>
      <c r="D734" s="81">
        <v>244</v>
      </c>
      <c r="E734" s="24"/>
      <c r="F734" s="24"/>
      <c r="G734" s="24"/>
      <c r="H734" s="80"/>
      <c r="I734" s="24"/>
      <c r="J734" s="80"/>
      <c r="K734" s="24"/>
      <c r="L734" s="95"/>
      <c r="M734" s="24"/>
      <c r="N734" s="119"/>
      <c r="O734" s="24"/>
      <c r="P734" s="95"/>
      <c r="Q734" s="24"/>
      <c r="R734" s="80"/>
      <c r="S734" s="24"/>
      <c r="T734" s="79"/>
      <c r="U734" s="24">
        <f t="shared" si="223"/>
        <v>0</v>
      </c>
      <c r="V734" s="39">
        <v>513.9</v>
      </c>
      <c r="W734" s="24">
        <f t="shared" si="224"/>
        <v>513.9</v>
      </c>
      <c r="X734" s="109">
        <v>-308.39999999999998</v>
      </c>
      <c r="Y734" s="24">
        <f t="shared" si="225"/>
        <v>205.5</v>
      </c>
      <c r="Z734" s="189"/>
      <c r="AA734" s="189">
        <f>Y734+Z734</f>
        <v>205.5</v>
      </c>
    </row>
    <row r="735" spans="1:27" s="6" customFormat="1" x14ac:dyDescent="0.25">
      <c r="A735" s="40" t="s">
        <v>1287</v>
      </c>
      <c r="B735" s="20" t="s">
        <v>182</v>
      </c>
      <c r="C735" s="20" t="s">
        <v>1329</v>
      </c>
      <c r="D735" s="81"/>
      <c r="E735" s="24"/>
      <c r="F735" s="24"/>
      <c r="G735" s="24"/>
      <c r="H735" s="80"/>
      <c r="I735" s="24"/>
      <c r="J735" s="80"/>
      <c r="K735" s="24"/>
      <c r="L735" s="95"/>
      <c r="M735" s="24"/>
      <c r="N735" s="119"/>
      <c r="O735" s="24"/>
      <c r="P735" s="95"/>
      <c r="Q735" s="24"/>
      <c r="R735" s="80"/>
      <c r="S735" s="24"/>
      <c r="T735" s="79">
        <f>T736</f>
        <v>0</v>
      </c>
      <c r="U735" s="24">
        <f t="shared" si="223"/>
        <v>0</v>
      </c>
      <c r="V735" s="79">
        <f>V736</f>
        <v>494.1</v>
      </c>
      <c r="W735" s="24">
        <f t="shared" si="224"/>
        <v>494.1</v>
      </c>
      <c r="X735" s="79">
        <f>X736</f>
        <v>-296.5</v>
      </c>
      <c r="Y735" s="24">
        <f t="shared" si="225"/>
        <v>197.60000000000002</v>
      </c>
      <c r="Z735" s="189"/>
    </row>
    <row r="736" spans="1:27" s="6" customFormat="1" x14ac:dyDescent="0.25">
      <c r="A736" s="30" t="s">
        <v>66</v>
      </c>
      <c r="B736" s="21" t="s">
        <v>182</v>
      </c>
      <c r="C736" s="21" t="s">
        <v>1329</v>
      </c>
      <c r="D736" s="81">
        <v>244</v>
      </c>
      <c r="E736" s="24"/>
      <c r="F736" s="24"/>
      <c r="G736" s="24"/>
      <c r="H736" s="80"/>
      <c r="I736" s="24"/>
      <c r="J736" s="80"/>
      <c r="K736" s="24"/>
      <c r="L736" s="95"/>
      <c r="M736" s="24"/>
      <c r="N736" s="119"/>
      <c r="O736" s="24"/>
      <c r="P736" s="95"/>
      <c r="Q736" s="24"/>
      <c r="R736" s="80"/>
      <c r="S736" s="24"/>
      <c r="T736" s="79"/>
      <c r="U736" s="24">
        <f t="shared" si="223"/>
        <v>0</v>
      </c>
      <c r="V736" s="39">
        <v>494.1</v>
      </c>
      <c r="W736" s="24">
        <f t="shared" si="224"/>
        <v>494.1</v>
      </c>
      <c r="X736" s="109">
        <v>-296.5</v>
      </c>
      <c r="Y736" s="24">
        <f t="shared" si="225"/>
        <v>197.60000000000002</v>
      </c>
      <c r="Z736" s="189"/>
      <c r="AA736" s="189">
        <f>Y736+Z736</f>
        <v>197.60000000000002</v>
      </c>
    </row>
    <row r="737" spans="1:27" s="6" customFormat="1" ht="24.75" x14ac:dyDescent="0.25">
      <c r="A737" s="40" t="s">
        <v>1288</v>
      </c>
      <c r="B737" s="20" t="s">
        <v>182</v>
      </c>
      <c r="C737" s="20" t="s">
        <v>1330</v>
      </c>
      <c r="D737" s="81"/>
      <c r="E737" s="24"/>
      <c r="F737" s="24"/>
      <c r="G737" s="24"/>
      <c r="H737" s="80"/>
      <c r="I737" s="24"/>
      <c r="J737" s="80"/>
      <c r="K737" s="24"/>
      <c r="L737" s="95"/>
      <c r="M737" s="24"/>
      <c r="N737" s="119"/>
      <c r="O737" s="24"/>
      <c r="P737" s="95"/>
      <c r="Q737" s="24"/>
      <c r="R737" s="80"/>
      <c r="S737" s="24"/>
      <c r="T737" s="79">
        <f>T738</f>
        <v>0</v>
      </c>
      <c r="U737" s="24">
        <f t="shared" si="223"/>
        <v>0</v>
      </c>
      <c r="V737" s="79">
        <f>V738</f>
        <v>3793.4</v>
      </c>
      <c r="W737" s="24">
        <f t="shared" si="224"/>
        <v>3793.4</v>
      </c>
      <c r="X737" s="79">
        <f>X738</f>
        <v>-2276</v>
      </c>
      <c r="Y737" s="24">
        <f t="shared" si="225"/>
        <v>1517.4</v>
      </c>
      <c r="Z737" s="189"/>
    </row>
    <row r="738" spans="1:27" s="6" customFormat="1" x14ac:dyDescent="0.25">
      <c r="A738" s="30" t="s">
        <v>66</v>
      </c>
      <c r="B738" s="21" t="s">
        <v>182</v>
      </c>
      <c r="C738" s="21" t="s">
        <v>1330</v>
      </c>
      <c r="D738" s="81">
        <v>244</v>
      </c>
      <c r="E738" s="24"/>
      <c r="F738" s="24"/>
      <c r="G738" s="24"/>
      <c r="H738" s="80"/>
      <c r="I738" s="24"/>
      <c r="J738" s="80"/>
      <c r="K738" s="24"/>
      <c r="L738" s="95"/>
      <c r="M738" s="24"/>
      <c r="N738" s="119"/>
      <c r="O738" s="24"/>
      <c r="P738" s="95"/>
      <c r="Q738" s="24"/>
      <c r="R738" s="80"/>
      <c r="S738" s="24"/>
      <c r="T738" s="79"/>
      <c r="U738" s="24">
        <f t="shared" si="223"/>
        <v>0</v>
      </c>
      <c r="V738" s="39">
        <v>3793.4</v>
      </c>
      <c r="W738" s="24">
        <f t="shared" si="224"/>
        <v>3793.4</v>
      </c>
      <c r="X738" s="109">
        <v>-2276</v>
      </c>
      <c r="Y738" s="24">
        <f t="shared" si="225"/>
        <v>1517.4</v>
      </c>
      <c r="Z738" s="189"/>
      <c r="AA738" s="189">
        <f>Y738+Z738</f>
        <v>1517.4</v>
      </c>
    </row>
    <row r="739" spans="1:27" s="6" customFormat="1" x14ac:dyDescent="0.25">
      <c r="A739" s="40" t="s">
        <v>1289</v>
      </c>
      <c r="B739" s="20" t="s">
        <v>182</v>
      </c>
      <c r="C739" s="20" t="s">
        <v>1331</v>
      </c>
      <c r="D739" s="81"/>
      <c r="E739" s="24"/>
      <c r="F739" s="24"/>
      <c r="G739" s="24"/>
      <c r="H739" s="80"/>
      <c r="I739" s="24"/>
      <c r="J739" s="80"/>
      <c r="K739" s="24"/>
      <c r="L739" s="95"/>
      <c r="M739" s="24"/>
      <c r="N739" s="119"/>
      <c r="O739" s="24"/>
      <c r="P739" s="95"/>
      <c r="Q739" s="24"/>
      <c r="R739" s="80"/>
      <c r="S739" s="24"/>
      <c r="T739" s="79">
        <f>T740</f>
        <v>0</v>
      </c>
      <c r="U739" s="24">
        <f t="shared" si="223"/>
        <v>0</v>
      </c>
      <c r="V739" s="79">
        <f>V740</f>
        <v>760</v>
      </c>
      <c r="W739" s="24">
        <f t="shared" si="224"/>
        <v>760</v>
      </c>
      <c r="X739" s="79">
        <f>X740</f>
        <v>-456</v>
      </c>
      <c r="Y739" s="24">
        <f t="shared" si="225"/>
        <v>304</v>
      </c>
      <c r="Z739" s="189"/>
    </row>
    <row r="740" spans="1:27" s="6" customFormat="1" x14ac:dyDescent="0.25">
      <c r="A740" s="30" t="s">
        <v>66</v>
      </c>
      <c r="B740" s="21" t="s">
        <v>182</v>
      </c>
      <c r="C740" s="21" t="s">
        <v>1331</v>
      </c>
      <c r="D740" s="81">
        <v>244</v>
      </c>
      <c r="E740" s="24"/>
      <c r="F740" s="24"/>
      <c r="G740" s="24"/>
      <c r="H740" s="80"/>
      <c r="I740" s="24"/>
      <c r="J740" s="80"/>
      <c r="K740" s="24"/>
      <c r="L740" s="95"/>
      <c r="M740" s="24"/>
      <c r="N740" s="119"/>
      <c r="O740" s="24"/>
      <c r="P740" s="95"/>
      <c r="Q740" s="24"/>
      <c r="R740" s="80"/>
      <c r="S740" s="24"/>
      <c r="T740" s="79"/>
      <c r="U740" s="24">
        <f t="shared" si="223"/>
        <v>0</v>
      </c>
      <c r="V740" s="39">
        <v>760</v>
      </c>
      <c r="W740" s="24">
        <f t="shared" si="224"/>
        <v>760</v>
      </c>
      <c r="X740" s="109">
        <v>-456</v>
      </c>
      <c r="Y740" s="24">
        <f t="shared" si="225"/>
        <v>304</v>
      </c>
      <c r="Z740" s="189"/>
      <c r="AA740" s="189">
        <f>Y740+Z740</f>
        <v>304</v>
      </c>
    </row>
    <row r="741" spans="1:27" s="6" customFormat="1" x14ac:dyDescent="0.25">
      <c r="A741" s="40" t="s">
        <v>1290</v>
      </c>
      <c r="B741" s="20" t="s">
        <v>182</v>
      </c>
      <c r="C741" s="20" t="s">
        <v>1332</v>
      </c>
      <c r="D741" s="81"/>
      <c r="E741" s="24"/>
      <c r="F741" s="24"/>
      <c r="G741" s="24"/>
      <c r="H741" s="80"/>
      <c r="I741" s="24"/>
      <c r="J741" s="80"/>
      <c r="K741" s="24"/>
      <c r="L741" s="95"/>
      <c r="M741" s="24"/>
      <c r="N741" s="119"/>
      <c r="O741" s="24"/>
      <c r="P741" s="95"/>
      <c r="Q741" s="24"/>
      <c r="R741" s="80"/>
      <c r="S741" s="24"/>
      <c r="T741" s="79">
        <f>T742</f>
        <v>0</v>
      </c>
      <c r="U741" s="24">
        <f t="shared" si="223"/>
        <v>0</v>
      </c>
      <c r="V741" s="79">
        <f>V742</f>
        <v>2187.6</v>
      </c>
      <c r="W741" s="24">
        <f t="shared" si="224"/>
        <v>2187.6</v>
      </c>
      <c r="X741" s="79">
        <f>X742</f>
        <v>-1312.5</v>
      </c>
      <c r="Y741" s="24">
        <f t="shared" si="225"/>
        <v>875.09999999999991</v>
      </c>
      <c r="Z741" s="189"/>
    </row>
    <row r="742" spans="1:27" s="6" customFormat="1" x14ac:dyDescent="0.25">
      <c r="A742" s="30" t="s">
        <v>66</v>
      </c>
      <c r="B742" s="21" t="s">
        <v>182</v>
      </c>
      <c r="C742" s="21" t="s">
        <v>1332</v>
      </c>
      <c r="D742" s="81">
        <v>244</v>
      </c>
      <c r="E742" s="24"/>
      <c r="F742" s="24"/>
      <c r="G742" s="24"/>
      <c r="H742" s="80"/>
      <c r="I742" s="24"/>
      <c r="J742" s="80"/>
      <c r="K742" s="24"/>
      <c r="L742" s="95"/>
      <c r="M742" s="24"/>
      <c r="N742" s="119"/>
      <c r="O742" s="24"/>
      <c r="P742" s="95"/>
      <c r="Q742" s="24"/>
      <c r="R742" s="80"/>
      <c r="S742" s="24"/>
      <c r="T742" s="79"/>
      <c r="U742" s="24">
        <f t="shared" si="223"/>
        <v>0</v>
      </c>
      <c r="V742" s="39">
        <v>2187.6</v>
      </c>
      <c r="W742" s="24">
        <f t="shared" si="224"/>
        <v>2187.6</v>
      </c>
      <c r="X742" s="109">
        <v>-1312.5</v>
      </c>
      <c r="Y742" s="24">
        <f t="shared" si="225"/>
        <v>875.09999999999991</v>
      </c>
      <c r="Z742" s="189"/>
      <c r="AA742" s="189">
        <f>Y742+Z742</f>
        <v>875.09999999999991</v>
      </c>
    </row>
    <row r="743" spans="1:27" s="6" customFormat="1" x14ac:dyDescent="0.25">
      <c r="A743" s="40" t="s">
        <v>1291</v>
      </c>
      <c r="B743" s="20" t="s">
        <v>182</v>
      </c>
      <c r="C743" s="20" t="s">
        <v>1333</v>
      </c>
      <c r="D743" s="81"/>
      <c r="E743" s="24"/>
      <c r="F743" s="24"/>
      <c r="G743" s="24"/>
      <c r="H743" s="80"/>
      <c r="I743" s="24"/>
      <c r="J743" s="80"/>
      <c r="K743" s="24"/>
      <c r="L743" s="95"/>
      <c r="M743" s="24"/>
      <c r="N743" s="119"/>
      <c r="O743" s="24"/>
      <c r="P743" s="95"/>
      <c r="Q743" s="24"/>
      <c r="R743" s="80"/>
      <c r="S743" s="24"/>
      <c r="T743" s="79">
        <f>T745</f>
        <v>0</v>
      </c>
      <c r="U743" s="24">
        <f t="shared" si="223"/>
        <v>0</v>
      </c>
      <c r="V743" s="79">
        <f>V744</f>
        <v>572.79999999999995</v>
      </c>
      <c r="W743" s="24">
        <f t="shared" si="224"/>
        <v>572.79999999999995</v>
      </c>
      <c r="X743" s="79">
        <f>X744</f>
        <v>-343.7</v>
      </c>
      <c r="Y743" s="24">
        <f t="shared" si="225"/>
        <v>229.09999999999997</v>
      </c>
      <c r="Z743" s="189"/>
    </row>
    <row r="744" spans="1:27" s="6" customFormat="1" x14ac:dyDescent="0.25">
      <c r="A744" s="30" t="s">
        <v>66</v>
      </c>
      <c r="B744" s="21" t="s">
        <v>182</v>
      </c>
      <c r="C744" s="21" t="s">
        <v>1333</v>
      </c>
      <c r="D744" s="81">
        <v>244</v>
      </c>
      <c r="E744" s="24"/>
      <c r="F744" s="24"/>
      <c r="G744" s="24"/>
      <c r="H744" s="80"/>
      <c r="I744" s="24"/>
      <c r="J744" s="80"/>
      <c r="K744" s="24"/>
      <c r="L744" s="95"/>
      <c r="M744" s="24"/>
      <c r="N744" s="119"/>
      <c r="O744" s="24"/>
      <c r="P744" s="95"/>
      <c r="Q744" s="24"/>
      <c r="R744" s="80"/>
      <c r="S744" s="24"/>
      <c r="T744" s="79"/>
      <c r="U744" s="24">
        <f t="shared" si="223"/>
        <v>0</v>
      </c>
      <c r="V744" s="39">
        <v>572.79999999999995</v>
      </c>
      <c r="W744" s="24">
        <f t="shared" si="224"/>
        <v>572.79999999999995</v>
      </c>
      <c r="X744" s="109">
        <v>-343.7</v>
      </c>
      <c r="Y744" s="24">
        <f t="shared" si="225"/>
        <v>229.09999999999997</v>
      </c>
      <c r="Z744" s="189"/>
      <c r="AA744" s="189">
        <f>Y744+Z744</f>
        <v>229.09999999999997</v>
      </c>
    </row>
    <row r="745" spans="1:27" s="6" customFormat="1" x14ac:dyDescent="0.25">
      <c r="A745" s="40" t="s">
        <v>1292</v>
      </c>
      <c r="B745" s="20" t="s">
        <v>182</v>
      </c>
      <c r="C745" s="20" t="s">
        <v>1334</v>
      </c>
      <c r="D745" s="81"/>
      <c r="E745" s="24"/>
      <c r="F745" s="24"/>
      <c r="G745" s="24"/>
      <c r="H745" s="80"/>
      <c r="I745" s="24"/>
      <c r="J745" s="80"/>
      <c r="K745" s="24"/>
      <c r="L745" s="95"/>
      <c r="M745" s="24"/>
      <c r="N745" s="119"/>
      <c r="O745" s="24"/>
      <c r="P745" s="95"/>
      <c r="Q745" s="24"/>
      <c r="R745" s="80"/>
      <c r="S745" s="24"/>
      <c r="T745" s="79">
        <f>T746</f>
        <v>0</v>
      </c>
      <c r="U745" s="24">
        <f t="shared" si="223"/>
        <v>0</v>
      </c>
      <c r="V745" s="79">
        <f>V746</f>
        <v>415</v>
      </c>
      <c r="W745" s="24">
        <f t="shared" si="224"/>
        <v>415</v>
      </c>
      <c r="X745" s="79">
        <f>X746</f>
        <v>-249</v>
      </c>
      <c r="Y745" s="24">
        <f t="shared" si="225"/>
        <v>166</v>
      </c>
      <c r="Z745" s="189"/>
    </row>
    <row r="746" spans="1:27" s="6" customFormat="1" x14ac:dyDescent="0.25">
      <c r="A746" s="30" t="s">
        <v>66</v>
      </c>
      <c r="B746" s="21" t="s">
        <v>182</v>
      </c>
      <c r="C746" s="21" t="s">
        <v>1334</v>
      </c>
      <c r="D746" s="81">
        <v>244</v>
      </c>
      <c r="E746" s="24"/>
      <c r="F746" s="24"/>
      <c r="G746" s="24"/>
      <c r="H746" s="80"/>
      <c r="I746" s="24"/>
      <c r="J746" s="80"/>
      <c r="K746" s="24"/>
      <c r="L746" s="95"/>
      <c r="M746" s="24"/>
      <c r="N746" s="119"/>
      <c r="O746" s="24"/>
      <c r="P746" s="95"/>
      <c r="Q746" s="24"/>
      <c r="R746" s="80"/>
      <c r="S746" s="24"/>
      <c r="T746" s="79"/>
      <c r="U746" s="24">
        <f t="shared" si="223"/>
        <v>0</v>
      </c>
      <c r="V746" s="39">
        <v>415</v>
      </c>
      <c r="W746" s="24">
        <f t="shared" si="224"/>
        <v>415</v>
      </c>
      <c r="X746" s="109">
        <v>-249</v>
      </c>
      <c r="Y746" s="24">
        <f t="shared" si="225"/>
        <v>166</v>
      </c>
      <c r="Z746" s="189"/>
      <c r="AA746" s="189">
        <f>Y746+Z746</f>
        <v>166</v>
      </c>
    </row>
    <row r="747" spans="1:27" s="6" customFormat="1" x14ac:dyDescent="0.25">
      <c r="A747" s="40" t="s">
        <v>1293</v>
      </c>
      <c r="B747" s="20" t="s">
        <v>182</v>
      </c>
      <c r="C747" s="20" t="s">
        <v>1335</v>
      </c>
      <c r="D747" s="81"/>
      <c r="E747" s="24"/>
      <c r="F747" s="24"/>
      <c r="G747" s="24"/>
      <c r="H747" s="80"/>
      <c r="I747" s="24"/>
      <c r="J747" s="80"/>
      <c r="K747" s="24"/>
      <c r="L747" s="95"/>
      <c r="M747" s="24"/>
      <c r="N747" s="119"/>
      <c r="O747" s="24"/>
      <c r="P747" s="95"/>
      <c r="Q747" s="24"/>
      <c r="R747" s="80"/>
      <c r="S747" s="24"/>
      <c r="T747" s="79">
        <f>T748</f>
        <v>0</v>
      </c>
      <c r="U747" s="24">
        <f t="shared" si="223"/>
        <v>0</v>
      </c>
      <c r="V747" s="79">
        <f>V748</f>
        <v>440</v>
      </c>
      <c r="W747" s="24">
        <f t="shared" si="224"/>
        <v>440</v>
      </c>
      <c r="X747" s="79">
        <f>X748</f>
        <v>-264</v>
      </c>
      <c r="Y747" s="24">
        <f t="shared" si="225"/>
        <v>176</v>
      </c>
      <c r="Z747" s="189"/>
    </row>
    <row r="748" spans="1:27" s="6" customFormat="1" x14ac:dyDescent="0.25">
      <c r="A748" s="30" t="s">
        <v>66</v>
      </c>
      <c r="B748" s="21" t="s">
        <v>182</v>
      </c>
      <c r="C748" s="21" t="s">
        <v>1335</v>
      </c>
      <c r="D748" s="81">
        <v>244</v>
      </c>
      <c r="E748" s="24"/>
      <c r="F748" s="24"/>
      <c r="G748" s="24"/>
      <c r="H748" s="80"/>
      <c r="I748" s="24"/>
      <c r="J748" s="80"/>
      <c r="K748" s="24"/>
      <c r="L748" s="95"/>
      <c r="M748" s="24"/>
      <c r="N748" s="119"/>
      <c r="O748" s="24"/>
      <c r="P748" s="95"/>
      <c r="Q748" s="24"/>
      <c r="R748" s="80"/>
      <c r="S748" s="24"/>
      <c r="T748" s="79"/>
      <c r="U748" s="24">
        <f t="shared" si="223"/>
        <v>0</v>
      </c>
      <c r="V748" s="39">
        <v>440</v>
      </c>
      <c r="W748" s="24">
        <f t="shared" si="224"/>
        <v>440</v>
      </c>
      <c r="X748" s="109">
        <v>-264</v>
      </c>
      <c r="Y748" s="24">
        <f t="shared" si="225"/>
        <v>176</v>
      </c>
      <c r="Z748" s="189"/>
      <c r="AA748" s="189">
        <f>Y748+Z748</f>
        <v>176</v>
      </c>
    </row>
    <row r="749" spans="1:27" s="6" customFormat="1" x14ac:dyDescent="0.25">
      <c r="A749" s="40" t="s">
        <v>1294</v>
      </c>
      <c r="B749" s="20" t="s">
        <v>182</v>
      </c>
      <c r="C749" s="20" t="s">
        <v>1336</v>
      </c>
      <c r="D749" s="81"/>
      <c r="E749" s="24"/>
      <c r="F749" s="24"/>
      <c r="G749" s="24"/>
      <c r="H749" s="80"/>
      <c r="I749" s="24"/>
      <c r="J749" s="80"/>
      <c r="K749" s="24"/>
      <c r="L749" s="95"/>
      <c r="M749" s="24"/>
      <c r="N749" s="119"/>
      <c r="O749" s="24"/>
      <c r="P749" s="95"/>
      <c r="Q749" s="24"/>
      <c r="R749" s="80"/>
      <c r="S749" s="24"/>
      <c r="T749" s="79">
        <f>T750</f>
        <v>0</v>
      </c>
      <c r="U749" s="24">
        <f t="shared" si="223"/>
        <v>0</v>
      </c>
      <c r="V749" s="79">
        <f>V750</f>
        <v>800</v>
      </c>
      <c r="W749" s="24">
        <f t="shared" si="224"/>
        <v>800</v>
      </c>
      <c r="X749" s="79">
        <f>X750</f>
        <v>-480</v>
      </c>
      <c r="Y749" s="24">
        <f t="shared" si="225"/>
        <v>320</v>
      </c>
      <c r="Z749" s="189"/>
    </row>
    <row r="750" spans="1:27" s="6" customFormat="1" x14ac:dyDescent="0.25">
      <c r="A750" s="30" t="s">
        <v>66</v>
      </c>
      <c r="B750" s="21" t="s">
        <v>182</v>
      </c>
      <c r="C750" s="21" t="s">
        <v>1336</v>
      </c>
      <c r="D750" s="81">
        <v>244</v>
      </c>
      <c r="E750" s="24"/>
      <c r="F750" s="24"/>
      <c r="G750" s="24"/>
      <c r="H750" s="80"/>
      <c r="I750" s="24"/>
      <c r="J750" s="80"/>
      <c r="K750" s="24"/>
      <c r="L750" s="95"/>
      <c r="M750" s="24"/>
      <c r="N750" s="119"/>
      <c r="O750" s="24"/>
      <c r="P750" s="95"/>
      <c r="Q750" s="24"/>
      <c r="R750" s="80"/>
      <c r="S750" s="24"/>
      <c r="T750" s="79"/>
      <c r="U750" s="24">
        <f t="shared" si="223"/>
        <v>0</v>
      </c>
      <c r="V750" s="39">
        <v>800</v>
      </c>
      <c r="W750" s="24">
        <f t="shared" si="224"/>
        <v>800</v>
      </c>
      <c r="X750" s="109">
        <v>-480</v>
      </c>
      <c r="Y750" s="24">
        <f t="shared" si="225"/>
        <v>320</v>
      </c>
      <c r="Z750" s="189"/>
      <c r="AA750" s="189">
        <f>Y750+Z750</f>
        <v>320</v>
      </c>
    </row>
    <row r="751" spans="1:27" s="6" customFormat="1" ht="36.75" x14ac:dyDescent="0.25">
      <c r="A751" s="40" t="s">
        <v>1295</v>
      </c>
      <c r="B751" s="20" t="s">
        <v>182</v>
      </c>
      <c r="C751" s="20" t="s">
        <v>1337</v>
      </c>
      <c r="D751" s="81"/>
      <c r="E751" s="24"/>
      <c r="F751" s="24"/>
      <c r="G751" s="24"/>
      <c r="H751" s="80"/>
      <c r="I751" s="24"/>
      <c r="J751" s="80"/>
      <c r="K751" s="24"/>
      <c r="L751" s="95"/>
      <c r="M751" s="24"/>
      <c r="N751" s="119"/>
      <c r="O751" s="24"/>
      <c r="P751" s="95"/>
      <c r="Q751" s="24"/>
      <c r="R751" s="80"/>
      <c r="S751" s="24"/>
      <c r="T751" s="79">
        <f>T752</f>
        <v>0</v>
      </c>
      <c r="U751" s="24">
        <f t="shared" si="223"/>
        <v>0</v>
      </c>
      <c r="V751" s="79">
        <f>V752</f>
        <v>2869.5</v>
      </c>
      <c r="W751" s="24">
        <f t="shared" si="224"/>
        <v>2869.5</v>
      </c>
      <c r="X751" s="79">
        <f>X752</f>
        <v>-1721.7</v>
      </c>
      <c r="Y751" s="24">
        <f t="shared" si="225"/>
        <v>1147.8</v>
      </c>
      <c r="Z751" s="189"/>
    </row>
    <row r="752" spans="1:27" s="6" customFormat="1" x14ac:dyDescent="0.25">
      <c r="A752" s="30" t="s">
        <v>66</v>
      </c>
      <c r="B752" s="21" t="s">
        <v>182</v>
      </c>
      <c r="C752" s="21" t="s">
        <v>1337</v>
      </c>
      <c r="D752" s="81">
        <v>244</v>
      </c>
      <c r="E752" s="24"/>
      <c r="F752" s="24"/>
      <c r="G752" s="24"/>
      <c r="H752" s="80"/>
      <c r="I752" s="24"/>
      <c r="J752" s="80"/>
      <c r="K752" s="24"/>
      <c r="L752" s="95"/>
      <c r="M752" s="24"/>
      <c r="N752" s="119"/>
      <c r="O752" s="24"/>
      <c r="P752" s="95"/>
      <c r="Q752" s="24"/>
      <c r="R752" s="80"/>
      <c r="S752" s="24"/>
      <c r="T752" s="79"/>
      <c r="U752" s="24">
        <f t="shared" si="223"/>
        <v>0</v>
      </c>
      <c r="V752" s="39">
        <v>2869.5</v>
      </c>
      <c r="W752" s="24">
        <f t="shared" si="224"/>
        <v>2869.5</v>
      </c>
      <c r="X752" s="109">
        <v>-1721.7</v>
      </c>
      <c r="Y752" s="24">
        <f t="shared" si="225"/>
        <v>1147.8</v>
      </c>
      <c r="Z752" s="189"/>
      <c r="AA752" s="189">
        <f>Y752+Z752</f>
        <v>1147.8</v>
      </c>
    </row>
    <row r="753" spans="1:27" s="6" customFormat="1" ht="24.75" x14ac:dyDescent="0.25">
      <c r="A753" s="40" t="s">
        <v>1296</v>
      </c>
      <c r="B753" s="20" t="s">
        <v>182</v>
      </c>
      <c r="C753" s="20" t="s">
        <v>1338</v>
      </c>
      <c r="D753" s="81"/>
      <c r="E753" s="24"/>
      <c r="F753" s="24"/>
      <c r="G753" s="24"/>
      <c r="H753" s="80"/>
      <c r="I753" s="24"/>
      <c r="J753" s="80"/>
      <c r="K753" s="24"/>
      <c r="L753" s="95"/>
      <c r="M753" s="24"/>
      <c r="N753" s="119"/>
      <c r="O753" s="24"/>
      <c r="P753" s="95"/>
      <c r="Q753" s="24"/>
      <c r="R753" s="80"/>
      <c r="S753" s="24"/>
      <c r="T753" s="79">
        <f>T754</f>
        <v>0</v>
      </c>
      <c r="U753" s="24">
        <f t="shared" si="223"/>
        <v>0</v>
      </c>
      <c r="V753" s="79">
        <f>V754</f>
        <v>435</v>
      </c>
      <c r="W753" s="24">
        <f t="shared" si="224"/>
        <v>435</v>
      </c>
      <c r="X753" s="79">
        <f>X754</f>
        <v>-261</v>
      </c>
      <c r="Y753" s="24">
        <f t="shared" si="225"/>
        <v>174</v>
      </c>
      <c r="Z753" s="189"/>
    </row>
    <row r="754" spans="1:27" s="6" customFormat="1" x14ac:dyDescent="0.25">
      <c r="A754" s="30" t="s">
        <v>66</v>
      </c>
      <c r="B754" s="21" t="s">
        <v>182</v>
      </c>
      <c r="C754" s="21" t="s">
        <v>1338</v>
      </c>
      <c r="D754" s="81">
        <v>244</v>
      </c>
      <c r="E754" s="24"/>
      <c r="F754" s="24"/>
      <c r="G754" s="24"/>
      <c r="H754" s="80"/>
      <c r="I754" s="24"/>
      <c r="J754" s="80"/>
      <c r="K754" s="24"/>
      <c r="L754" s="95"/>
      <c r="M754" s="24"/>
      <c r="N754" s="119"/>
      <c r="O754" s="24"/>
      <c r="P754" s="95"/>
      <c r="Q754" s="24"/>
      <c r="R754" s="80"/>
      <c r="S754" s="24"/>
      <c r="T754" s="79"/>
      <c r="U754" s="24">
        <f t="shared" si="223"/>
        <v>0</v>
      </c>
      <c r="V754" s="39">
        <v>435</v>
      </c>
      <c r="W754" s="24">
        <f t="shared" si="224"/>
        <v>435</v>
      </c>
      <c r="X754" s="109">
        <v>-261</v>
      </c>
      <c r="Y754" s="24">
        <f t="shared" si="225"/>
        <v>174</v>
      </c>
      <c r="Z754" s="189"/>
      <c r="AA754" s="189">
        <f>Y754+Z754</f>
        <v>174</v>
      </c>
    </row>
    <row r="755" spans="1:27" s="6" customFormat="1" x14ac:dyDescent="0.25">
      <c r="A755" s="152" t="s">
        <v>1297</v>
      </c>
      <c r="B755" s="20" t="s">
        <v>182</v>
      </c>
      <c r="C755" s="20" t="s">
        <v>1339</v>
      </c>
      <c r="D755" s="81"/>
      <c r="E755" s="24"/>
      <c r="F755" s="24"/>
      <c r="G755" s="24"/>
      <c r="H755" s="80"/>
      <c r="I755" s="24"/>
      <c r="J755" s="80"/>
      <c r="K755" s="24"/>
      <c r="L755" s="95"/>
      <c r="M755" s="24"/>
      <c r="N755" s="119"/>
      <c r="O755" s="24"/>
      <c r="P755" s="95"/>
      <c r="Q755" s="24"/>
      <c r="R755" s="80"/>
      <c r="S755" s="24"/>
      <c r="T755" s="79">
        <f>T756</f>
        <v>0</v>
      </c>
      <c r="U755" s="24">
        <f t="shared" si="223"/>
        <v>0</v>
      </c>
      <c r="V755" s="79">
        <f>V756</f>
        <v>2280</v>
      </c>
      <c r="W755" s="24">
        <f t="shared" si="224"/>
        <v>2280</v>
      </c>
      <c r="X755" s="79">
        <f>X756</f>
        <v>-1368</v>
      </c>
      <c r="Y755" s="24">
        <f t="shared" si="225"/>
        <v>912</v>
      </c>
      <c r="Z755" s="189"/>
    </row>
    <row r="756" spans="1:27" s="6" customFormat="1" x14ac:dyDescent="0.25">
      <c r="A756" s="30" t="s">
        <v>66</v>
      </c>
      <c r="B756" s="21" t="s">
        <v>182</v>
      </c>
      <c r="C756" s="21" t="s">
        <v>1339</v>
      </c>
      <c r="D756" s="81">
        <v>244</v>
      </c>
      <c r="E756" s="24"/>
      <c r="F756" s="24"/>
      <c r="G756" s="24"/>
      <c r="H756" s="80"/>
      <c r="I756" s="24"/>
      <c r="J756" s="80"/>
      <c r="K756" s="24"/>
      <c r="L756" s="95"/>
      <c r="M756" s="24"/>
      <c r="N756" s="119"/>
      <c r="O756" s="24"/>
      <c r="P756" s="95"/>
      <c r="Q756" s="24"/>
      <c r="R756" s="80"/>
      <c r="S756" s="24"/>
      <c r="T756" s="79"/>
      <c r="U756" s="24">
        <f t="shared" si="223"/>
        <v>0</v>
      </c>
      <c r="V756" s="39">
        <v>2280</v>
      </c>
      <c r="W756" s="24">
        <f t="shared" si="224"/>
        <v>2280</v>
      </c>
      <c r="X756" s="109">
        <v>-1368</v>
      </c>
      <c r="Y756" s="24">
        <f t="shared" si="225"/>
        <v>912</v>
      </c>
      <c r="Z756" s="189"/>
      <c r="AA756" s="189">
        <f>Y756+Z756</f>
        <v>912</v>
      </c>
    </row>
    <row r="757" spans="1:27" s="6" customFormat="1" x14ac:dyDescent="0.25">
      <c r="A757" s="40" t="s">
        <v>1298</v>
      </c>
      <c r="B757" s="20" t="s">
        <v>182</v>
      </c>
      <c r="C757" s="20" t="s">
        <v>1340</v>
      </c>
      <c r="D757" s="81"/>
      <c r="E757" s="24"/>
      <c r="F757" s="24"/>
      <c r="G757" s="24"/>
      <c r="H757" s="80"/>
      <c r="I757" s="24"/>
      <c r="J757" s="80"/>
      <c r="K757" s="24"/>
      <c r="L757" s="95"/>
      <c r="M757" s="24"/>
      <c r="N757" s="119"/>
      <c r="O757" s="24"/>
      <c r="P757" s="95"/>
      <c r="Q757" s="24"/>
      <c r="R757" s="80"/>
      <c r="S757" s="24"/>
      <c r="T757" s="79">
        <f>T758</f>
        <v>0</v>
      </c>
      <c r="U757" s="24">
        <f t="shared" si="223"/>
        <v>0</v>
      </c>
      <c r="V757" s="79">
        <f>V758</f>
        <v>3000</v>
      </c>
      <c r="W757" s="24">
        <f t="shared" si="224"/>
        <v>3000</v>
      </c>
      <c r="X757" s="79">
        <f>X758</f>
        <v>-1800</v>
      </c>
      <c r="Y757" s="24">
        <f t="shared" si="225"/>
        <v>1200</v>
      </c>
      <c r="Z757" s="189"/>
    </row>
    <row r="758" spans="1:27" s="6" customFormat="1" x14ac:dyDescent="0.25">
      <c r="A758" s="30" t="s">
        <v>66</v>
      </c>
      <c r="B758" s="21" t="s">
        <v>182</v>
      </c>
      <c r="C758" s="21" t="s">
        <v>1340</v>
      </c>
      <c r="D758" s="81">
        <v>244</v>
      </c>
      <c r="E758" s="24"/>
      <c r="F758" s="24"/>
      <c r="G758" s="24"/>
      <c r="H758" s="80"/>
      <c r="I758" s="24"/>
      <c r="J758" s="80"/>
      <c r="K758" s="24"/>
      <c r="L758" s="95"/>
      <c r="M758" s="24"/>
      <c r="N758" s="119"/>
      <c r="O758" s="24"/>
      <c r="P758" s="95"/>
      <c r="Q758" s="24"/>
      <c r="R758" s="80"/>
      <c r="S758" s="24"/>
      <c r="T758" s="79"/>
      <c r="U758" s="24">
        <f t="shared" si="223"/>
        <v>0</v>
      </c>
      <c r="V758" s="39">
        <v>3000</v>
      </c>
      <c r="W758" s="24">
        <f t="shared" si="224"/>
        <v>3000</v>
      </c>
      <c r="X758" s="109">
        <v>-1800</v>
      </c>
      <c r="Y758" s="24">
        <f t="shared" si="225"/>
        <v>1200</v>
      </c>
      <c r="Z758" s="189"/>
      <c r="AA758" s="189">
        <f>Y758+Z758</f>
        <v>1200</v>
      </c>
    </row>
    <row r="759" spans="1:27" s="6" customFormat="1" x14ac:dyDescent="0.25">
      <c r="A759" s="40" t="s">
        <v>1299</v>
      </c>
      <c r="B759" s="20" t="s">
        <v>182</v>
      </c>
      <c r="C759" s="20" t="s">
        <v>1341</v>
      </c>
      <c r="D759" s="81"/>
      <c r="E759" s="24"/>
      <c r="F759" s="24"/>
      <c r="G759" s="24"/>
      <c r="H759" s="80"/>
      <c r="I759" s="24"/>
      <c r="J759" s="80"/>
      <c r="K759" s="24"/>
      <c r="L759" s="95"/>
      <c r="M759" s="24"/>
      <c r="N759" s="119"/>
      <c r="O759" s="24"/>
      <c r="P759" s="95"/>
      <c r="Q759" s="24"/>
      <c r="R759" s="80"/>
      <c r="S759" s="24"/>
      <c r="T759" s="79">
        <f>T760</f>
        <v>0</v>
      </c>
      <c r="U759" s="24">
        <f t="shared" si="223"/>
        <v>0</v>
      </c>
      <c r="V759" s="79">
        <f>V760</f>
        <v>3000</v>
      </c>
      <c r="W759" s="24">
        <f t="shared" si="224"/>
        <v>3000</v>
      </c>
      <c r="X759" s="79">
        <f>X760</f>
        <v>-1800</v>
      </c>
      <c r="Y759" s="24">
        <f t="shared" si="225"/>
        <v>1200</v>
      </c>
      <c r="Z759" s="189"/>
    </row>
    <row r="760" spans="1:27" s="6" customFormat="1" x14ac:dyDescent="0.25">
      <c r="A760" s="30" t="s">
        <v>66</v>
      </c>
      <c r="B760" s="21" t="s">
        <v>182</v>
      </c>
      <c r="C760" s="21" t="s">
        <v>1341</v>
      </c>
      <c r="D760" s="81">
        <v>244</v>
      </c>
      <c r="E760" s="24"/>
      <c r="F760" s="24"/>
      <c r="G760" s="24"/>
      <c r="H760" s="80"/>
      <c r="I760" s="24"/>
      <c r="J760" s="80"/>
      <c r="K760" s="24"/>
      <c r="L760" s="95"/>
      <c r="M760" s="24"/>
      <c r="N760" s="119"/>
      <c r="O760" s="24"/>
      <c r="P760" s="95"/>
      <c r="Q760" s="24"/>
      <c r="R760" s="80"/>
      <c r="S760" s="24"/>
      <c r="T760" s="79"/>
      <c r="U760" s="24">
        <f t="shared" si="223"/>
        <v>0</v>
      </c>
      <c r="V760" s="39">
        <v>3000</v>
      </c>
      <c r="W760" s="24">
        <f t="shared" si="224"/>
        <v>3000</v>
      </c>
      <c r="X760" s="109">
        <v>-1800</v>
      </c>
      <c r="Y760" s="24">
        <f t="shared" si="225"/>
        <v>1200</v>
      </c>
      <c r="Z760" s="189"/>
      <c r="AA760" s="189">
        <f>Y760+Z760</f>
        <v>1200</v>
      </c>
    </row>
    <row r="761" spans="1:27" s="6" customFormat="1" x14ac:dyDescent="0.25">
      <c r="A761" s="40" t="s">
        <v>1300</v>
      </c>
      <c r="B761" s="20" t="s">
        <v>182</v>
      </c>
      <c r="C761" s="20" t="s">
        <v>1342</v>
      </c>
      <c r="D761" s="81"/>
      <c r="E761" s="24"/>
      <c r="F761" s="24"/>
      <c r="G761" s="24"/>
      <c r="H761" s="80"/>
      <c r="I761" s="24"/>
      <c r="J761" s="80"/>
      <c r="K761" s="24"/>
      <c r="L761" s="95"/>
      <c r="M761" s="24"/>
      <c r="N761" s="119"/>
      <c r="O761" s="24"/>
      <c r="P761" s="95"/>
      <c r="Q761" s="24"/>
      <c r="R761" s="80"/>
      <c r="S761" s="24"/>
      <c r="T761" s="79">
        <f>T762</f>
        <v>0</v>
      </c>
      <c r="U761" s="24">
        <f t="shared" si="223"/>
        <v>0</v>
      </c>
      <c r="V761" s="79">
        <f>V762</f>
        <v>3000</v>
      </c>
      <c r="W761" s="24">
        <f t="shared" si="224"/>
        <v>3000</v>
      </c>
      <c r="X761" s="79">
        <f>X762</f>
        <v>-1800</v>
      </c>
      <c r="Y761" s="24">
        <f t="shared" si="225"/>
        <v>1200</v>
      </c>
      <c r="Z761" s="189"/>
    </row>
    <row r="762" spans="1:27" s="6" customFormat="1" x14ac:dyDescent="0.25">
      <c r="A762" s="30" t="s">
        <v>66</v>
      </c>
      <c r="B762" s="21" t="s">
        <v>182</v>
      </c>
      <c r="C762" s="21" t="s">
        <v>1342</v>
      </c>
      <c r="D762" s="81">
        <v>244</v>
      </c>
      <c r="E762" s="24"/>
      <c r="F762" s="24"/>
      <c r="G762" s="24"/>
      <c r="H762" s="80"/>
      <c r="I762" s="24"/>
      <c r="J762" s="80"/>
      <c r="K762" s="24"/>
      <c r="L762" s="95"/>
      <c r="M762" s="24"/>
      <c r="N762" s="119"/>
      <c r="O762" s="24"/>
      <c r="P762" s="95"/>
      <c r="Q762" s="24"/>
      <c r="R762" s="80"/>
      <c r="S762" s="24"/>
      <c r="T762" s="79"/>
      <c r="U762" s="24">
        <f t="shared" si="223"/>
        <v>0</v>
      </c>
      <c r="V762" s="39">
        <v>3000</v>
      </c>
      <c r="W762" s="24">
        <f t="shared" si="224"/>
        <v>3000</v>
      </c>
      <c r="X762" s="109">
        <v>-1800</v>
      </c>
      <c r="Y762" s="24">
        <f t="shared" si="225"/>
        <v>1200</v>
      </c>
      <c r="Z762" s="189"/>
      <c r="AA762" s="189">
        <f>Y762+Z762</f>
        <v>1200</v>
      </c>
    </row>
    <row r="763" spans="1:27" s="6" customFormat="1" x14ac:dyDescent="0.25">
      <c r="A763" s="40" t="s">
        <v>1301</v>
      </c>
      <c r="B763" s="20" t="s">
        <v>182</v>
      </c>
      <c r="C763" s="20" t="s">
        <v>1343</v>
      </c>
      <c r="D763" s="81"/>
      <c r="E763" s="24"/>
      <c r="F763" s="24"/>
      <c r="G763" s="24"/>
      <c r="H763" s="80"/>
      <c r="I763" s="24"/>
      <c r="J763" s="80"/>
      <c r="K763" s="24"/>
      <c r="L763" s="95"/>
      <c r="M763" s="24"/>
      <c r="N763" s="119"/>
      <c r="O763" s="24"/>
      <c r="P763" s="95"/>
      <c r="Q763" s="24"/>
      <c r="R763" s="80"/>
      <c r="S763" s="24"/>
      <c r="T763" s="79">
        <f>T764</f>
        <v>0</v>
      </c>
      <c r="U763" s="24">
        <f t="shared" si="223"/>
        <v>0</v>
      </c>
      <c r="V763" s="79">
        <f>V764</f>
        <v>285</v>
      </c>
      <c r="W763" s="24">
        <f t="shared" si="224"/>
        <v>285</v>
      </c>
      <c r="X763" s="79">
        <f>X764</f>
        <v>-171</v>
      </c>
      <c r="Y763" s="24">
        <f t="shared" si="225"/>
        <v>114</v>
      </c>
      <c r="Z763" s="189"/>
    </row>
    <row r="764" spans="1:27" s="6" customFormat="1" x14ac:dyDescent="0.25">
      <c r="A764" s="30" t="s">
        <v>66</v>
      </c>
      <c r="B764" s="21" t="s">
        <v>182</v>
      </c>
      <c r="C764" s="21" t="s">
        <v>1343</v>
      </c>
      <c r="D764" s="81">
        <v>244</v>
      </c>
      <c r="E764" s="24"/>
      <c r="F764" s="24"/>
      <c r="G764" s="24"/>
      <c r="H764" s="80"/>
      <c r="I764" s="24"/>
      <c r="J764" s="80"/>
      <c r="K764" s="24"/>
      <c r="L764" s="95"/>
      <c r="M764" s="24"/>
      <c r="N764" s="119"/>
      <c r="O764" s="24"/>
      <c r="P764" s="95"/>
      <c r="Q764" s="24"/>
      <c r="R764" s="80"/>
      <c r="S764" s="24"/>
      <c r="T764" s="79"/>
      <c r="U764" s="24">
        <f t="shared" si="223"/>
        <v>0</v>
      </c>
      <c r="V764" s="39">
        <v>285</v>
      </c>
      <c r="W764" s="24">
        <f t="shared" si="224"/>
        <v>285</v>
      </c>
      <c r="X764" s="109">
        <v>-171</v>
      </c>
      <c r="Y764" s="24">
        <f t="shared" si="225"/>
        <v>114</v>
      </c>
      <c r="Z764" s="189"/>
      <c r="AA764" s="189">
        <f>Y764+Z764</f>
        <v>114</v>
      </c>
    </row>
    <row r="765" spans="1:27" s="6" customFormat="1" x14ac:dyDescent="0.25">
      <c r="A765" s="40" t="s">
        <v>1302</v>
      </c>
      <c r="B765" s="20" t="s">
        <v>182</v>
      </c>
      <c r="C765" s="20" t="s">
        <v>1344</v>
      </c>
      <c r="D765" s="81"/>
      <c r="E765" s="24"/>
      <c r="F765" s="24"/>
      <c r="G765" s="24"/>
      <c r="H765" s="80"/>
      <c r="I765" s="24"/>
      <c r="J765" s="80"/>
      <c r="K765" s="24"/>
      <c r="L765" s="95"/>
      <c r="M765" s="24"/>
      <c r="N765" s="119"/>
      <c r="O765" s="24"/>
      <c r="P765" s="95"/>
      <c r="Q765" s="24"/>
      <c r="R765" s="80"/>
      <c r="S765" s="24"/>
      <c r="T765" s="79">
        <f>T767</f>
        <v>0</v>
      </c>
      <c r="U765" s="24">
        <f t="shared" si="223"/>
        <v>0</v>
      </c>
      <c r="V765" s="79">
        <f>V766</f>
        <v>1613.3</v>
      </c>
      <c r="W765" s="24">
        <f t="shared" si="224"/>
        <v>1613.3</v>
      </c>
      <c r="X765" s="79">
        <f>X766</f>
        <v>-968</v>
      </c>
      <c r="Y765" s="24">
        <f t="shared" si="225"/>
        <v>645.29999999999995</v>
      </c>
      <c r="Z765" s="189"/>
    </row>
    <row r="766" spans="1:27" s="6" customFormat="1" x14ac:dyDescent="0.25">
      <c r="A766" s="30" t="s">
        <v>66</v>
      </c>
      <c r="B766" s="21" t="s">
        <v>182</v>
      </c>
      <c r="C766" s="21" t="s">
        <v>1344</v>
      </c>
      <c r="D766" s="81">
        <v>244</v>
      </c>
      <c r="E766" s="24"/>
      <c r="F766" s="24"/>
      <c r="G766" s="24"/>
      <c r="H766" s="80"/>
      <c r="I766" s="24"/>
      <c r="J766" s="80"/>
      <c r="K766" s="24"/>
      <c r="L766" s="95"/>
      <c r="M766" s="24"/>
      <c r="N766" s="119"/>
      <c r="O766" s="24"/>
      <c r="P766" s="95"/>
      <c r="Q766" s="24"/>
      <c r="R766" s="80"/>
      <c r="S766" s="24"/>
      <c r="T766" s="79"/>
      <c r="U766" s="24">
        <f t="shared" si="223"/>
        <v>0</v>
      </c>
      <c r="V766" s="39">
        <v>1613.3</v>
      </c>
      <c r="W766" s="24">
        <f t="shared" si="224"/>
        <v>1613.3</v>
      </c>
      <c r="X766" s="109">
        <v>-968</v>
      </c>
      <c r="Y766" s="24">
        <f t="shared" si="225"/>
        <v>645.29999999999995</v>
      </c>
      <c r="Z766" s="189"/>
      <c r="AA766" s="189">
        <f>Y766+Z766</f>
        <v>645.29999999999995</v>
      </c>
    </row>
    <row r="767" spans="1:27" s="6" customFormat="1" x14ac:dyDescent="0.25">
      <c r="A767" s="40" t="s">
        <v>1303</v>
      </c>
      <c r="B767" s="20" t="s">
        <v>182</v>
      </c>
      <c r="C767" s="20" t="s">
        <v>1345</v>
      </c>
      <c r="D767" s="81"/>
      <c r="E767" s="24"/>
      <c r="F767" s="24"/>
      <c r="G767" s="24"/>
      <c r="H767" s="80"/>
      <c r="I767" s="24"/>
      <c r="J767" s="80"/>
      <c r="K767" s="24"/>
      <c r="L767" s="95"/>
      <c r="M767" s="24"/>
      <c r="N767" s="119"/>
      <c r="O767" s="24"/>
      <c r="P767" s="95"/>
      <c r="Q767" s="24"/>
      <c r="R767" s="80"/>
      <c r="S767" s="24"/>
      <c r="T767" s="79">
        <f>T768</f>
        <v>0</v>
      </c>
      <c r="U767" s="24">
        <f t="shared" si="223"/>
        <v>0</v>
      </c>
      <c r="V767" s="79">
        <f>V768</f>
        <v>300</v>
      </c>
      <c r="W767" s="24">
        <f t="shared" si="224"/>
        <v>300</v>
      </c>
      <c r="X767" s="79">
        <f>X768</f>
        <v>-180</v>
      </c>
      <c r="Y767" s="24">
        <f t="shared" si="225"/>
        <v>120</v>
      </c>
      <c r="Z767" s="189"/>
    </row>
    <row r="768" spans="1:27" s="6" customFormat="1" x14ac:dyDescent="0.25">
      <c r="A768" s="30" t="s">
        <v>66</v>
      </c>
      <c r="B768" s="21" t="s">
        <v>182</v>
      </c>
      <c r="C768" s="21" t="s">
        <v>1345</v>
      </c>
      <c r="D768" s="81">
        <v>244</v>
      </c>
      <c r="E768" s="24"/>
      <c r="F768" s="24"/>
      <c r="G768" s="24"/>
      <c r="H768" s="80"/>
      <c r="I768" s="24"/>
      <c r="J768" s="80"/>
      <c r="K768" s="24"/>
      <c r="L768" s="95"/>
      <c r="M768" s="24"/>
      <c r="N768" s="119"/>
      <c r="O768" s="24"/>
      <c r="P768" s="95"/>
      <c r="Q768" s="24"/>
      <c r="R768" s="80"/>
      <c r="S768" s="24"/>
      <c r="T768" s="79"/>
      <c r="U768" s="24">
        <f t="shared" si="223"/>
        <v>0</v>
      </c>
      <c r="V768" s="39">
        <v>300</v>
      </c>
      <c r="W768" s="24">
        <f t="shared" si="224"/>
        <v>300</v>
      </c>
      <c r="X768" s="109">
        <v>-180</v>
      </c>
      <c r="Y768" s="24">
        <f t="shared" si="225"/>
        <v>120</v>
      </c>
      <c r="Z768" s="189"/>
      <c r="AA768" s="189">
        <f>Y768+Z768</f>
        <v>120</v>
      </c>
    </row>
    <row r="769" spans="1:27" s="6" customFormat="1" ht="24.75" x14ac:dyDescent="0.25">
      <c r="A769" s="40" t="s">
        <v>1304</v>
      </c>
      <c r="B769" s="20" t="s">
        <v>182</v>
      </c>
      <c r="C769" s="20" t="s">
        <v>1346</v>
      </c>
      <c r="D769" s="81"/>
      <c r="E769" s="24"/>
      <c r="F769" s="24"/>
      <c r="G769" s="24"/>
      <c r="H769" s="80"/>
      <c r="I769" s="24"/>
      <c r="J769" s="80"/>
      <c r="K769" s="24"/>
      <c r="L769" s="95"/>
      <c r="M769" s="24"/>
      <c r="N769" s="119"/>
      <c r="O769" s="24"/>
      <c r="P769" s="95"/>
      <c r="Q769" s="24"/>
      <c r="R769" s="80"/>
      <c r="S769" s="24"/>
      <c r="T769" s="79">
        <f>T770</f>
        <v>0</v>
      </c>
      <c r="U769" s="24">
        <f t="shared" si="223"/>
        <v>0</v>
      </c>
      <c r="V769" s="79">
        <f>V770</f>
        <v>500</v>
      </c>
      <c r="W769" s="24">
        <f t="shared" si="224"/>
        <v>500</v>
      </c>
      <c r="X769" s="79">
        <f>X770</f>
        <v>-300</v>
      </c>
      <c r="Y769" s="24">
        <f t="shared" si="225"/>
        <v>200</v>
      </c>
      <c r="Z769" s="189"/>
    </row>
    <row r="770" spans="1:27" s="6" customFormat="1" x14ac:dyDescent="0.25">
      <c r="A770" s="30" t="s">
        <v>66</v>
      </c>
      <c r="B770" s="21" t="s">
        <v>182</v>
      </c>
      <c r="C770" s="21" t="s">
        <v>1346</v>
      </c>
      <c r="D770" s="81">
        <v>244</v>
      </c>
      <c r="E770" s="24"/>
      <c r="F770" s="24"/>
      <c r="G770" s="24"/>
      <c r="H770" s="80"/>
      <c r="I770" s="24"/>
      <c r="J770" s="80"/>
      <c r="K770" s="24"/>
      <c r="L770" s="95"/>
      <c r="M770" s="24"/>
      <c r="N770" s="119"/>
      <c r="O770" s="24"/>
      <c r="P770" s="95"/>
      <c r="Q770" s="24"/>
      <c r="R770" s="80"/>
      <c r="S770" s="24"/>
      <c r="T770" s="79"/>
      <c r="U770" s="24">
        <f t="shared" si="223"/>
        <v>0</v>
      </c>
      <c r="V770" s="39">
        <v>500</v>
      </c>
      <c r="W770" s="24">
        <f t="shared" si="224"/>
        <v>500</v>
      </c>
      <c r="X770" s="109">
        <v>-300</v>
      </c>
      <c r="Y770" s="24">
        <f t="shared" si="225"/>
        <v>200</v>
      </c>
      <c r="Z770" s="189"/>
      <c r="AA770" s="189">
        <f>Y770+Z770</f>
        <v>200</v>
      </c>
    </row>
    <row r="771" spans="1:27" s="6" customFormat="1" x14ac:dyDescent="0.25">
      <c r="A771" s="40" t="s">
        <v>1305</v>
      </c>
      <c r="B771" s="20" t="s">
        <v>182</v>
      </c>
      <c r="C771" s="20" t="s">
        <v>1347</v>
      </c>
      <c r="D771" s="81"/>
      <c r="E771" s="24"/>
      <c r="F771" s="24"/>
      <c r="G771" s="24"/>
      <c r="H771" s="80"/>
      <c r="I771" s="24"/>
      <c r="J771" s="80"/>
      <c r="K771" s="24"/>
      <c r="L771" s="95"/>
      <c r="M771" s="24"/>
      <c r="N771" s="119"/>
      <c r="O771" s="24"/>
      <c r="P771" s="95"/>
      <c r="Q771" s="24"/>
      <c r="R771" s="80"/>
      <c r="S771" s="24"/>
      <c r="T771" s="79">
        <f>T772</f>
        <v>0</v>
      </c>
      <c r="U771" s="24">
        <f t="shared" si="223"/>
        <v>0</v>
      </c>
      <c r="V771" s="79">
        <f>V772</f>
        <v>800</v>
      </c>
      <c r="W771" s="24">
        <f t="shared" si="224"/>
        <v>800</v>
      </c>
      <c r="X771" s="79">
        <f>X772</f>
        <v>-480</v>
      </c>
      <c r="Y771" s="24">
        <f t="shared" si="225"/>
        <v>320</v>
      </c>
      <c r="Z771" s="189"/>
    </row>
    <row r="772" spans="1:27" s="6" customFormat="1" x14ac:dyDescent="0.25">
      <c r="A772" s="30" t="s">
        <v>66</v>
      </c>
      <c r="B772" s="21" t="s">
        <v>182</v>
      </c>
      <c r="C772" s="21" t="s">
        <v>1347</v>
      </c>
      <c r="D772" s="81">
        <v>244</v>
      </c>
      <c r="E772" s="24"/>
      <c r="F772" s="24"/>
      <c r="G772" s="24"/>
      <c r="H772" s="80"/>
      <c r="I772" s="24"/>
      <c r="J772" s="80"/>
      <c r="K772" s="24"/>
      <c r="L772" s="95"/>
      <c r="M772" s="24"/>
      <c r="N772" s="119"/>
      <c r="O772" s="24"/>
      <c r="P772" s="95"/>
      <c r="Q772" s="24"/>
      <c r="R772" s="80"/>
      <c r="S772" s="24"/>
      <c r="T772" s="83"/>
      <c r="U772" s="24">
        <f t="shared" si="223"/>
        <v>0</v>
      </c>
      <c r="V772" s="39">
        <v>800</v>
      </c>
      <c r="W772" s="24">
        <f t="shared" si="224"/>
        <v>800</v>
      </c>
      <c r="X772" s="109">
        <v>-480</v>
      </c>
      <c r="Y772" s="24">
        <f t="shared" si="225"/>
        <v>320</v>
      </c>
      <c r="Z772" s="189"/>
      <c r="AA772" s="189">
        <f>Y772+Z772</f>
        <v>320</v>
      </c>
    </row>
    <row r="773" spans="1:27" s="6" customFormat="1" ht="24.75" x14ac:dyDescent="0.25">
      <c r="A773" s="22" t="s">
        <v>593</v>
      </c>
      <c r="B773" s="20" t="s">
        <v>182</v>
      </c>
      <c r="C773" s="23" t="s">
        <v>183</v>
      </c>
      <c r="D773" s="23" t="s">
        <v>2</v>
      </c>
      <c r="E773" s="24">
        <f>E778</f>
        <v>144735.9</v>
      </c>
      <c r="F773" s="24">
        <f>F778</f>
        <v>40000</v>
      </c>
      <c r="G773" s="24">
        <f t="shared" si="71"/>
        <v>184735.9</v>
      </c>
      <c r="H773" s="24">
        <f>H778</f>
        <v>200000</v>
      </c>
      <c r="I773" s="24">
        <f t="shared" si="72"/>
        <v>384735.9</v>
      </c>
      <c r="J773" s="24">
        <f>J778</f>
        <v>0</v>
      </c>
      <c r="K773" s="24">
        <f t="shared" si="73"/>
        <v>384735.9</v>
      </c>
      <c r="L773" s="24">
        <f>L778</f>
        <v>20333</v>
      </c>
      <c r="M773" s="24">
        <f t="shared" si="74"/>
        <v>405068.9</v>
      </c>
      <c r="N773" s="24">
        <f>N778</f>
        <v>1665.2000000000003</v>
      </c>
      <c r="O773" s="24">
        <f t="shared" si="75"/>
        <v>406734.10000000003</v>
      </c>
      <c r="P773" s="24">
        <f>P778</f>
        <v>80948.400000000009</v>
      </c>
      <c r="Q773" s="24">
        <f t="shared" si="92"/>
        <v>487682.50000000006</v>
      </c>
      <c r="R773" s="24">
        <f>R778+R774</f>
        <v>15791.199999999999</v>
      </c>
      <c r="S773" s="24">
        <f t="shared" si="222"/>
        <v>503473.70000000007</v>
      </c>
      <c r="T773" s="24">
        <f>T778+T774</f>
        <v>-2013.5</v>
      </c>
      <c r="U773" s="24">
        <f t="shared" si="223"/>
        <v>501460.20000000007</v>
      </c>
      <c r="V773" s="24">
        <f>V778+V774</f>
        <v>-6704.1999999999989</v>
      </c>
      <c r="W773" s="24">
        <f t="shared" si="224"/>
        <v>494756.00000000006</v>
      </c>
      <c r="X773" s="24">
        <f>X778+X774</f>
        <v>18226.900000000001</v>
      </c>
      <c r="Y773" s="24">
        <f t="shared" si="225"/>
        <v>512982.90000000008</v>
      </c>
      <c r="Z773" s="189"/>
    </row>
    <row r="774" spans="1:27" s="6" customFormat="1" ht="24.75" x14ac:dyDescent="0.25">
      <c r="A774" s="22" t="s">
        <v>1250</v>
      </c>
      <c r="B774" s="20" t="s">
        <v>182</v>
      </c>
      <c r="C774" s="23" t="s">
        <v>212</v>
      </c>
      <c r="D774" s="23"/>
      <c r="E774" s="24"/>
      <c r="F774" s="24"/>
      <c r="G774" s="24"/>
      <c r="H774" s="24"/>
      <c r="I774" s="24"/>
      <c r="J774" s="24"/>
      <c r="K774" s="24"/>
      <c r="L774" s="24"/>
      <c r="M774" s="24"/>
      <c r="N774" s="24"/>
      <c r="O774" s="24"/>
      <c r="P774" s="24"/>
      <c r="Q774" s="24"/>
      <c r="R774" s="24">
        <f>R775</f>
        <v>219.9</v>
      </c>
      <c r="S774" s="24">
        <f t="shared" si="222"/>
        <v>219.9</v>
      </c>
      <c r="T774" s="24">
        <f>T775</f>
        <v>0</v>
      </c>
      <c r="U774" s="24">
        <f t="shared" si="223"/>
        <v>219.9</v>
      </c>
      <c r="V774" s="24">
        <f>V775</f>
        <v>80.099999999999994</v>
      </c>
      <c r="W774" s="24">
        <f t="shared" si="224"/>
        <v>300</v>
      </c>
      <c r="X774" s="24">
        <f>X775</f>
        <v>0</v>
      </c>
      <c r="Y774" s="24">
        <f t="shared" si="225"/>
        <v>300</v>
      </c>
      <c r="Z774" s="189"/>
    </row>
    <row r="775" spans="1:27" s="6" customFormat="1" x14ac:dyDescent="0.25">
      <c r="A775" s="22" t="s">
        <v>213</v>
      </c>
      <c r="B775" s="20" t="s">
        <v>182</v>
      </c>
      <c r="C775" s="23" t="s">
        <v>214</v>
      </c>
      <c r="D775" s="23"/>
      <c r="E775" s="24"/>
      <c r="F775" s="24"/>
      <c r="G775" s="24"/>
      <c r="H775" s="24"/>
      <c r="I775" s="24"/>
      <c r="J775" s="24"/>
      <c r="K775" s="24"/>
      <c r="L775" s="24"/>
      <c r="M775" s="24"/>
      <c r="N775" s="24"/>
      <c r="O775" s="24"/>
      <c r="P775" s="24"/>
      <c r="Q775" s="24"/>
      <c r="R775" s="24">
        <f>R776</f>
        <v>219.9</v>
      </c>
      <c r="S775" s="24">
        <f t="shared" si="222"/>
        <v>219.9</v>
      </c>
      <c r="T775" s="24">
        <f>T776</f>
        <v>0</v>
      </c>
      <c r="U775" s="24">
        <f t="shared" si="223"/>
        <v>219.9</v>
      </c>
      <c r="V775" s="24">
        <f>V776</f>
        <v>80.099999999999994</v>
      </c>
      <c r="W775" s="24">
        <f t="shared" si="224"/>
        <v>300</v>
      </c>
      <c r="X775" s="24">
        <f>X776</f>
        <v>0</v>
      </c>
      <c r="Y775" s="24">
        <f t="shared" si="225"/>
        <v>300</v>
      </c>
      <c r="Z775" s="189"/>
    </row>
    <row r="776" spans="1:27" s="6" customFormat="1" ht="36.75" x14ac:dyDescent="0.25">
      <c r="A776" s="22" t="s">
        <v>619</v>
      </c>
      <c r="B776" s="20" t="s">
        <v>182</v>
      </c>
      <c r="C776" s="20" t="s">
        <v>635</v>
      </c>
      <c r="D776" s="20" t="s">
        <v>2</v>
      </c>
      <c r="E776" s="24"/>
      <c r="F776" s="24"/>
      <c r="G776" s="24"/>
      <c r="H776" s="24"/>
      <c r="I776" s="24"/>
      <c r="J776" s="24"/>
      <c r="K776" s="24"/>
      <c r="L776" s="24"/>
      <c r="M776" s="24"/>
      <c r="N776" s="24"/>
      <c r="O776" s="24"/>
      <c r="P776" s="24"/>
      <c r="Q776" s="24"/>
      <c r="R776" s="18">
        <f>R777</f>
        <v>219.9</v>
      </c>
      <c r="S776" s="24">
        <f t="shared" si="222"/>
        <v>219.9</v>
      </c>
      <c r="T776" s="18">
        <f>T777</f>
        <v>0</v>
      </c>
      <c r="U776" s="24">
        <f t="shared" si="223"/>
        <v>219.9</v>
      </c>
      <c r="V776" s="18">
        <f>V777</f>
        <v>80.099999999999994</v>
      </c>
      <c r="W776" s="24">
        <f t="shared" si="224"/>
        <v>300</v>
      </c>
      <c r="X776" s="18">
        <f>X777</f>
        <v>0</v>
      </c>
      <c r="Y776" s="24">
        <f t="shared" si="225"/>
        <v>300</v>
      </c>
      <c r="Z776" s="189"/>
    </row>
    <row r="777" spans="1:27" s="6" customFormat="1" x14ac:dyDescent="0.25">
      <c r="A777" s="30" t="s">
        <v>66</v>
      </c>
      <c r="B777" s="21" t="s">
        <v>182</v>
      </c>
      <c r="C777" s="21" t="s">
        <v>635</v>
      </c>
      <c r="D777" s="21" t="s">
        <v>42</v>
      </c>
      <c r="E777" s="24"/>
      <c r="F777" s="24"/>
      <c r="G777" s="24"/>
      <c r="H777" s="24"/>
      <c r="I777" s="24"/>
      <c r="J777" s="24"/>
      <c r="K777" s="24"/>
      <c r="L777" s="24"/>
      <c r="M777" s="24"/>
      <c r="N777" s="24"/>
      <c r="O777" s="24"/>
      <c r="P777" s="24"/>
      <c r="Q777" s="24"/>
      <c r="R777" s="39">
        <v>219.9</v>
      </c>
      <c r="S777" s="24">
        <f t="shared" si="222"/>
        <v>219.9</v>
      </c>
      <c r="T777" s="69"/>
      <c r="U777" s="24">
        <f t="shared" si="223"/>
        <v>219.9</v>
      </c>
      <c r="V777" s="94">
        <v>80.099999999999994</v>
      </c>
      <c r="W777" s="24">
        <f t="shared" si="224"/>
        <v>300</v>
      </c>
      <c r="X777" s="69"/>
      <c r="Y777" s="24">
        <f t="shared" si="225"/>
        <v>300</v>
      </c>
      <c r="Z777" s="189"/>
      <c r="AA777" s="189">
        <f>Y777+Z777</f>
        <v>300</v>
      </c>
    </row>
    <row r="778" spans="1:27" s="6" customFormat="1" ht="24.75" x14ac:dyDescent="0.25">
      <c r="A778" s="22" t="s">
        <v>594</v>
      </c>
      <c r="B778" s="20" t="s">
        <v>182</v>
      </c>
      <c r="C778" s="23" t="s">
        <v>184</v>
      </c>
      <c r="D778" s="23" t="s">
        <v>2</v>
      </c>
      <c r="E778" s="24">
        <f t="shared" ref="E778:F778" si="226">E779</f>
        <v>144735.9</v>
      </c>
      <c r="F778" s="24">
        <f t="shared" si="226"/>
        <v>40000</v>
      </c>
      <c r="G778" s="24">
        <f t="shared" si="71"/>
        <v>184735.9</v>
      </c>
      <c r="H778" s="24">
        <f>H779+H796</f>
        <v>200000</v>
      </c>
      <c r="I778" s="24">
        <f t="shared" si="72"/>
        <v>384735.9</v>
      </c>
      <c r="J778" s="24">
        <f>J779+J796</f>
        <v>0</v>
      </c>
      <c r="K778" s="24">
        <f t="shared" si="73"/>
        <v>384735.9</v>
      </c>
      <c r="L778" s="24">
        <f>L779+L796</f>
        <v>20333</v>
      </c>
      <c r="M778" s="24">
        <f t="shared" si="74"/>
        <v>405068.9</v>
      </c>
      <c r="N778" s="24">
        <f>N779+N796</f>
        <v>1665.2000000000003</v>
      </c>
      <c r="O778" s="24">
        <f t="shared" si="75"/>
        <v>406734.10000000003</v>
      </c>
      <c r="P778" s="24">
        <f>P779+P796</f>
        <v>80948.400000000009</v>
      </c>
      <c r="Q778" s="24">
        <f t="shared" si="92"/>
        <v>487682.50000000006</v>
      </c>
      <c r="R778" s="24">
        <f>R779+R796</f>
        <v>15571.3</v>
      </c>
      <c r="S778" s="24">
        <f t="shared" si="222"/>
        <v>503253.80000000005</v>
      </c>
      <c r="T778" s="24">
        <f>T779+T796</f>
        <v>-2013.5</v>
      </c>
      <c r="U778" s="24">
        <f t="shared" si="223"/>
        <v>501240.30000000005</v>
      </c>
      <c r="V778" s="24">
        <f>V779+V796</f>
        <v>-6784.2999999999993</v>
      </c>
      <c r="W778" s="24">
        <f t="shared" si="224"/>
        <v>494456.00000000006</v>
      </c>
      <c r="X778" s="24">
        <f>X779+X796</f>
        <v>18226.900000000001</v>
      </c>
      <c r="Y778" s="24">
        <f t="shared" si="225"/>
        <v>512682.90000000008</v>
      </c>
      <c r="Z778" s="189"/>
    </row>
    <row r="779" spans="1:27" s="6" customFormat="1" x14ac:dyDescent="0.25">
      <c r="A779" s="22" t="s">
        <v>185</v>
      </c>
      <c r="B779" s="23" t="s">
        <v>182</v>
      </c>
      <c r="C779" s="23" t="s">
        <v>186</v>
      </c>
      <c r="D779" s="23" t="s">
        <v>2</v>
      </c>
      <c r="E779" s="24">
        <f>E782+E784+E790+E792+E794</f>
        <v>144735.9</v>
      </c>
      <c r="F779" s="24">
        <f>F782+F784+F790+F792+F794</f>
        <v>40000</v>
      </c>
      <c r="G779" s="24">
        <f t="shared" ref="G779:G880" si="227">E779+F779</f>
        <v>184735.9</v>
      </c>
      <c r="H779" s="24">
        <f>H782+H784+H790+H792+H794</f>
        <v>0</v>
      </c>
      <c r="I779" s="24">
        <f t="shared" ref="I779:I880" si="228">G779+H779</f>
        <v>184735.9</v>
      </c>
      <c r="J779" s="24">
        <f>J782+J784+J790+J792+J794</f>
        <v>0</v>
      </c>
      <c r="K779" s="24">
        <f t="shared" ref="K779:K880" si="229">I779+J779</f>
        <v>184735.9</v>
      </c>
      <c r="L779" s="24">
        <f>L782+L784+L790+L792+L794+L788</f>
        <v>20333</v>
      </c>
      <c r="M779" s="24">
        <f t="shared" ref="M779:M880" si="230">K779+L779</f>
        <v>205068.9</v>
      </c>
      <c r="N779" s="24">
        <f>N782+N784+N790+N792+N794+N788</f>
        <v>1665.2000000000003</v>
      </c>
      <c r="O779" s="24">
        <f t="shared" ref="O779:O880" si="231">M779+N779</f>
        <v>206734.1</v>
      </c>
      <c r="P779" s="24">
        <f>P782+P784+P790+P792+P794+P788+P780</f>
        <v>2533.6</v>
      </c>
      <c r="Q779" s="24">
        <f t="shared" si="92"/>
        <v>209267.7</v>
      </c>
      <c r="R779" s="24">
        <f>R782+R784+R790+R792+R794+R788+R780</f>
        <v>15571.3</v>
      </c>
      <c r="S779" s="24">
        <f t="shared" si="222"/>
        <v>224839</v>
      </c>
      <c r="T779" s="24">
        <f>T782+T784+T790+T792+T794+T788+T780</f>
        <v>-2013.5</v>
      </c>
      <c r="U779" s="24">
        <f t="shared" si="223"/>
        <v>222825.5</v>
      </c>
      <c r="V779" s="24">
        <f>V782+V784+V790+V792+V794+V788+V780</f>
        <v>-6784.2999999999993</v>
      </c>
      <c r="W779" s="24">
        <f t="shared" si="224"/>
        <v>216041.2</v>
      </c>
      <c r="X779" s="24">
        <f>X782+X784+X790+X792+X794+X788+X780+X786</f>
        <v>18226.900000000001</v>
      </c>
      <c r="Y779" s="24">
        <f t="shared" si="225"/>
        <v>234268.1</v>
      </c>
      <c r="Z779" s="189"/>
    </row>
    <row r="780" spans="1:27" s="6" customFormat="1" x14ac:dyDescent="0.25">
      <c r="A780" s="22" t="s">
        <v>769</v>
      </c>
      <c r="B780" s="23" t="s">
        <v>182</v>
      </c>
      <c r="C780" s="23" t="s">
        <v>908</v>
      </c>
      <c r="D780" s="23"/>
      <c r="E780" s="24"/>
      <c r="F780" s="24"/>
      <c r="G780" s="24"/>
      <c r="H780" s="24"/>
      <c r="I780" s="24"/>
      <c r="J780" s="24"/>
      <c r="K780" s="24"/>
      <c r="L780" s="24"/>
      <c r="M780" s="24"/>
      <c r="N780" s="24"/>
      <c r="O780" s="24">
        <f t="shared" si="231"/>
        <v>0</v>
      </c>
      <c r="P780" s="24">
        <f>P781</f>
        <v>300</v>
      </c>
      <c r="Q780" s="24">
        <f t="shared" si="92"/>
        <v>300</v>
      </c>
      <c r="R780" s="24">
        <f>R781</f>
        <v>0</v>
      </c>
      <c r="S780" s="24">
        <f t="shared" si="222"/>
        <v>300</v>
      </c>
      <c r="T780" s="24">
        <f>T781</f>
        <v>0</v>
      </c>
      <c r="U780" s="24">
        <f t="shared" si="223"/>
        <v>300</v>
      </c>
      <c r="V780" s="24">
        <f>V781</f>
        <v>0</v>
      </c>
      <c r="W780" s="24">
        <f t="shared" si="224"/>
        <v>300</v>
      </c>
      <c r="X780" s="24">
        <f>X781</f>
        <v>0</v>
      </c>
      <c r="Y780" s="24">
        <f t="shared" si="225"/>
        <v>300</v>
      </c>
      <c r="Z780" s="189"/>
    </row>
    <row r="781" spans="1:27" s="6" customFormat="1" x14ac:dyDescent="0.25">
      <c r="A781" s="25" t="s">
        <v>66</v>
      </c>
      <c r="B781" s="26" t="s">
        <v>182</v>
      </c>
      <c r="C781" s="26" t="s">
        <v>908</v>
      </c>
      <c r="D781" s="26" t="s">
        <v>42</v>
      </c>
      <c r="E781" s="27"/>
      <c r="F781" s="27"/>
      <c r="G781" s="27"/>
      <c r="H781" s="27"/>
      <c r="I781" s="27"/>
      <c r="J781" s="27"/>
      <c r="K781" s="27"/>
      <c r="L781" s="27"/>
      <c r="M781" s="27"/>
      <c r="N781" s="27"/>
      <c r="O781" s="24">
        <f t="shared" si="231"/>
        <v>0</v>
      </c>
      <c r="P781" s="125">
        <v>300</v>
      </c>
      <c r="Q781" s="24">
        <f t="shared" si="92"/>
        <v>300</v>
      </c>
      <c r="R781" s="69"/>
      <c r="S781" s="24">
        <f t="shared" si="222"/>
        <v>300</v>
      </c>
      <c r="T781" s="69"/>
      <c r="U781" s="24">
        <f t="shared" si="223"/>
        <v>300</v>
      </c>
      <c r="V781" s="69"/>
      <c r="W781" s="24">
        <f t="shared" si="224"/>
        <v>300</v>
      </c>
      <c r="X781" s="69"/>
      <c r="Y781" s="24">
        <f t="shared" si="225"/>
        <v>300</v>
      </c>
      <c r="Z781" s="189"/>
      <c r="AA781" s="189">
        <f>Y781+Z781</f>
        <v>300</v>
      </c>
    </row>
    <row r="782" spans="1:27" s="6" customFormat="1" x14ac:dyDescent="0.25">
      <c r="A782" s="22" t="s">
        <v>189</v>
      </c>
      <c r="B782" s="23" t="s">
        <v>182</v>
      </c>
      <c r="C782" s="23" t="s">
        <v>190</v>
      </c>
      <c r="D782" s="23" t="s">
        <v>2</v>
      </c>
      <c r="E782" s="24">
        <f>E783</f>
        <v>16932</v>
      </c>
      <c r="F782" s="24">
        <f>F783</f>
        <v>0</v>
      </c>
      <c r="G782" s="24">
        <f t="shared" si="227"/>
        <v>16932</v>
      </c>
      <c r="H782" s="24">
        <f>H783</f>
        <v>0</v>
      </c>
      <c r="I782" s="24">
        <f t="shared" si="228"/>
        <v>16932</v>
      </c>
      <c r="J782" s="24">
        <f>J783</f>
        <v>0</v>
      </c>
      <c r="K782" s="24">
        <f t="shared" si="229"/>
        <v>16932</v>
      </c>
      <c r="L782" s="24">
        <f>L783</f>
        <v>0</v>
      </c>
      <c r="M782" s="24">
        <f t="shared" si="230"/>
        <v>16932</v>
      </c>
      <c r="N782" s="24">
        <f>N783</f>
        <v>-167.7</v>
      </c>
      <c r="O782" s="24">
        <f t="shared" si="231"/>
        <v>16764.3</v>
      </c>
      <c r="P782" s="24">
        <f>P783</f>
        <v>0</v>
      </c>
      <c r="Q782" s="24">
        <f t="shared" si="92"/>
        <v>16764.3</v>
      </c>
      <c r="R782" s="24">
        <f>R783</f>
        <v>0</v>
      </c>
      <c r="S782" s="24">
        <f t="shared" si="222"/>
        <v>16764.3</v>
      </c>
      <c r="T782" s="24">
        <f>T783</f>
        <v>0</v>
      </c>
      <c r="U782" s="24">
        <f t="shared" si="223"/>
        <v>16764.3</v>
      </c>
      <c r="V782" s="24">
        <f>V783</f>
        <v>0</v>
      </c>
      <c r="W782" s="24">
        <f t="shared" si="224"/>
        <v>16764.3</v>
      </c>
      <c r="X782" s="24">
        <f>X783</f>
        <v>0</v>
      </c>
      <c r="Y782" s="24">
        <f t="shared" si="225"/>
        <v>16764.3</v>
      </c>
      <c r="Z782" s="189"/>
    </row>
    <row r="783" spans="1:27" s="6" customFormat="1" x14ac:dyDescent="0.25">
      <c r="A783" s="25" t="s">
        <v>66</v>
      </c>
      <c r="B783" s="26" t="s">
        <v>182</v>
      </c>
      <c r="C783" s="26" t="s">
        <v>190</v>
      </c>
      <c r="D783" s="26" t="s">
        <v>42</v>
      </c>
      <c r="E783" s="27">
        <v>16932</v>
      </c>
      <c r="F783" s="27"/>
      <c r="G783" s="24">
        <f t="shared" si="227"/>
        <v>16932</v>
      </c>
      <c r="H783" s="27"/>
      <c r="I783" s="24">
        <f t="shared" si="228"/>
        <v>16932</v>
      </c>
      <c r="J783" s="27"/>
      <c r="K783" s="24">
        <f t="shared" si="229"/>
        <v>16932</v>
      </c>
      <c r="L783" s="27"/>
      <c r="M783" s="24">
        <f t="shared" si="230"/>
        <v>16932</v>
      </c>
      <c r="N783" s="43">
        <v>-167.7</v>
      </c>
      <c r="O783" s="24">
        <f t="shared" si="231"/>
        <v>16764.3</v>
      </c>
      <c r="P783" s="69"/>
      <c r="Q783" s="24">
        <f t="shared" si="92"/>
        <v>16764.3</v>
      </c>
      <c r="R783" s="69"/>
      <c r="S783" s="24">
        <f t="shared" si="222"/>
        <v>16764.3</v>
      </c>
      <c r="T783" s="69"/>
      <c r="U783" s="24">
        <f t="shared" si="223"/>
        <v>16764.3</v>
      </c>
      <c r="V783" s="69"/>
      <c r="W783" s="24">
        <f t="shared" si="224"/>
        <v>16764.3</v>
      </c>
      <c r="X783" s="69"/>
      <c r="Y783" s="24">
        <f t="shared" si="225"/>
        <v>16764.3</v>
      </c>
      <c r="Z783" s="189"/>
      <c r="AA783" s="189">
        <f>Y783+Z783</f>
        <v>16764.3</v>
      </c>
    </row>
    <row r="784" spans="1:27" s="6" customFormat="1" x14ac:dyDescent="0.25">
      <c r="A784" s="22" t="s">
        <v>191</v>
      </c>
      <c r="B784" s="23" t="s">
        <v>182</v>
      </c>
      <c r="C784" s="23" t="s">
        <v>192</v>
      </c>
      <c r="D784" s="23" t="s">
        <v>2</v>
      </c>
      <c r="E784" s="24">
        <f>E785</f>
        <v>4280</v>
      </c>
      <c r="F784" s="24">
        <f>F785</f>
        <v>50000</v>
      </c>
      <c r="G784" s="24">
        <f t="shared" si="227"/>
        <v>54280</v>
      </c>
      <c r="H784" s="24">
        <f>H785</f>
        <v>0</v>
      </c>
      <c r="I784" s="24">
        <f t="shared" si="228"/>
        <v>54280</v>
      </c>
      <c r="J784" s="24">
        <f>J785</f>
        <v>0</v>
      </c>
      <c r="K784" s="24">
        <f t="shared" si="229"/>
        <v>54280</v>
      </c>
      <c r="L784" s="24">
        <f>L785</f>
        <v>0</v>
      </c>
      <c r="M784" s="24">
        <f t="shared" si="230"/>
        <v>54280</v>
      </c>
      <c r="N784" s="24">
        <f>N785</f>
        <v>0</v>
      </c>
      <c r="O784" s="24">
        <f t="shared" si="231"/>
        <v>54280</v>
      </c>
      <c r="P784" s="24">
        <f>P785</f>
        <v>0</v>
      </c>
      <c r="Q784" s="24">
        <f t="shared" si="92"/>
        <v>54280</v>
      </c>
      <c r="R784" s="24">
        <f>R785</f>
        <v>0</v>
      </c>
      <c r="S784" s="24">
        <f t="shared" si="222"/>
        <v>54280</v>
      </c>
      <c r="T784" s="24">
        <f>T785</f>
        <v>0</v>
      </c>
      <c r="U784" s="24">
        <f t="shared" si="223"/>
        <v>54280</v>
      </c>
      <c r="V784" s="24">
        <f>V785</f>
        <v>0</v>
      </c>
      <c r="W784" s="24">
        <f t="shared" si="224"/>
        <v>54280</v>
      </c>
      <c r="X784" s="24">
        <f>X785</f>
        <v>0</v>
      </c>
      <c r="Y784" s="24">
        <f t="shared" si="225"/>
        <v>54280</v>
      </c>
      <c r="Z784" s="189"/>
    </row>
    <row r="785" spans="1:27" s="6" customFormat="1" x14ac:dyDescent="0.25">
      <c r="A785" s="25" t="s">
        <v>66</v>
      </c>
      <c r="B785" s="26" t="s">
        <v>182</v>
      </c>
      <c r="C785" s="26" t="s">
        <v>192</v>
      </c>
      <c r="D785" s="26" t="s">
        <v>42</v>
      </c>
      <c r="E785" s="27">
        <v>4280</v>
      </c>
      <c r="F785" s="43">
        <v>50000</v>
      </c>
      <c r="G785" s="24">
        <f t="shared" si="227"/>
        <v>54280</v>
      </c>
      <c r="H785" s="69"/>
      <c r="I785" s="24">
        <f t="shared" si="228"/>
        <v>54280</v>
      </c>
      <c r="J785" s="69"/>
      <c r="K785" s="24">
        <f t="shared" si="229"/>
        <v>54280</v>
      </c>
      <c r="L785" s="69"/>
      <c r="M785" s="24">
        <f t="shared" si="230"/>
        <v>54280</v>
      </c>
      <c r="N785" s="69"/>
      <c r="O785" s="24">
        <f t="shared" si="231"/>
        <v>54280</v>
      </c>
      <c r="P785" s="69"/>
      <c r="Q785" s="24">
        <f t="shared" si="92"/>
        <v>54280</v>
      </c>
      <c r="R785" s="69"/>
      <c r="S785" s="24">
        <f t="shared" si="222"/>
        <v>54280</v>
      </c>
      <c r="T785" s="69"/>
      <c r="U785" s="24">
        <f t="shared" si="223"/>
        <v>54280</v>
      </c>
      <c r="V785" s="69"/>
      <c r="W785" s="24">
        <f t="shared" si="224"/>
        <v>54280</v>
      </c>
      <c r="X785" s="69"/>
      <c r="Y785" s="24">
        <f t="shared" si="225"/>
        <v>54280</v>
      </c>
      <c r="Z785" s="189"/>
      <c r="AA785" s="189">
        <f>Y785+Z785</f>
        <v>54280</v>
      </c>
    </row>
    <row r="786" spans="1:27" s="6" customFormat="1" ht="36.75" x14ac:dyDescent="0.25">
      <c r="A786" s="40" t="s">
        <v>1423</v>
      </c>
      <c r="B786" s="20" t="s">
        <v>182</v>
      </c>
      <c r="C786" s="20" t="s">
        <v>1422</v>
      </c>
      <c r="D786" s="20"/>
      <c r="E786" s="27"/>
      <c r="F786" s="43"/>
      <c r="G786" s="24"/>
      <c r="H786" s="69"/>
      <c r="I786" s="24"/>
      <c r="J786" s="69"/>
      <c r="K786" s="24"/>
      <c r="L786" s="69"/>
      <c r="M786" s="24"/>
      <c r="N786" s="69"/>
      <c r="O786" s="24"/>
      <c r="P786" s="69"/>
      <c r="Q786" s="24"/>
      <c r="R786" s="69"/>
      <c r="S786" s="24"/>
      <c r="T786" s="69"/>
      <c r="U786" s="24"/>
      <c r="V786" s="69"/>
      <c r="W786" s="24"/>
      <c r="X786" s="47">
        <f>X787</f>
        <v>6066</v>
      </c>
      <c r="Y786" s="24">
        <f t="shared" si="225"/>
        <v>6066</v>
      </c>
      <c r="Z786" s="189"/>
    </row>
    <row r="787" spans="1:27" s="6" customFormat="1" x14ac:dyDescent="0.25">
      <c r="A787" s="30" t="s">
        <v>66</v>
      </c>
      <c r="B787" s="21" t="s">
        <v>182</v>
      </c>
      <c r="C787" s="21" t="s">
        <v>1422</v>
      </c>
      <c r="D787" s="21" t="s">
        <v>42</v>
      </c>
      <c r="E787" s="27"/>
      <c r="F787" s="43"/>
      <c r="G787" s="24"/>
      <c r="H787" s="69"/>
      <c r="I787" s="24"/>
      <c r="J787" s="69"/>
      <c r="K787" s="24"/>
      <c r="L787" s="69"/>
      <c r="M787" s="24"/>
      <c r="N787" s="69"/>
      <c r="O787" s="24"/>
      <c r="P787" s="69"/>
      <c r="Q787" s="24"/>
      <c r="R787" s="69"/>
      <c r="S787" s="24"/>
      <c r="T787" s="69"/>
      <c r="U787" s="24"/>
      <c r="V787" s="69"/>
      <c r="W787" s="24"/>
      <c r="X787" s="43">
        <v>6066</v>
      </c>
      <c r="Y787" s="24">
        <f t="shared" si="225"/>
        <v>6066</v>
      </c>
      <c r="Z787" s="189"/>
      <c r="AA787" s="189">
        <f>Y787+Z787</f>
        <v>6066</v>
      </c>
    </row>
    <row r="788" spans="1:27" s="6" customFormat="1" x14ac:dyDescent="0.25">
      <c r="A788" s="92" t="s">
        <v>811</v>
      </c>
      <c r="B788" s="20" t="s">
        <v>182</v>
      </c>
      <c r="C788" s="20" t="s">
        <v>816</v>
      </c>
      <c r="D788" s="20"/>
      <c r="E788" s="27"/>
      <c r="F788" s="43"/>
      <c r="G788" s="24"/>
      <c r="H788" s="69"/>
      <c r="I788" s="24"/>
      <c r="J788" s="69"/>
      <c r="K788" s="24"/>
      <c r="L788" s="18">
        <f>L789</f>
        <v>2802.3</v>
      </c>
      <c r="M788" s="24">
        <f t="shared" si="230"/>
        <v>2802.3</v>
      </c>
      <c r="N788" s="18">
        <f>N789</f>
        <v>-1814.1</v>
      </c>
      <c r="O788" s="24">
        <f t="shared" si="231"/>
        <v>988.20000000000027</v>
      </c>
      <c r="P788" s="18">
        <f>P789</f>
        <v>0</v>
      </c>
      <c r="Q788" s="24">
        <f t="shared" si="92"/>
        <v>988.20000000000027</v>
      </c>
      <c r="R788" s="18">
        <f>R789</f>
        <v>1150</v>
      </c>
      <c r="S788" s="24">
        <f t="shared" si="222"/>
        <v>2138.2000000000003</v>
      </c>
      <c r="T788" s="18">
        <f>T789</f>
        <v>-988.2</v>
      </c>
      <c r="U788" s="24">
        <f t="shared" si="223"/>
        <v>1150.0000000000002</v>
      </c>
      <c r="V788" s="18">
        <f>V789</f>
        <v>-15.7</v>
      </c>
      <c r="W788" s="24">
        <f t="shared" si="224"/>
        <v>1134.3000000000002</v>
      </c>
      <c r="X788" s="18">
        <f>X789</f>
        <v>0</v>
      </c>
      <c r="Y788" s="24">
        <f t="shared" si="225"/>
        <v>1134.3000000000002</v>
      </c>
      <c r="Z788" s="189"/>
    </row>
    <row r="789" spans="1:27" s="6" customFormat="1" x14ac:dyDescent="0.25">
      <c r="A789" s="30" t="s">
        <v>66</v>
      </c>
      <c r="B789" s="21" t="s">
        <v>182</v>
      </c>
      <c r="C789" s="21" t="s">
        <v>816</v>
      </c>
      <c r="D789" s="21" t="s">
        <v>42</v>
      </c>
      <c r="E789" s="27"/>
      <c r="F789" s="43"/>
      <c r="G789" s="24"/>
      <c r="H789" s="69"/>
      <c r="I789" s="24"/>
      <c r="J789" s="69"/>
      <c r="K789" s="24"/>
      <c r="L789" s="96">
        <f>2000+802.3</f>
        <v>2802.3</v>
      </c>
      <c r="M789" s="24">
        <f t="shared" si="230"/>
        <v>2802.3</v>
      </c>
      <c r="N789" s="63">
        <v>-1814.1</v>
      </c>
      <c r="O789" s="24">
        <f t="shared" si="231"/>
        <v>988.20000000000027</v>
      </c>
      <c r="P789" s="69"/>
      <c r="Q789" s="24">
        <f t="shared" si="92"/>
        <v>988.20000000000027</v>
      </c>
      <c r="R789" s="39">
        <v>1150</v>
      </c>
      <c r="S789" s="24">
        <f t="shared" si="222"/>
        <v>2138.2000000000003</v>
      </c>
      <c r="T789" s="63">
        <v>-988.2</v>
      </c>
      <c r="U789" s="24">
        <f t="shared" si="223"/>
        <v>1150.0000000000002</v>
      </c>
      <c r="V789" s="94">
        <v>-15.7</v>
      </c>
      <c r="W789" s="24">
        <f t="shared" si="224"/>
        <v>1134.3000000000002</v>
      </c>
      <c r="X789" s="69"/>
      <c r="Y789" s="24">
        <f t="shared" si="225"/>
        <v>1134.3000000000002</v>
      </c>
      <c r="Z789" s="189"/>
      <c r="AA789" s="189">
        <f>Y789+Z789</f>
        <v>1134.3000000000002</v>
      </c>
    </row>
    <row r="790" spans="1:27" s="6" customFormat="1" ht="24.75" hidden="1" x14ac:dyDescent="0.25">
      <c r="A790" s="22" t="s">
        <v>618</v>
      </c>
      <c r="B790" s="23" t="s">
        <v>182</v>
      </c>
      <c r="C790" s="23" t="s">
        <v>614</v>
      </c>
      <c r="D790" s="23" t="s">
        <v>2</v>
      </c>
      <c r="E790" s="24">
        <f>E791</f>
        <v>300</v>
      </c>
      <c r="F790" s="24">
        <f>F791</f>
        <v>0</v>
      </c>
      <c r="G790" s="24">
        <f t="shared" si="227"/>
        <v>300</v>
      </c>
      <c r="H790" s="24">
        <f>H791</f>
        <v>0</v>
      </c>
      <c r="I790" s="24">
        <f t="shared" si="228"/>
        <v>300</v>
      </c>
      <c r="J790" s="24">
        <f>J791</f>
        <v>0</v>
      </c>
      <c r="K790" s="24">
        <f t="shared" si="229"/>
        <v>300</v>
      </c>
      <c r="L790" s="24">
        <f>L791</f>
        <v>0</v>
      </c>
      <c r="M790" s="24">
        <f t="shared" si="230"/>
        <v>300</v>
      </c>
      <c r="N790" s="24">
        <f>N791</f>
        <v>0</v>
      </c>
      <c r="O790" s="24">
        <f t="shared" si="231"/>
        <v>300</v>
      </c>
      <c r="P790" s="24">
        <f>P791</f>
        <v>0</v>
      </c>
      <c r="Q790" s="24">
        <f t="shared" si="92"/>
        <v>300</v>
      </c>
      <c r="R790" s="24">
        <f>R791</f>
        <v>-300</v>
      </c>
      <c r="S790" s="24">
        <f t="shared" si="222"/>
        <v>0</v>
      </c>
      <c r="T790" s="24">
        <f>T791</f>
        <v>0</v>
      </c>
      <c r="U790" s="24">
        <f t="shared" si="223"/>
        <v>0</v>
      </c>
      <c r="V790" s="24">
        <f>V791</f>
        <v>0</v>
      </c>
      <c r="W790" s="24">
        <f t="shared" si="224"/>
        <v>0</v>
      </c>
      <c r="X790" s="24">
        <f>X791</f>
        <v>0</v>
      </c>
      <c r="Y790" s="24">
        <f t="shared" si="225"/>
        <v>0</v>
      </c>
      <c r="Z790" s="189"/>
    </row>
    <row r="791" spans="1:27" s="6" customFormat="1" hidden="1" x14ac:dyDescent="0.25">
      <c r="A791" s="25" t="s">
        <v>66</v>
      </c>
      <c r="B791" s="26" t="s">
        <v>182</v>
      </c>
      <c r="C791" s="26" t="s">
        <v>614</v>
      </c>
      <c r="D791" s="26" t="s">
        <v>42</v>
      </c>
      <c r="E791" s="27">
        <v>300</v>
      </c>
      <c r="F791" s="27"/>
      <c r="G791" s="24">
        <f t="shared" si="227"/>
        <v>300</v>
      </c>
      <c r="H791" s="27"/>
      <c r="I791" s="24">
        <f t="shared" si="228"/>
        <v>300</v>
      </c>
      <c r="J791" s="27"/>
      <c r="K791" s="24">
        <f t="shared" si="229"/>
        <v>300</v>
      </c>
      <c r="L791" s="27"/>
      <c r="M791" s="24">
        <f t="shared" si="230"/>
        <v>300</v>
      </c>
      <c r="N791" s="27"/>
      <c r="O791" s="24">
        <f t="shared" si="231"/>
        <v>300</v>
      </c>
      <c r="P791" s="39"/>
      <c r="Q791" s="24">
        <f t="shared" si="92"/>
        <v>300</v>
      </c>
      <c r="R791" s="39">
        <v>-300</v>
      </c>
      <c r="S791" s="24">
        <f t="shared" si="222"/>
        <v>0</v>
      </c>
      <c r="T791" s="69"/>
      <c r="U791" s="24">
        <f t="shared" si="223"/>
        <v>0</v>
      </c>
      <c r="V791" s="69"/>
      <c r="W791" s="24">
        <f t="shared" si="224"/>
        <v>0</v>
      </c>
      <c r="X791" s="69"/>
      <c r="Y791" s="24">
        <f t="shared" si="225"/>
        <v>0</v>
      </c>
      <c r="Z791" s="189"/>
      <c r="AA791" s="189">
        <f>Y791+Z791</f>
        <v>0</v>
      </c>
    </row>
    <row r="792" spans="1:27" s="6" customFormat="1" hidden="1" x14ac:dyDescent="0.25">
      <c r="A792" s="22" t="s">
        <v>119</v>
      </c>
      <c r="B792" s="23" t="s">
        <v>182</v>
      </c>
      <c r="C792" s="23" t="s">
        <v>187</v>
      </c>
      <c r="D792" s="23" t="s">
        <v>2</v>
      </c>
      <c r="E792" s="24">
        <f>E793</f>
        <v>0</v>
      </c>
      <c r="F792" s="24">
        <f>F793</f>
        <v>0</v>
      </c>
      <c r="G792" s="24">
        <f t="shared" si="227"/>
        <v>0</v>
      </c>
      <c r="H792" s="24">
        <f>H793</f>
        <v>0</v>
      </c>
      <c r="I792" s="24">
        <f t="shared" si="228"/>
        <v>0</v>
      </c>
      <c r="J792" s="24">
        <f>J793</f>
        <v>0</v>
      </c>
      <c r="K792" s="24">
        <f t="shared" si="229"/>
        <v>0</v>
      </c>
      <c r="L792" s="24">
        <f>L793</f>
        <v>7000</v>
      </c>
      <c r="M792" s="24">
        <f t="shared" si="230"/>
        <v>7000</v>
      </c>
      <c r="N792" s="24">
        <f>N793</f>
        <v>-3003.3</v>
      </c>
      <c r="O792" s="24">
        <f t="shared" si="231"/>
        <v>3996.7</v>
      </c>
      <c r="P792" s="24">
        <f>P793</f>
        <v>0</v>
      </c>
      <c r="Q792" s="24">
        <f t="shared" si="92"/>
        <v>3996.7</v>
      </c>
      <c r="R792" s="24">
        <f>R793</f>
        <v>-3821.2</v>
      </c>
      <c r="S792" s="24">
        <f t="shared" si="222"/>
        <v>175.5</v>
      </c>
      <c r="T792" s="24">
        <f>T793</f>
        <v>0</v>
      </c>
      <c r="U792" s="24">
        <f t="shared" si="223"/>
        <v>175.5</v>
      </c>
      <c r="V792" s="24">
        <f>V793</f>
        <v>-175.5</v>
      </c>
      <c r="W792" s="24">
        <f t="shared" si="224"/>
        <v>0</v>
      </c>
      <c r="X792" s="24">
        <f>X793</f>
        <v>0</v>
      </c>
      <c r="Y792" s="24">
        <f t="shared" si="225"/>
        <v>0</v>
      </c>
      <c r="Z792" s="189"/>
    </row>
    <row r="793" spans="1:27" s="6" customFormat="1" hidden="1" x14ac:dyDescent="0.25">
      <c r="A793" s="25" t="s">
        <v>66</v>
      </c>
      <c r="B793" s="26" t="s">
        <v>182</v>
      </c>
      <c r="C793" s="26" t="s">
        <v>187</v>
      </c>
      <c r="D793" s="26" t="s">
        <v>42</v>
      </c>
      <c r="E793" s="27">
        <f>7000-2000-5000</f>
        <v>0</v>
      </c>
      <c r="F793" s="27"/>
      <c r="G793" s="24">
        <f t="shared" si="227"/>
        <v>0</v>
      </c>
      <c r="H793" s="27"/>
      <c r="I793" s="24">
        <f t="shared" si="228"/>
        <v>0</v>
      </c>
      <c r="J793" s="27"/>
      <c r="K793" s="24">
        <f t="shared" si="229"/>
        <v>0</v>
      </c>
      <c r="L793" s="96">
        <v>7000</v>
      </c>
      <c r="M793" s="24">
        <f t="shared" si="230"/>
        <v>7000</v>
      </c>
      <c r="N793" s="63">
        <v>-3003.3</v>
      </c>
      <c r="O793" s="24">
        <f t="shared" si="231"/>
        <v>3996.7</v>
      </c>
      <c r="P793" s="69"/>
      <c r="Q793" s="24">
        <f t="shared" si="92"/>
        <v>3996.7</v>
      </c>
      <c r="R793" s="39">
        <v>-3821.2</v>
      </c>
      <c r="S793" s="24">
        <f t="shared" si="222"/>
        <v>175.5</v>
      </c>
      <c r="T793" s="69"/>
      <c r="U793" s="24">
        <f t="shared" si="223"/>
        <v>175.5</v>
      </c>
      <c r="V793" s="94">
        <v>-175.5</v>
      </c>
      <c r="W793" s="24">
        <f t="shared" si="224"/>
        <v>0</v>
      </c>
      <c r="X793" s="69"/>
      <c r="Y793" s="24">
        <f t="shared" si="225"/>
        <v>0</v>
      </c>
      <c r="Z793" s="189"/>
      <c r="AA793" s="189">
        <f>Y793+Z793</f>
        <v>0</v>
      </c>
    </row>
    <row r="794" spans="1:27" s="6" customFormat="1" ht="24.75" x14ac:dyDescent="0.25">
      <c r="A794" s="22" t="s">
        <v>762</v>
      </c>
      <c r="B794" s="23" t="s">
        <v>182</v>
      </c>
      <c r="C794" s="23" t="s">
        <v>188</v>
      </c>
      <c r="D794" s="23" t="s">
        <v>2</v>
      </c>
      <c r="E794" s="24">
        <f>E795</f>
        <v>123223.9</v>
      </c>
      <c r="F794" s="24">
        <f>F795</f>
        <v>-10000</v>
      </c>
      <c r="G794" s="24">
        <f t="shared" si="227"/>
        <v>113223.9</v>
      </c>
      <c r="H794" s="24">
        <f>H795</f>
        <v>0</v>
      </c>
      <c r="I794" s="24">
        <f t="shared" si="228"/>
        <v>113223.9</v>
      </c>
      <c r="J794" s="24">
        <f>J795</f>
        <v>0</v>
      </c>
      <c r="K794" s="24">
        <f t="shared" si="229"/>
        <v>113223.9</v>
      </c>
      <c r="L794" s="24">
        <f>L795</f>
        <v>10530.7</v>
      </c>
      <c r="M794" s="24">
        <f t="shared" si="230"/>
        <v>123754.59999999999</v>
      </c>
      <c r="N794" s="24">
        <f>N795</f>
        <v>6650.3</v>
      </c>
      <c r="O794" s="24">
        <f t="shared" si="231"/>
        <v>130404.9</v>
      </c>
      <c r="P794" s="24">
        <f>P795</f>
        <v>2233.6</v>
      </c>
      <c r="Q794" s="24">
        <f t="shared" si="92"/>
        <v>132638.5</v>
      </c>
      <c r="R794" s="24">
        <f>R795</f>
        <v>18542.5</v>
      </c>
      <c r="S794" s="24">
        <f t="shared" si="222"/>
        <v>151181</v>
      </c>
      <c r="T794" s="24">
        <f>T795</f>
        <v>-1025.3</v>
      </c>
      <c r="U794" s="24">
        <f t="shared" si="223"/>
        <v>150155.70000000001</v>
      </c>
      <c r="V794" s="24">
        <f>V795</f>
        <v>-6593.0999999999995</v>
      </c>
      <c r="W794" s="24">
        <f t="shared" si="224"/>
        <v>143562.6</v>
      </c>
      <c r="X794" s="24">
        <f>X795</f>
        <v>12160.9</v>
      </c>
      <c r="Y794" s="24">
        <f t="shared" si="225"/>
        <v>155723.5</v>
      </c>
      <c r="Z794" s="189"/>
    </row>
    <row r="795" spans="1:27" s="6" customFormat="1" x14ac:dyDescent="0.25">
      <c r="A795" s="25" t="s">
        <v>66</v>
      </c>
      <c r="B795" s="26" t="s">
        <v>182</v>
      </c>
      <c r="C795" s="26" t="s">
        <v>188</v>
      </c>
      <c r="D795" s="26" t="s">
        <v>42</v>
      </c>
      <c r="E795" s="27">
        <f>128223.9-5000</f>
        <v>123223.9</v>
      </c>
      <c r="F795" s="39">
        <v>-10000</v>
      </c>
      <c r="G795" s="24">
        <f t="shared" si="227"/>
        <v>113223.9</v>
      </c>
      <c r="H795" s="69"/>
      <c r="I795" s="24">
        <f t="shared" si="228"/>
        <v>113223.9</v>
      </c>
      <c r="J795" s="69"/>
      <c r="K795" s="24">
        <f t="shared" si="229"/>
        <v>113223.9</v>
      </c>
      <c r="L795" s="96">
        <f>0.6+13000+5049.3+802.3-8321.5</f>
        <v>10530.7</v>
      </c>
      <c r="M795" s="24">
        <f t="shared" si="230"/>
        <v>123754.59999999999</v>
      </c>
      <c r="N795" s="91">
        <f>3950+3423-722.7</f>
        <v>6650.3</v>
      </c>
      <c r="O795" s="24">
        <f t="shared" si="231"/>
        <v>130404.9</v>
      </c>
      <c r="P795" s="91">
        <f>600+254.6+650+409+320</f>
        <v>2233.6</v>
      </c>
      <c r="Q795" s="24">
        <f t="shared" si="92"/>
        <v>132638.5</v>
      </c>
      <c r="R795" s="91">
        <f>18542.5</f>
        <v>18542.5</v>
      </c>
      <c r="S795" s="24">
        <f t="shared" si="222"/>
        <v>151181</v>
      </c>
      <c r="T795" s="91">
        <f>-1065-1650.9+900+415+1040.9+677+207.7-1000-300-250</f>
        <v>-1025.3</v>
      </c>
      <c r="U795" s="24">
        <f t="shared" si="223"/>
        <v>150155.70000000001</v>
      </c>
      <c r="V795" s="91">
        <f>2798.8+1010.4-564.1-9900-1000+1061.8</f>
        <v>-6593.0999999999995</v>
      </c>
      <c r="W795" s="24">
        <f t="shared" si="224"/>
        <v>143562.6</v>
      </c>
      <c r="X795" s="186">
        <f>3000+5000+600+1000+1300+74.1+206.4-1.9+982.3</f>
        <v>12160.9</v>
      </c>
      <c r="Y795" s="24">
        <f t="shared" si="225"/>
        <v>155723.5</v>
      </c>
      <c r="Z795" s="198">
        <f>4120.6-3138.3</f>
        <v>982.30000000000018</v>
      </c>
      <c r="AA795" s="189">
        <f>Y795+Z795</f>
        <v>156705.79999999999</v>
      </c>
    </row>
    <row r="796" spans="1:27" s="6" customFormat="1" ht="36.75" x14ac:dyDescent="0.25">
      <c r="A796" s="22" t="s">
        <v>690</v>
      </c>
      <c r="B796" s="20" t="s">
        <v>182</v>
      </c>
      <c r="C796" s="70" t="s">
        <v>691</v>
      </c>
      <c r="D796" s="42"/>
      <c r="E796" s="27"/>
      <c r="F796" s="39"/>
      <c r="G796" s="24"/>
      <c r="H796" s="47">
        <f>H797</f>
        <v>200000</v>
      </c>
      <c r="I796" s="24">
        <f t="shared" si="228"/>
        <v>200000</v>
      </c>
      <c r="J796" s="47">
        <f>J797</f>
        <v>0</v>
      </c>
      <c r="K796" s="24">
        <f t="shared" si="229"/>
        <v>200000</v>
      </c>
      <c r="L796" s="47">
        <f>L797</f>
        <v>0</v>
      </c>
      <c r="M796" s="24">
        <f t="shared" si="230"/>
        <v>200000</v>
      </c>
      <c r="N796" s="47">
        <f>N797</f>
        <v>0</v>
      </c>
      <c r="O796" s="24">
        <f t="shared" si="231"/>
        <v>200000</v>
      </c>
      <c r="P796" s="47">
        <f>P797</f>
        <v>78414.8</v>
      </c>
      <c r="Q796" s="24">
        <f t="shared" si="92"/>
        <v>278414.8</v>
      </c>
      <c r="R796" s="47">
        <f>R797</f>
        <v>0</v>
      </c>
      <c r="S796" s="24">
        <f t="shared" si="222"/>
        <v>278414.8</v>
      </c>
      <c r="T796" s="47">
        <f>T797</f>
        <v>0</v>
      </c>
      <c r="U796" s="24">
        <f t="shared" si="223"/>
        <v>278414.8</v>
      </c>
      <c r="V796" s="47">
        <f>V797</f>
        <v>0</v>
      </c>
      <c r="W796" s="24">
        <f t="shared" si="224"/>
        <v>278414.8</v>
      </c>
      <c r="X796" s="47">
        <f>X797</f>
        <v>0</v>
      </c>
      <c r="Y796" s="24">
        <f t="shared" si="225"/>
        <v>278414.8</v>
      </c>
      <c r="Z796" s="189"/>
    </row>
    <row r="797" spans="1:27" s="6" customFormat="1" x14ac:dyDescent="0.25">
      <c r="A797" s="30" t="s">
        <v>66</v>
      </c>
      <c r="B797" s="21" t="s">
        <v>182</v>
      </c>
      <c r="C797" s="65" t="s">
        <v>691</v>
      </c>
      <c r="D797" s="65" t="s">
        <v>42</v>
      </c>
      <c r="E797" s="27"/>
      <c r="F797" s="39"/>
      <c r="G797" s="24"/>
      <c r="H797" s="43">
        <v>200000</v>
      </c>
      <c r="I797" s="24">
        <f t="shared" si="228"/>
        <v>200000</v>
      </c>
      <c r="J797" s="69"/>
      <c r="K797" s="24">
        <f t="shared" si="229"/>
        <v>200000</v>
      </c>
      <c r="L797" s="69"/>
      <c r="M797" s="24">
        <f t="shared" si="230"/>
        <v>200000</v>
      </c>
      <c r="N797" s="69"/>
      <c r="O797" s="24">
        <f t="shared" si="231"/>
        <v>200000</v>
      </c>
      <c r="P797" s="43">
        <f>47174.8+31240</f>
        <v>78414.8</v>
      </c>
      <c r="Q797" s="24">
        <f t="shared" si="92"/>
        <v>278414.8</v>
      </c>
      <c r="R797" s="69"/>
      <c r="S797" s="24">
        <f t="shared" si="222"/>
        <v>278414.8</v>
      </c>
      <c r="T797" s="69"/>
      <c r="U797" s="24">
        <f t="shared" si="223"/>
        <v>278414.8</v>
      </c>
      <c r="V797" s="69"/>
      <c r="W797" s="24">
        <f t="shared" si="224"/>
        <v>278414.8</v>
      </c>
      <c r="X797" s="69"/>
      <c r="Y797" s="24">
        <f t="shared" si="225"/>
        <v>278414.8</v>
      </c>
      <c r="Z797" s="189"/>
      <c r="AA797" s="189">
        <f>Y797+Z797</f>
        <v>278414.8</v>
      </c>
    </row>
    <row r="798" spans="1:27" s="6" customFormat="1" x14ac:dyDescent="0.25">
      <c r="A798" s="22" t="s">
        <v>193</v>
      </c>
      <c r="B798" s="23" t="s">
        <v>194</v>
      </c>
      <c r="C798" s="23" t="s">
        <v>2</v>
      </c>
      <c r="D798" s="23" t="s">
        <v>2</v>
      </c>
      <c r="E798" s="24">
        <f>E799+E816+E825+E872+E876</f>
        <v>19678.699999999997</v>
      </c>
      <c r="F798" s="24">
        <f>F799+F816+F825+F872+F876</f>
        <v>43.5</v>
      </c>
      <c r="G798" s="24">
        <f t="shared" si="227"/>
        <v>19722.199999999997</v>
      </c>
      <c r="H798" s="24">
        <f>H799+H816+H825+H872+H876</f>
        <v>76374.600000000006</v>
      </c>
      <c r="I798" s="24">
        <f t="shared" si="228"/>
        <v>96096.8</v>
      </c>
      <c r="J798" s="24">
        <f>J799+J816+J825+J872+J876+J812</f>
        <v>20.100000000000001</v>
      </c>
      <c r="K798" s="24">
        <f t="shared" si="229"/>
        <v>96116.900000000009</v>
      </c>
      <c r="L798" s="24">
        <f>L799+L816+L825+L872+L876+L812</f>
        <v>-75810.600000000006</v>
      </c>
      <c r="M798" s="24">
        <f t="shared" si="230"/>
        <v>20306.300000000003</v>
      </c>
      <c r="N798" s="24">
        <f>N799+N816+N825+N872+N876+N812</f>
        <v>1798.6</v>
      </c>
      <c r="O798" s="24">
        <f t="shared" si="231"/>
        <v>22104.9</v>
      </c>
      <c r="P798" s="24">
        <f>P799+P816+P825+P872+P876+P812</f>
        <v>0</v>
      </c>
      <c r="Q798" s="24">
        <f t="shared" si="92"/>
        <v>22104.9</v>
      </c>
      <c r="R798" s="24">
        <f>R799+R816+R825+R872+R876+R812</f>
        <v>1015</v>
      </c>
      <c r="S798" s="24">
        <f t="shared" si="222"/>
        <v>23119.9</v>
      </c>
      <c r="T798" s="24">
        <f>T799+T816+T825+T872+T876+T812</f>
        <v>-1085.0999999999999</v>
      </c>
      <c r="U798" s="24">
        <f t="shared" si="223"/>
        <v>22034.800000000003</v>
      </c>
      <c r="V798" s="24">
        <f>V799+V816+V825+V872+V876+V812</f>
        <v>-102.49999999999994</v>
      </c>
      <c r="W798" s="24">
        <f t="shared" si="224"/>
        <v>21932.300000000003</v>
      </c>
      <c r="X798" s="24">
        <f>X799+X816+X825+X872+X876+X812</f>
        <v>210.90000000000003</v>
      </c>
      <c r="Y798" s="24">
        <f t="shared" si="225"/>
        <v>22143.200000000004</v>
      </c>
      <c r="Z798" s="189"/>
    </row>
    <row r="799" spans="1:27" s="6" customFormat="1" ht="24.75" x14ac:dyDescent="0.25">
      <c r="A799" s="22" t="s">
        <v>195</v>
      </c>
      <c r="B799" s="23" t="s">
        <v>194</v>
      </c>
      <c r="C799" s="23" t="s">
        <v>196</v>
      </c>
      <c r="D799" s="23" t="s">
        <v>2</v>
      </c>
      <c r="E799" s="24">
        <f>E800+E803+E806+E809</f>
        <v>322</v>
      </c>
      <c r="F799" s="24">
        <f>F800+F803+F806+F809</f>
        <v>0</v>
      </c>
      <c r="G799" s="24">
        <f t="shared" si="227"/>
        <v>322</v>
      </c>
      <c r="H799" s="24">
        <f>H800+H803+H806+H809</f>
        <v>0</v>
      </c>
      <c r="I799" s="24">
        <f t="shared" si="228"/>
        <v>322</v>
      </c>
      <c r="J799" s="24">
        <f>J800+J803+J806+J809</f>
        <v>0</v>
      </c>
      <c r="K799" s="24">
        <f t="shared" si="229"/>
        <v>322</v>
      </c>
      <c r="L799" s="24">
        <f>L800+L803+L806+L809</f>
        <v>0</v>
      </c>
      <c r="M799" s="24">
        <f t="shared" si="230"/>
        <v>322</v>
      </c>
      <c r="N799" s="24">
        <f>N800+N803+N806+N809</f>
        <v>0</v>
      </c>
      <c r="O799" s="24">
        <f t="shared" si="231"/>
        <v>322</v>
      </c>
      <c r="P799" s="24">
        <f>P800+P803+P806+P809</f>
        <v>0</v>
      </c>
      <c r="Q799" s="24">
        <f t="shared" si="92"/>
        <v>322</v>
      </c>
      <c r="R799" s="24">
        <f>R800+R803+R806+R809</f>
        <v>0</v>
      </c>
      <c r="S799" s="24">
        <f t="shared" si="222"/>
        <v>322</v>
      </c>
      <c r="T799" s="24">
        <f>T800+T803+T806+T809</f>
        <v>-186</v>
      </c>
      <c r="U799" s="24">
        <f t="shared" si="223"/>
        <v>136</v>
      </c>
      <c r="V799" s="24">
        <f>V800+V803+V806+V809</f>
        <v>0</v>
      </c>
      <c r="W799" s="24">
        <f t="shared" si="224"/>
        <v>136</v>
      </c>
      <c r="X799" s="24">
        <f>X800+X803+X806+X809</f>
        <v>0</v>
      </c>
      <c r="Y799" s="24">
        <f t="shared" si="225"/>
        <v>136</v>
      </c>
      <c r="Z799" s="189"/>
    </row>
    <row r="800" spans="1:27" s="6" customFormat="1" hidden="1" x14ac:dyDescent="0.25">
      <c r="A800" s="22" t="s">
        <v>197</v>
      </c>
      <c r="B800" s="23" t="s">
        <v>194</v>
      </c>
      <c r="C800" s="23" t="s">
        <v>198</v>
      </c>
      <c r="D800" s="23" t="s">
        <v>2</v>
      </c>
      <c r="E800" s="24">
        <f>E801</f>
        <v>50</v>
      </c>
      <c r="F800" s="24">
        <f>F801</f>
        <v>0</v>
      </c>
      <c r="G800" s="24">
        <f t="shared" si="227"/>
        <v>50</v>
      </c>
      <c r="H800" s="24">
        <f>H801</f>
        <v>0</v>
      </c>
      <c r="I800" s="24">
        <f t="shared" si="228"/>
        <v>50</v>
      </c>
      <c r="J800" s="24">
        <f>J801</f>
        <v>0</v>
      </c>
      <c r="K800" s="24">
        <f t="shared" si="229"/>
        <v>50</v>
      </c>
      <c r="L800" s="24">
        <f>L801</f>
        <v>0</v>
      </c>
      <c r="M800" s="24">
        <f t="shared" si="230"/>
        <v>50</v>
      </c>
      <c r="N800" s="24">
        <f>N801</f>
        <v>0</v>
      </c>
      <c r="O800" s="24">
        <f t="shared" si="231"/>
        <v>50</v>
      </c>
      <c r="P800" s="24">
        <f>P801</f>
        <v>0</v>
      </c>
      <c r="Q800" s="24">
        <f t="shared" si="92"/>
        <v>50</v>
      </c>
      <c r="R800" s="24">
        <f>R801</f>
        <v>0</v>
      </c>
      <c r="S800" s="24">
        <f t="shared" si="222"/>
        <v>50</v>
      </c>
      <c r="T800" s="24">
        <f>T801</f>
        <v>-50</v>
      </c>
      <c r="U800" s="24">
        <f t="shared" si="223"/>
        <v>0</v>
      </c>
      <c r="V800" s="24">
        <f>V801</f>
        <v>0</v>
      </c>
      <c r="W800" s="24">
        <f t="shared" si="224"/>
        <v>0</v>
      </c>
      <c r="X800" s="24">
        <f>X801</f>
        <v>0</v>
      </c>
      <c r="Y800" s="24">
        <f t="shared" si="225"/>
        <v>0</v>
      </c>
      <c r="Z800" s="189"/>
    </row>
    <row r="801" spans="1:27" s="6" customFormat="1" ht="24.75" hidden="1" x14ac:dyDescent="0.25">
      <c r="A801" s="22" t="s">
        <v>199</v>
      </c>
      <c r="B801" s="23" t="s">
        <v>194</v>
      </c>
      <c r="C801" s="23" t="s">
        <v>200</v>
      </c>
      <c r="D801" s="23" t="s">
        <v>2</v>
      </c>
      <c r="E801" s="24">
        <f>E802</f>
        <v>50</v>
      </c>
      <c r="F801" s="24">
        <f>F802</f>
        <v>0</v>
      </c>
      <c r="G801" s="24">
        <f t="shared" si="227"/>
        <v>50</v>
      </c>
      <c r="H801" s="24">
        <f>H802</f>
        <v>0</v>
      </c>
      <c r="I801" s="24">
        <f t="shared" si="228"/>
        <v>50</v>
      </c>
      <c r="J801" s="24">
        <f>J802</f>
        <v>0</v>
      </c>
      <c r="K801" s="24">
        <f t="shared" si="229"/>
        <v>50</v>
      </c>
      <c r="L801" s="24">
        <f>L802</f>
        <v>0</v>
      </c>
      <c r="M801" s="24">
        <f t="shared" si="230"/>
        <v>50</v>
      </c>
      <c r="N801" s="24">
        <f>N802</f>
        <v>0</v>
      </c>
      <c r="O801" s="24">
        <f t="shared" si="231"/>
        <v>50</v>
      </c>
      <c r="P801" s="24">
        <f>P802</f>
        <v>0</v>
      </c>
      <c r="Q801" s="24">
        <f t="shared" si="92"/>
        <v>50</v>
      </c>
      <c r="R801" s="24">
        <f>R802</f>
        <v>0</v>
      </c>
      <c r="S801" s="24">
        <f t="shared" si="222"/>
        <v>50</v>
      </c>
      <c r="T801" s="24">
        <f>T802</f>
        <v>-50</v>
      </c>
      <c r="U801" s="24">
        <f t="shared" si="223"/>
        <v>0</v>
      </c>
      <c r="V801" s="24">
        <f>V802</f>
        <v>0</v>
      </c>
      <c r="W801" s="24">
        <f t="shared" si="224"/>
        <v>0</v>
      </c>
      <c r="X801" s="24">
        <f>X802</f>
        <v>0</v>
      </c>
      <c r="Y801" s="24">
        <f t="shared" si="225"/>
        <v>0</v>
      </c>
      <c r="Z801" s="189"/>
    </row>
    <row r="802" spans="1:27" s="6" customFormat="1" hidden="1" x14ac:dyDescent="0.25">
      <c r="A802" s="25" t="s">
        <v>66</v>
      </c>
      <c r="B802" s="26" t="s">
        <v>194</v>
      </c>
      <c r="C802" s="26" t="s">
        <v>200</v>
      </c>
      <c r="D802" s="26" t="s">
        <v>42</v>
      </c>
      <c r="E802" s="27">
        <v>50</v>
      </c>
      <c r="F802" s="27"/>
      <c r="G802" s="24">
        <f t="shared" si="227"/>
        <v>50</v>
      </c>
      <c r="H802" s="27"/>
      <c r="I802" s="24">
        <f t="shared" si="228"/>
        <v>50</v>
      </c>
      <c r="J802" s="27"/>
      <c r="K802" s="24">
        <f t="shared" si="229"/>
        <v>50</v>
      </c>
      <c r="L802" s="27"/>
      <c r="M802" s="24">
        <f t="shared" si="230"/>
        <v>50</v>
      </c>
      <c r="N802" s="27"/>
      <c r="O802" s="24">
        <f t="shared" si="231"/>
        <v>50</v>
      </c>
      <c r="P802" s="27"/>
      <c r="Q802" s="24">
        <f t="shared" si="92"/>
        <v>50</v>
      </c>
      <c r="R802" s="27"/>
      <c r="S802" s="24">
        <f t="shared" si="222"/>
        <v>50</v>
      </c>
      <c r="T802" s="39">
        <v>-50</v>
      </c>
      <c r="U802" s="24">
        <f t="shared" si="223"/>
        <v>0</v>
      </c>
      <c r="V802" s="69"/>
      <c r="W802" s="24">
        <f t="shared" si="224"/>
        <v>0</v>
      </c>
      <c r="X802" s="69"/>
      <c r="Y802" s="24">
        <f t="shared" si="225"/>
        <v>0</v>
      </c>
      <c r="Z802" s="189"/>
      <c r="AA802" s="189">
        <f>Y802+Z802</f>
        <v>0</v>
      </c>
    </row>
    <row r="803" spans="1:27" s="6" customFormat="1" x14ac:dyDescent="0.25">
      <c r="A803" s="22" t="s">
        <v>595</v>
      </c>
      <c r="B803" s="23" t="s">
        <v>194</v>
      </c>
      <c r="C803" s="23" t="s">
        <v>201</v>
      </c>
      <c r="D803" s="23" t="s">
        <v>2</v>
      </c>
      <c r="E803" s="24">
        <f>E804</f>
        <v>100</v>
      </c>
      <c r="F803" s="24">
        <f>F804</f>
        <v>0</v>
      </c>
      <c r="G803" s="24">
        <f t="shared" si="227"/>
        <v>100</v>
      </c>
      <c r="H803" s="24">
        <f>H804</f>
        <v>0</v>
      </c>
      <c r="I803" s="24">
        <f t="shared" si="228"/>
        <v>100</v>
      </c>
      <c r="J803" s="24">
        <f>J804</f>
        <v>0</v>
      </c>
      <c r="K803" s="24">
        <f t="shared" si="229"/>
        <v>100</v>
      </c>
      <c r="L803" s="24">
        <f>L804</f>
        <v>0</v>
      </c>
      <c r="M803" s="24">
        <f t="shared" si="230"/>
        <v>100</v>
      </c>
      <c r="N803" s="24">
        <f>N804</f>
        <v>0</v>
      </c>
      <c r="O803" s="24">
        <f t="shared" si="231"/>
        <v>100</v>
      </c>
      <c r="P803" s="24">
        <f>P804</f>
        <v>0</v>
      </c>
      <c r="Q803" s="24">
        <f t="shared" si="92"/>
        <v>100</v>
      </c>
      <c r="R803" s="24">
        <f>R804</f>
        <v>0</v>
      </c>
      <c r="S803" s="24">
        <f t="shared" si="222"/>
        <v>100</v>
      </c>
      <c r="T803" s="24">
        <f>T804</f>
        <v>-100</v>
      </c>
      <c r="U803" s="24">
        <f t="shared" si="223"/>
        <v>0</v>
      </c>
      <c r="V803" s="24">
        <f>V804</f>
        <v>48</v>
      </c>
      <c r="W803" s="24">
        <f t="shared" si="224"/>
        <v>48</v>
      </c>
      <c r="X803" s="24">
        <f>X804</f>
        <v>0</v>
      </c>
      <c r="Y803" s="24">
        <f t="shared" si="225"/>
        <v>48</v>
      </c>
      <c r="Z803" s="189"/>
    </row>
    <row r="804" spans="1:27" s="6" customFormat="1" ht="24.75" x14ac:dyDescent="0.25">
      <c r="A804" s="22" t="s">
        <v>199</v>
      </c>
      <c r="B804" s="23" t="s">
        <v>194</v>
      </c>
      <c r="C804" s="23" t="s">
        <v>202</v>
      </c>
      <c r="D804" s="23" t="s">
        <v>2</v>
      </c>
      <c r="E804" s="24">
        <f>E805</f>
        <v>100</v>
      </c>
      <c r="F804" s="24">
        <f>F805</f>
        <v>0</v>
      </c>
      <c r="G804" s="24">
        <f t="shared" si="227"/>
        <v>100</v>
      </c>
      <c r="H804" s="24">
        <f>H805</f>
        <v>0</v>
      </c>
      <c r="I804" s="24">
        <f t="shared" si="228"/>
        <v>100</v>
      </c>
      <c r="J804" s="24">
        <f>J805</f>
        <v>0</v>
      </c>
      <c r="K804" s="24">
        <f t="shared" si="229"/>
        <v>100</v>
      </c>
      <c r="L804" s="24">
        <f>L805</f>
        <v>0</v>
      </c>
      <c r="M804" s="24">
        <f t="shared" si="230"/>
        <v>100</v>
      </c>
      <c r="N804" s="24">
        <f>N805</f>
        <v>0</v>
      </c>
      <c r="O804" s="24">
        <f t="shared" si="231"/>
        <v>100</v>
      </c>
      <c r="P804" s="24">
        <f>P805</f>
        <v>0</v>
      </c>
      <c r="Q804" s="24">
        <f t="shared" si="92"/>
        <v>100</v>
      </c>
      <c r="R804" s="24">
        <f>R805</f>
        <v>0</v>
      </c>
      <c r="S804" s="24">
        <f t="shared" si="222"/>
        <v>100</v>
      </c>
      <c r="T804" s="24">
        <f>T805</f>
        <v>-100</v>
      </c>
      <c r="U804" s="24">
        <f t="shared" si="223"/>
        <v>0</v>
      </c>
      <c r="V804" s="24">
        <f>V805</f>
        <v>48</v>
      </c>
      <c r="W804" s="24">
        <f t="shared" si="224"/>
        <v>48</v>
      </c>
      <c r="X804" s="24">
        <f>X805</f>
        <v>0</v>
      </c>
      <c r="Y804" s="24">
        <f t="shared" si="225"/>
        <v>48</v>
      </c>
      <c r="Z804" s="189"/>
    </row>
    <row r="805" spans="1:27" s="6" customFormat="1" x14ac:dyDescent="0.25">
      <c r="A805" s="25" t="s">
        <v>66</v>
      </c>
      <c r="B805" s="26" t="s">
        <v>194</v>
      </c>
      <c r="C805" s="26" t="s">
        <v>202</v>
      </c>
      <c r="D805" s="26" t="s">
        <v>42</v>
      </c>
      <c r="E805" s="27">
        <v>100</v>
      </c>
      <c r="F805" s="27"/>
      <c r="G805" s="24">
        <f t="shared" si="227"/>
        <v>100</v>
      </c>
      <c r="H805" s="27"/>
      <c r="I805" s="24">
        <f t="shared" si="228"/>
        <v>100</v>
      </c>
      <c r="J805" s="27"/>
      <c r="K805" s="24">
        <f t="shared" si="229"/>
        <v>100</v>
      </c>
      <c r="L805" s="27"/>
      <c r="M805" s="24">
        <f t="shared" si="230"/>
        <v>100</v>
      </c>
      <c r="N805" s="27"/>
      <c r="O805" s="24">
        <f t="shared" si="231"/>
        <v>100</v>
      </c>
      <c r="P805" s="27"/>
      <c r="Q805" s="24">
        <f t="shared" si="92"/>
        <v>100</v>
      </c>
      <c r="R805" s="27"/>
      <c r="S805" s="24">
        <f t="shared" si="222"/>
        <v>100</v>
      </c>
      <c r="T805" s="39">
        <v>-100</v>
      </c>
      <c r="U805" s="24">
        <f t="shared" si="223"/>
        <v>0</v>
      </c>
      <c r="V805" s="94">
        <v>48</v>
      </c>
      <c r="W805" s="24">
        <f t="shared" si="224"/>
        <v>48</v>
      </c>
      <c r="X805" s="69"/>
      <c r="Y805" s="24">
        <f t="shared" si="225"/>
        <v>48</v>
      </c>
      <c r="Z805" s="189"/>
      <c r="AA805" s="189">
        <f>Y805+Z805</f>
        <v>48</v>
      </c>
    </row>
    <row r="806" spans="1:27" s="6" customFormat="1" ht="24.75" x14ac:dyDescent="0.25">
      <c r="A806" s="22" t="s">
        <v>625</v>
      </c>
      <c r="B806" s="23" t="s">
        <v>194</v>
      </c>
      <c r="C806" s="23" t="s">
        <v>206</v>
      </c>
      <c r="D806" s="23" t="s">
        <v>2</v>
      </c>
      <c r="E806" s="24">
        <f>E807</f>
        <v>86</v>
      </c>
      <c r="F806" s="24">
        <f>F807</f>
        <v>0</v>
      </c>
      <c r="G806" s="24">
        <f t="shared" si="227"/>
        <v>86</v>
      </c>
      <c r="H806" s="24">
        <f>H807</f>
        <v>0</v>
      </c>
      <c r="I806" s="24">
        <f t="shared" si="228"/>
        <v>86</v>
      </c>
      <c r="J806" s="24">
        <f>J807</f>
        <v>0</v>
      </c>
      <c r="K806" s="24">
        <f t="shared" si="229"/>
        <v>86</v>
      </c>
      <c r="L806" s="24">
        <f>L807</f>
        <v>0</v>
      </c>
      <c r="M806" s="24">
        <f t="shared" si="230"/>
        <v>86</v>
      </c>
      <c r="N806" s="24">
        <f>N807</f>
        <v>0</v>
      </c>
      <c r="O806" s="24">
        <f t="shared" si="231"/>
        <v>86</v>
      </c>
      <c r="P806" s="24">
        <f>P807</f>
        <v>0</v>
      </c>
      <c r="Q806" s="24">
        <f t="shared" si="92"/>
        <v>86</v>
      </c>
      <c r="R806" s="24">
        <f>R807</f>
        <v>0</v>
      </c>
      <c r="S806" s="24">
        <f t="shared" si="222"/>
        <v>86</v>
      </c>
      <c r="T806" s="24">
        <f>T807</f>
        <v>0</v>
      </c>
      <c r="U806" s="24">
        <f t="shared" si="223"/>
        <v>86</v>
      </c>
      <c r="V806" s="24">
        <f>V807</f>
        <v>-48</v>
      </c>
      <c r="W806" s="24">
        <f t="shared" si="224"/>
        <v>38</v>
      </c>
      <c r="X806" s="24">
        <f>X807</f>
        <v>0</v>
      </c>
      <c r="Y806" s="24">
        <f t="shared" si="225"/>
        <v>38</v>
      </c>
      <c r="Z806" s="189"/>
    </row>
    <row r="807" spans="1:27" s="6" customFormat="1" ht="24.75" x14ac:dyDescent="0.25">
      <c r="A807" s="22" t="s">
        <v>199</v>
      </c>
      <c r="B807" s="23" t="s">
        <v>194</v>
      </c>
      <c r="C807" s="23" t="s">
        <v>207</v>
      </c>
      <c r="D807" s="23" t="s">
        <v>2</v>
      </c>
      <c r="E807" s="24">
        <f>E808</f>
        <v>86</v>
      </c>
      <c r="F807" s="24">
        <f>F808</f>
        <v>0</v>
      </c>
      <c r="G807" s="24">
        <f t="shared" si="227"/>
        <v>86</v>
      </c>
      <c r="H807" s="24">
        <f>H808</f>
        <v>0</v>
      </c>
      <c r="I807" s="24">
        <f t="shared" si="228"/>
        <v>86</v>
      </c>
      <c r="J807" s="24">
        <f>J808</f>
        <v>0</v>
      </c>
      <c r="K807" s="24">
        <f t="shared" si="229"/>
        <v>86</v>
      </c>
      <c r="L807" s="24">
        <f>L808</f>
        <v>0</v>
      </c>
      <c r="M807" s="24">
        <f t="shared" si="230"/>
        <v>86</v>
      </c>
      <c r="N807" s="24">
        <f>N808</f>
        <v>0</v>
      </c>
      <c r="O807" s="24">
        <f t="shared" si="231"/>
        <v>86</v>
      </c>
      <c r="P807" s="24">
        <f>P808</f>
        <v>0</v>
      </c>
      <c r="Q807" s="24">
        <f t="shared" si="92"/>
        <v>86</v>
      </c>
      <c r="R807" s="24">
        <f>R808</f>
        <v>0</v>
      </c>
      <c r="S807" s="24">
        <f t="shared" si="222"/>
        <v>86</v>
      </c>
      <c r="T807" s="24">
        <f>T808</f>
        <v>0</v>
      </c>
      <c r="U807" s="24">
        <f t="shared" si="223"/>
        <v>86</v>
      </c>
      <c r="V807" s="24">
        <f>V808</f>
        <v>-48</v>
      </c>
      <c r="W807" s="24">
        <f t="shared" si="224"/>
        <v>38</v>
      </c>
      <c r="X807" s="24">
        <f>X808</f>
        <v>0</v>
      </c>
      <c r="Y807" s="24">
        <f t="shared" si="225"/>
        <v>38</v>
      </c>
      <c r="Z807" s="189"/>
    </row>
    <row r="808" spans="1:27" s="6" customFormat="1" x14ac:dyDescent="0.25">
      <c r="A808" s="25" t="s">
        <v>66</v>
      </c>
      <c r="B808" s="26" t="s">
        <v>194</v>
      </c>
      <c r="C808" s="26" t="s">
        <v>207</v>
      </c>
      <c r="D808" s="26" t="s">
        <v>42</v>
      </c>
      <c r="E808" s="27">
        <v>86</v>
      </c>
      <c r="F808" s="27"/>
      <c r="G808" s="24">
        <f t="shared" si="227"/>
        <v>86</v>
      </c>
      <c r="H808" s="27"/>
      <c r="I808" s="24">
        <f t="shared" si="228"/>
        <v>86</v>
      </c>
      <c r="J808" s="27"/>
      <c r="K808" s="24">
        <f t="shared" si="229"/>
        <v>86</v>
      </c>
      <c r="L808" s="27"/>
      <c r="M808" s="24">
        <f t="shared" si="230"/>
        <v>86</v>
      </c>
      <c r="N808" s="27"/>
      <c r="O808" s="24">
        <f t="shared" si="231"/>
        <v>86</v>
      </c>
      <c r="P808" s="27"/>
      <c r="Q808" s="24">
        <f t="shared" si="92"/>
        <v>86</v>
      </c>
      <c r="R808" s="27"/>
      <c r="S808" s="24">
        <f t="shared" si="222"/>
        <v>86</v>
      </c>
      <c r="T808" s="69"/>
      <c r="U808" s="24">
        <f t="shared" si="223"/>
        <v>86</v>
      </c>
      <c r="V808" s="94">
        <v>-48</v>
      </c>
      <c r="W808" s="24">
        <f t="shared" si="224"/>
        <v>38</v>
      </c>
      <c r="X808" s="69"/>
      <c r="Y808" s="24">
        <f t="shared" si="225"/>
        <v>38</v>
      </c>
      <c r="Z808" s="189"/>
      <c r="AA808" s="189">
        <f>Y808+Z808</f>
        <v>38</v>
      </c>
    </row>
    <row r="809" spans="1:27" s="6" customFormat="1" ht="36.75" x14ac:dyDescent="0.25">
      <c r="A809" s="22" t="s">
        <v>203</v>
      </c>
      <c r="B809" s="23" t="s">
        <v>194</v>
      </c>
      <c r="C809" s="23" t="s">
        <v>204</v>
      </c>
      <c r="D809" s="23" t="s">
        <v>2</v>
      </c>
      <c r="E809" s="24">
        <f>E810</f>
        <v>86</v>
      </c>
      <c r="F809" s="24">
        <f>F810</f>
        <v>0</v>
      </c>
      <c r="G809" s="24">
        <f t="shared" si="227"/>
        <v>86</v>
      </c>
      <c r="H809" s="24">
        <f>H810</f>
        <v>0</v>
      </c>
      <c r="I809" s="24">
        <f t="shared" si="228"/>
        <v>86</v>
      </c>
      <c r="J809" s="24">
        <f>J810</f>
        <v>0</v>
      </c>
      <c r="K809" s="24">
        <f t="shared" si="229"/>
        <v>86</v>
      </c>
      <c r="L809" s="24">
        <f>L810</f>
        <v>0</v>
      </c>
      <c r="M809" s="24">
        <f t="shared" si="230"/>
        <v>86</v>
      </c>
      <c r="N809" s="24">
        <f>N810</f>
        <v>0</v>
      </c>
      <c r="O809" s="24">
        <f t="shared" si="231"/>
        <v>86</v>
      </c>
      <c r="P809" s="24">
        <f>P810</f>
        <v>0</v>
      </c>
      <c r="Q809" s="24">
        <f t="shared" si="92"/>
        <v>86</v>
      </c>
      <c r="R809" s="24">
        <f>R810</f>
        <v>0</v>
      </c>
      <c r="S809" s="24">
        <f t="shared" si="222"/>
        <v>86</v>
      </c>
      <c r="T809" s="24">
        <f>T810</f>
        <v>-36</v>
      </c>
      <c r="U809" s="24">
        <f t="shared" si="223"/>
        <v>50</v>
      </c>
      <c r="V809" s="24">
        <f>V810</f>
        <v>0</v>
      </c>
      <c r="W809" s="24">
        <f t="shared" si="224"/>
        <v>50</v>
      </c>
      <c r="X809" s="24">
        <f>X810</f>
        <v>0</v>
      </c>
      <c r="Y809" s="24">
        <f t="shared" si="225"/>
        <v>50</v>
      </c>
      <c r="Z809" s="189"/>
    </row>
    <row r="810" spans="1:27" s="6" customFormat="1" ht="24.75" x14ac:dyDescent="0.25">
      <c r="A810" s="22" t="s">
        <v>199</v>
      </c>
      <c r="B810" s="23" t="s">
        <v>194</v>
      </c>
      <c r="C810" s="23" t="s">
        <v>205</v>
      </c>
      <c r="D810" s="23" t="s">
        <v>2</v>
      </c>
      <c r="E810" s="24">
        <f>E811</f>
        <v>86</v>
      </c>
      <c r="F810" s="24">
        <f>F811</f>
        <v>0</v>
      </c>
      <c r="G810" s="24">
        <f t="shared" si="227"/>
        <v>86</v>
      </c>
      <c r="H810" s="24">
        <f>H811</f>
        <v>0</v>
      </c>
      <c r="I810" s="24">
        <f t="shared" si="228"/>
        <v>86</v>
      </c>
      <c r="J810" s="24">
        <f>J811</f>
        <v>0</v>
      </c>
      <c r="K810" s="24">
        <f t="shared" si="229"/>
        <v>86</v>
      </c>
      <c r="L810" s="24">
        <f>L811</f>
        <v>0</v>
      </c>
      <c r="M810" s="24">
        <f t="shared" si="230"/>
        <v>86</v>
      </c>
      <c r="N810" s="24">
        <f>N811</f>
        <v>0</v>
      </c>
      <c r="O810" s="24">
        <f t="shared" si="231"/>
        <v>86</v>
      </c>
      <c r="P810" s="24">
        <f>P811</f>
        <v>0</v>
      </c>
      <c r="Q810" s="24">
        <f t="shared" si="92"/>
        <v>86</v>
      </c>
      <c r="R810" s="24">
        <f>R811</f>
        <v>0</v>
      </c>
      <c r="S810" s="24">
        <f t="shared" si="222"/>
        <v>86</v>
      </c>
      <c r="T810" s="24">
        <f>T811</f>
        <v>-36</v>
      </c>
      <c r="U810" s="24">
        <f t="shared" si="223"/>
        <v>50</v>
      </c>
      <c r="V810" s="24">
        <f>V811</f>
        <v>0</v>
      </c>
      <c r="W810" s="24">
        <f t="shared" si="224"/>
        <v>50</v>
      </c>
      <c r="X810" s="24">
        <f>X811</f>
        <v>0</v>
      </c>
      <c r="Y810" s="24">
        <f t="shared" si="225"/>
        <v>50</v>
      </c>
      <c r="Z810" s="189"/>
    </row>
    <row r="811" spans="1:27" s="6" customFormat="1" x14ac:dyDescent="0.25">
      <c r="A811" s="25" t="s">
        <v>66</v>
      </c>
      <c r="B811" s="26" t="s">
        <v>194</v>
      </c>
      <c r="C811" s="26" t="s">
        <v>205</v>
      </c>
      <c r="D811" s="26" t="s">
        <v>42</v>
      </c>
      <c r="E811" s="27">
        <v>86</v>
      </c>
      <c r="F811" s="27"/>
      <c r="G811" s="24">
        <f t="shared" si="227"/>
        <v>86</v>
      </c>
      <c r="H811" s="27"/>
      <c r="I811" s="24">
        <f t="shared" si="228"/>
        <v>86</v>
      </c>
      <c r="J811" s="27"/>
      <c r="K811" s="24">
        <f t="shared" si="229"/>
        <v>86</v>
      </c>
      <c r="L811" s="27"/>
      <c r="M811" s="24">
        <f t="shared" si="230"/>
        <v>86</v>
      </c>
      <c r="N811" s="27"/>
      <c r="O811" s="24">
        <f t="shared" si="231"/>
        <v>86</v>
      </c>
      <c r="P811" s="27"/>
      <c r="Q811" s="24">
        <f t="shared" si="92"/>
        <v>86</v>
      </c>
      <c r="R811" s="27"/>
      <c r="S811" s="24">
        <f t="shared" si="222"/>
        <v>86</v>
      </c>
      <c r="T811" s="39">
        <v>-36</v>
      </c>
      <c r="U811" s="24">
        <f t="shared" si="223"/>
        <v>50</v>
      </c>
      <c r="V811" s="69"/>
      <c r="W811" s="24">
        <f t="shared" si="224"/>
        <v>50</v>
      </c>
      <c r="X811" s="69"/>
      <c r="Y811" s="24">
        <f t="shared" si="225"/>
        <v>50</v>
      </c>
      <c r="Z811" s="189"/>
      <c r="AA811" s="189">
        <f>Y811+Z811</f>
        <v>50</v>
      </c>
    </row>
    <row r="812" spans="1:27" s="6" customFormat="1" x14ac:dyDescent="0.25">
      <c r="A812" s="40" t="s">
        <v>789</v>
      </c>
      <c r="B812" s="20" t="s">
        <v>194</v>
      </c>
      <c r="C812" s="20" t="s">
        <v>60</v>
      </c>
      <c r="D812" s="21"/>
      <c r="E812" s="27"/>
      <c r="F812" s="27"/>
      <c r="G812" s="24"/>
      <c r="H812" s="27"/>
      <c r="I812" s="24"/>
      <c r="J812" s="18">
        <f>J813</f>
        <v>20.100000000000001</v>
      </c>
      <c r="K812" s="24">
        <f t="shared" si="229"/>
        <v>20.100000000000001</v>
      </c>
      <c r="L812" s="18">
        <f>L813</f>
        <v>37</v>
      </c>
      <c r="M812" s="24">
        <f t="shared" si="230"/>
        <v>57.1</v>
      </c>
      <c r="N812" s="18">
        <f>N813</f>
        <v>0</v>
      </c>
      <c r="O812" s="24">
        <f t="shared" si="231"/>
        <v>57.1</v>
      </c>
      <c r="P812" s="18">
        <f>P813</f>
        <v>0</v>
      </c>
      <c r="Q812" s="24">
        <f t="shared" si="92"/>
        <v>57.1</v>
      </c>
      <c r="R812" s="18">
        <f>R813</f>
        <v>0</v>
      </c>
      <c r="S812" s="24">
        <f t="shared" si="222"/>
        <v>57.1</v>
      </c>
      <c r="T812" s="18">
        <f>T813</f>
        <v>0</v>
      </c>
      <c r="U812" s="24">
        <f t="shared" si="223"/>
        <v>57.1</v>
      </c>
      <c r="V812" s="18">
        <f>V813</f>
        <v>0</v>
      </c>
      <c r="W812" s="24">
        <f t="shared" si="224"/>
        <v>57.1</v>
      </c>
      <c r="X812" s="18">
        <f>X813</f>
        <v>0</v>
      </c>
      <c r="Y812" s="24">
        <f t="shared" si="225"/>
        <v>57.1</v>
      </c>
      <c r="Z812" s="189"/>
    </row>
    <row r="813" spans="1:27" s="6" customFormat="1" ht="24.75" x14ac:dyDescent="0.25">
      <c r="A813" s="40" t="s">
        <v>90</v>
      </c>
      <c r="B813" s="20" t="s">
        <v>194</v>
      </c>
      <c r="C813" s="20" t="s">
        <v>91</v>
      </c>
      <c r="D813" s="21"/>
      <c r="E813" s="27"/>
      <c r="F813" s="27"/>
      <c r="G813" s="24"/>
      <c r="H813" s="27"/>
      <c r="I813" s="24"/>
      <c r="J813" s="18">
        <f>J814</f>
        <v>20.100000000000001</v>
      </c>
      <c r="K813" s="24">
        <f t="shared" si="229"/>
        <v>20.100000000000001</v>
      </c>
      <c r="L813" s="18">
        <f>L814</f>
        <v>37</v>
      </c>
      <c r="M813" s="24">
        <f t="shared" si="230"/>
        <v>57.1</v>
      </c>
      <c r="N813" s="18">
        <f>N814</f>
        <v>0</v>
      </c>
      <c r="O813" s="24">
        <f t="shared" si="231"/>
        <v>57.1</v>
      </c>
      <c r="P813" s="18">
        <f>P814</f>
        <v>0</v>
      </c>
      <c r="Q813" s="24">
        <f t="shared" si="92"/>
        <v>57.1</v>
      </c>
      <c r="R813" s="18">
        <f>R814</f>
        <v>0</v>
      </c>
      <c r="S813" s="24">
        <f t="shared" si="222"/>
        <v>57.1</v>
      </c>
      <c r="T813" s="18">
        <f>T814</f>
        <v>0</v>
      </c>
      <c r="U813" s="24">
        <f t="shared" si="223"/>
        <v>57.1</v>
      </c>
      <c r="V813" s="18">
        <f>V814</f>
        <v>0</v>
      </c>
      <c r="W813" s="24">
        <f t="shared" si="224"/>
        <v>57.1</v>
      </c>
      <c r="X813" s="18">
        <f>X814</f>
        <v>0</v>
      </c>
      <c r="Y813" s="24">
        <f t="shared" si="225"/>
        <v>57.1</v>
      </c>
      <c r="Z813" s="189"/>
    </row>
    <row r="814" spans="1:27" s="6" customFormat="1" ht="24.75" x14ac:dyDescent="0.25">
      <c r="A814" s="40" t="s">
        <v>790</v>
      </c>
      <c r="B814" s="20" t="s">
        <v>194</v>
      </c>
      <c r="C814" s="20" t="s">
        <v>791</v>
      </c>
      <c r="D814" s="21"/>
      <c r="E814" s="27"/>
      <c r="F814" s="27"/>
      <c r="G814" s="24"/>
      <c r="H814" s="27"/>
      <c r="I814" s="24"/>
      <c r="J814" s="18">
        <f>J815</f>
        <v>20.100000000000001</v>
      </c>
      <c r="K814" s="24">
        <f t="shared" si="229"/>
        <v>20.100000000000001</v>
      </c>
      <c r="L814" s="18">
        <f>L815</f>
        <v>37</v>
      </c>
      <c r="M814" s="24">
        <f t="shared" si="230"/>
        <v>57.1</v>
      </c>
      <c r="N814" s="18">
        <f>N815</f>
        <v>0</v>
      </c>
      <c r="O814" s="24">
        <f t="shared" si="231"/>
        <v>57.1</v>
      </c>
      <c r="P814" s="18">
        <f>P815</f>
        <v>0</v>
      </c>
      <c r="Q814" s="24">
        <f t="shared" si="92"/>
        <v>57.1</v>
      </c>
      <c r="R814" s="18">
        <f>R815</f>
        <v>0</v>
      </c>
      <c r="S814" s="24">
        <f t="shared" si="222"/>
        <v>57.1</v>
      </c>
      <c r="T814" s="18">
        <f>T815</f>
        <v>0</v>
      </c>
      <c r="U814" s="24">
        <f t="shared" si="223"/>
        <v>57.1</v>
      </c>
      <c r="V814" s="18">
        <f>V815</f>
        <v>0</v>
      </c>
      <c r="W814" s="24">
        <f t="shared" si="224"/>
        <v>57.1</v>
      </c>
      <c r="X814" s="18">
        <f>X815</f>
        <v>0</v>
      </c>
      <c r="Y814" s="24">
        <f t="shared" si="225"/>
        <v>57.1</v>
      </c>
      <c r="Z814" s="189"/>
    </row>
    <row r="815" spans="1:27" s="6" customFormat="1" x14ac:dyDescent="0.25">
      <c r="A815" s="30" t="s">
        <v>66</v>
      </c>
      <c r="B815" s="21" t="s">
        <v>194</v>
      </c>
      <c r="C815" s="21" t="s">
        <v>791</v>
      </c>
      <c r="D815" s="21" t="s">
        <v>42</v>
      </c>
      <c r="E815" s="27"/>
      <c r="F815" s="27"/>
      <c r="G815" s="24"/>
      <c r="H815" s="27"/>
      <c r="I815" s="24"/>
      <c r="J815" s="63">
        <v>20.100000000000001</v>
      </c>
      <c r="K815" s="24">
        <f t="shared" si="229"/>
        <v>20.100000000000001</v>
      </c>
      <c r="L815" s="107">
        <v>37</v>
      </c>
      <c r="M815" s="24">
        <f t="shared" si="230"/>
        <v>57.1</v>
      </c>
      <c r="N815" s="69"/>
      <c r="O815" s="24">
        <f t="shared" si="231"/>
        <v>57.1</v>
      </c>
      <c r="P815" s="69"/>
      <c r="Q815" s="24">
        <f t="shared" si="92"/>
        <v>57.1</v>
      </c>
      <c r="R815" s="69"/>
      <c r="S815" s="24">
        <f t="shared" si="222"/>
        <v>57.1</v>
      </c>
      <c r="T815" s="69"/>
      <c r="U815" s="24">
        <f t="shared" si="223"/>
        <v>57.1</v>
      </c>
      <c r="V815" s="69"/>
      <c r="W815" s="24">
        <f t="shared" si="224"/>
        <v>57.1</v>
      </c>
      <c r="X815" s="69"/>
      <c r="Y815" s="24">
        <f t="shared" si="225"/>
        <v>57.1</v>
      </c>
      <c r="Z815" s="189"/>
      <c r="AA815" s="189">
        <f>Y815+Z815</f>
        <v>57.1</v>
      </c>
    </row>
    <row r="816" spans="1:27" s="6" customFormat="1" x14ac:dyDescent="0.25">
      <c r="A816" s="22" t="s">
        <v>92</v>
      </c>
      <c r="B816" s="23" t="s">
        <v>194</v>
      </c>
      <c r="C816" s="23" t="s">
        <v>93</v>
      </c>
      <c r="D816" s="23" t="s">
        <v>2</v>
      </c>
      <c r="E816" s="24">
        <f>E817</f>
        <v>282.3</v>
      </c>
      <c r="F816" s="24">
        <f>F817</f>
        <v>0</v>
      </c>
      <c r="G816" s="24">
        <f t="shared" si="227"/>
        <v>282.3</v>
      </c>
      <c r="H816" s="24">
        <f>H817</f>
        <v>0</v>
      </c>
      <c r="I816" s="24">
        <f t="shared" si="228"/>
        <v>282.3</v>
      </c>
      <c r="J816" s="24">
        <f>J817</f>
        <v>0</v>
      </c>
      <c r="K816" s="24">
        <f t="shared" si="229"/>
        <v>282.3</v>
      </c>
      <c r="L816" s="24">
        <f>L817</f>
        <v>527</v>
      </c>
      <c r="M816" s="24">
        <f t="shared" si="230"/>
        <v>809.3</v>
      </c>
      <c r="N816" s="24">
        <f>N817</f>
        <v>0</v>
      </c>
      <c r="O816" s="24">
        <f t="shared" si="231"/>
        <v>809.3</v>
      </c>
      <c r="P816" s="24">
        <f>P817</f>
        <v>0</v>
      </c>
      <c r="Q816" s="24">
        <f t="shared" si="92"/>
        <v>809.3</v>
      </c>
      <c r="R816" s="24">
        <f>R817</f>
        <v>-70</v>
      </c>
      <c r="S816" s="24">
        <f t="shared" si="222"/>
        <v>739.3</v>
      </c>
      <c r="T816" s="24">
        <f>T817</f>
        <v>0</v>
      </c>
      <c r="U816" s="24">
        <f t="shared" si="223"/>
        <v>739.3</v>
      </c>
      <c r="V816" s="24">
        <f>V817</f>
        <v>-16.899999999999999</v>
      </c>
      <c r="W816" s="24">
        <f t="shared" si="224"/>
        <v>722.4</v>
      </c>
      <c r="X816" s="24">
        <f>X817</f>
        <v>0</v>
      </c>
      <c r="Y816" s="24">
        <f t="shared" si="225"/>
        <v>722.4</v>
      </c>
      <c r="Z816" s="189"/>
    </row>
    <row r="817" spans="1:27" s="6" customFormat="1" x14ac:dyDescent="0.25">
      <c r="A817" s="22" t="s">
        <v>97</v>
      </c>
      <c r="B817" s="23" t="s">
        <v>194</v>
      </c>
      <c r="C817" s="23" t="s">
        <v>98</v>
      </c>
      <c r="D817" s="23" t="s">
        <v>2</v>
      </c>
      <c r="E817" s="24">
        <f>E820+E822</f>
        <v>282.3</v>
      </c>
      <c r="F817" s="24">
        <f>F820+F822</f>
        <v>0</v>
      </c>
      <c r="G817" s="24">
        <f t="shared" si="227"/>
        <v>282.3</v>
      </c>
      <c r="H817" s="24">
        <f>H820+H822</f>
        <v>0</v>
      </c>
      <c r="I817" s="24">
        <f t="shared" si="228"/>
        <v>282.3</v>
      </c>
      <c r="J817" s="24">
        <f>J820+J822</f>
        <v>0</v>
      </c>
      <c r="K817" s="24">
        <f t="shared" si="229"/>
        <v>282.3</v>
      </c>
      <c r="L817" s="24">
        <f>L820+L822</f>
        <v>527</v>
      </c>
      <c r="M817" s="24">
        <f t="shared" si="230"/>
        <v>809.3</v>
      </c>
      <c r="N817" s="24">
        <f>N820+N822</f>
        <v>0</v>
      </c>
      <c r="O817" s="24">
        <f t="shared" si="231"/>
        <v>809.3</v>
      </c>
      <c r="P817" s="24">
        <f>P820+P822</f>
        <v>0</v>
      </c>
      <c r="Q817" s="24">
        <f t="shared" si="92"/>
        <v>809.3</v>
      </c>
      <c r="R817" s="24">
        <f>R820+R822</f>
        <v>-70</v>
      </c>
      <c r="S817" s="24">
        <f t="shared" si="222"/>
        <v>739.3</v>
      </c>
      <c r="T817" s="24">
        <f>T820+T822+T818</f>
        <v>0</v>
      </c>
      <c r="U817" s="24">
        <f t="shared" si="223"/>
        <v>739.3</v>
      </c>
      <c r="V817" s="24">
        <f>V820+V822+V818</f>
        <v>-16.899999999999999</v>
      </c>
      <c r="W817" s="24">
        <f t="shared" si="224"/>
        <v>722.4</v>
      </c>
      <c r="X817" s="24">
        <f>X820+X822+X818</f>
        <v>0</v>
      </c>
      <c r="Y817" s="24">
        <f t="shared" si="225"/>
        <v>722.4</v>
      </c>
      <c r="Z817" s="189"/>
    </row>
    <row r="818" spans="1:27" s="6" customFormat="1" ht="24.75" x14ac:dyDescent="0.25">
      <c r="A818" s="16" t="s">
        <v>1396</v>
      </c>
      <c r="B818" s="23" t="s">
        <v>194</v>
      </c>
      <c r="C818" s="23" t="s">
        <v>1395</v>
      </c>
      <c r="D818" s="23"/>
      <c r="E818" s="24"/>
      <c r="F818" s="24"/>
      <c r="G818" s="24"/>
      <c r="H818" s="24"/>
      <c r="I818" s="24"/>
      <c r="J818" s="24"/>
      <c r="K818" s="24"/>
      <c r="L818" s="24"/>
      <c r="M818" s="24"/>
      <c r="N818" s="24"/>
      <c r="O818" s="24"/>
      <c r="P818" s="24"/>
      <c r="Q818" s="24"/>
      <c r="R818" s="24"/>
      <c r="S818" s="24"/>
      <c r="T818" s="18">
        <f>T819</f>
        <v>162.30000000000001</v>
      </c>
      <c r="U818" s="24">
        <f t="shared" si="223"/>
        <v>162.30000000000001</v>
      </c>
      <c r="V818" s="18">
        <f>V819</f>
        <v>0</v>
      </c>
      <c r="W818" s="24">
        <f t="shared" si="224"/>
        <v>162.30000000000001</v>
      </c>
      <c r="X818" s="18">
        <f>X819</f>
        <v>0</v>
      </c>
      <c r="Y818" s="24">
        <f t="shared" si="225"/>
        <v>162.30000000000001</v>
      </c>
      <c r="Z818" s="189"/>
    </row>
    <row r="819" spans="1:27" s="6" customFormat="1" x14ac:dyDescent="0.25">
      <c r="A819" s="25" t="s">
        <v>66</v>
      </c>
      <c r="B819" s="26" t="s">
        <v>194</v>
      </c>
      <c r="C819" s="26" t="s">
        <v>1395</v>
      </c>
      <c r="D819" s="26" t="s">
        <v>42</v>
      </c>
      <c r="E819" s="24"/>
      <c r="F819" s="24"/>
      <c r="G819" s="24"/>
      <c r="H819" s="24"/>
      <c r="I819" s="24"/>
      <c r="J819" s="24"/>
      <c r="K819" s="24"/>
      <c r="L819" s="24"/>
      <c r="M819" s="24"/>
      <c r="N819" s="24"/>
      <c r="O819" s="24"/>
      <c r="P819" s="24"/>
      <c r="Q819" s="24"/>
      <c r="R819" s="24"/>
      <c r="S819" s="24"/>
      <c r="T819" s="125">
        <v>162.30000000000001</v>
      </c>
      <c r="U819" s="27">
        <f t="shared" si="223"/>
        <v>162.30000000000001</v>
      </c>
      <c r="V819" s="69"/>
      <c r="W819" s="27">
        <f t="shared" si="224"/>
        <v>162.30000000000001</v>
      </c>
      <c r="X819" s="69"/>
      <c r="Y819" s="27">
        <f t="shared" si="225"/>
        <v>162.30000000000001</v>
      </c>
      <c r="Z819" s="189"/>
      <c r="AA819" s="189">
        <f>Y819+Z819</f>
        <v>162.30000000000001</v>
      </c>
    </row>
    <row r="820" spans="1:27" s="6" customFormat="1" ht="36.75" x14ac:dyDescent="0.25">
      <c r="A820" s="22" t="s">
        <v>210</v>
      </c>
      <c r="B820" s="23" t="s">
        <v>194</v>
      </c>
      <c r="C820" s="23" t="s">
        <v>211</v>
      </c>
      <c r="D820" s="23" t="s">
        <v>2</v>
      </c>
      <c r="E820" s="24">
        <f>E821</f>
        <v>162.30000000000001</v>
      </c>
      <c r="F820" s="24">
        <f>F821</f>
        <v>0</v>
      </c>
      <c r="G820" s="24">
        <f t="shared" si="227"/>
        <v>162.30000000000001</v>
      </c>
      <c r="H820" s="24">
        <f>H821</f>
        <v>0</v>
      </c>
      <c r="I820" s="24">
        <f t="shared" si="228"/>
        <v>162.30000000000001</v>
      </c>
      <c r="J820" s="24">
        <f>J821</f>
        <v>0</v>
      </c>
      <c r="K820" s="24">
        <f t="shared" si="229"/>
        <v>162.30000000000001</v>
      </c>
      <c r="L820" s="24">
        <f>L821</f>
        <v>527</v>
      </c>
      <c r="M820" s="24">
        <f t="shared" si="230"/>
        <v>689.3</v>
      </c>
      <c r="N820" s="24">
        <f>N821</f>
        <v>0</v>
      </c>
      <c r="O820" s="24">
        <f t="shared" si="231"/>
        <v>689.3</v>
      </c>
      <c r="P820" s="24">
        <f>P821</f>
        <v>0</v>
      </c>
      <c r="Q820" s="24">
        <f t="shared" si="92"/>
        <v>689.3</v>
      </c>
      <c r="R820" s="24">
        <f>R821</f>
        <v>0</v>
      </c>
      <c r="S820" s="24">
        <f t="shared" si="222"/>
        <v>689.3</v>
      </c>
      <c r="T820" s="24">
        <f>T821</f>
        <v>-162.30000000000001</v>
      </c>
      <c r="U820" s="24">
        <f t="shared" si="223"/>
        <v>527</v>
      </c>
      <c r="V820" s="24">
        <f>V821</f>
        <v>0</v>
      </c>
      <c r="W820" s="24">
        <f t="shared" si="224"/>
        <v>527</v>
      </c>
      <c r="X820" s="24">
        <f>X821</f>
        <v>0</v>
      </c>
      <c r="Y820" s="24">
        <f t="shared" si="225"/>
        <v>527</v>
      </c>
      <c r="Z820" s="189"/>
    </row>
    <row r="821" spans="1:27" s="6" customFormat="1" x14ac:dyDescent="0.25">
      <c r="A821" s="25" t="s">
        <v>66</v>
      </c>
      <c r="B821" s="26" t="s">
        <v>194</v>
      </c>
      <c r="C821" s="26" t="s">
        <v>211</v>
      </c>
      <c r="D821" s="26" t="s">
        <v>42</v>
      </c>
      <c r="E821" s="27">
        <v>162.30000000000001</v>
      </c>
      <c r="F821" s="27"/>
      <c r="G821" s="24">
        <f t="shared" si="227"/>
        <v>162.30000000000001</v>
      </c>
      <c r="H821" s="27"/>
      <c r="I821" s="24">
        <f t="shared" si="228"/>
        <v>162.30000000000001</v>
      </c>
      <c r="J821" s="27"/>
      <c r="K821" s="24">
        <f t="shared" si="229"/>
        <v>162.30000000000001</v>
      </c>
      <c r="L821" s="43">
        <v>527</v>
      </c>
      <c r="M821" s="24">
        <f t="shared" si="230"/>
        <v>689.3</v>
      </c>
      <c r="N821" s="69"/>
      <c r="O821" s="24">
        <f t="shared" si="231"/>
        <v>689.3</v>
      </c>
      <c r="P821" s="69"/>
      <c r="Q821" s="24">
        <f t="shared" si="92"/>
        <v>689.3</v>
      </c>
      <c r="R821" s="69"/>
      <c r="S821" s="24">
        <f t="shared" si="222"/>
        <v>689.3</v>
      </c>
      <c r="T821" s="125">
        <v>-162.30000000000001</v>
      </c>
      <c r="U821" s="24">
        <f t="shared" si="223"/>
        <v>527</v>
      </c>
      <c r="V821" s="69"/>
      <c r="W821" s="24">
        <f t="shared" si="224"/>
        <v>527</v>
      </c>
      <c r="X821" s="69"/>
      <c r="Y821" s="24">
        <f t="shared" si="225"/>
        <v>527</v>
      </c>
      <c r="Z821" s="189"/>
      <c r="AA821" s="189">
        <f>Y821+Z821</f>
        <v>527</v>
      </c>
    </row>
    <row r="822" spans="1:27" s="6" customFormat="1" ht="60.75" x14ac:dyDescent="0.25">
      <c r="A822" s="22" t="s">
        <v>99</v>
      </c>
      <c r="B822" s="23" t="s">
        <v>194</v>
      </c>
      <c r="C822" s="23" t="s">
        <v>100</v>
      </c>
      <c r="D822" s="23" t="s">
        <v>2</v>
      </c>
      <c r="E822" s="24">
        <f>E823+E824</f>
        <v>120</v>
      </c>
      <c r="F822" s="24">
        <f>F823+F824</f>
        <v>0</v>
      </c>
      <c r="G822" s="24">
        <f t="shared" si="227"/>
        <v>120</v>
      </c>
      <c r="H822" s="24">
        <f>H823+H824</f>
        <v>0</v>
      </c>
      <c r="I822" s="24">
        <f t="shared" si="228"/>
        <v>120</v>
      </c>
      <c r="J822" s="24">
        <f>J823+J824</f>
        <v>0</v>
      </c>
      <c r="K822" s="24">
        <f t="shared" si="229"/>
        <v>120</v>
      </c>
      <c r="L822" s="24">
        <f>L823+L824</f>
        <v>0</v>
      </c>
      <c r="M822" s="24">
        <f t="shared" si="230"/>
        <v>120</v>
      </c>
      <c r="N822" s="24">
        <f>N823+N824</f>
        <v>0</v>
      </c>
      <c r="O822" s="24">
        <f t="shared" si="231"/>
        <v>120</v>
      </c>
      <c r="P822" s="24">
        <f>P823+P824</f>
        <v>0</v>
      </c>
      <c r="Q822" s="24">
        <f t="shared" si="92"/>
        <v>120</v>
      </c>
      <c r="R822" s="24">
        <f>R823+R824</f>
        <v>-70</v>
      </c>
      <c r="S822" s="24">
        <f t="shared" si="222"/>
        <v>50</v>
      </c>
      <c r="T822" s="24">
        <f>T823+T824</f>
        <v>0</v>
      </c>
      <c r="U822" s="24">
        <f t="shared" si="223"/>
        <v>50</v>
      </c>
      <c r="V822" s="24">
        <f>V823+V824</f>
        <v>-16.899999999999999</v>
      </c>
      <c r="W822" s="24">
        <f t="shared" si="224"/>
        <v>33.1</v>
      </c>
      <c r="X822" s="24">
        <f>X823+X824</f>
        <v>0</v>
      </c>
      <c r="Y822" s="24">
        <f t="shared" si="225"/>
        <v>33.1</v>
      </c>
      <c r="Z822" s="189"/>
    </row>
    <row r="823" spans="1:27" s="6" customFormat="1" x14ac:dyDescent="0.25">
      <c r="A823" s="25" t="s">
        <v>66</v>
      </c>
      <c r="B823" s="26" t="s">
        <v>194</v>
      </c>
      <c r="C823" s="26" t="s">
        <v>100</v>
      </c>
      <c r="D823" s="26" t="s">
        <v>42</v>
      </c>
      <c r="E823" s="27">
        <v>20</v>
      </c>
      <c r="F823" s="27"/>
      <c r="G823" s="24">
        <f t="shared" si="227"/>
        <v>20</v>
      </c>
      <c r="H823" s="27"/>
      <c r="I823" s="24">
        <f t="shared" si="228"/>
        <v>20</v>
      </c>
      <c r="J823" s="27"/>
      <c r="K823" s="24">
        <f t="shared" si="229"/>
        <v>20</v>
      </c>
      <c r="L823" s="27"/>
      <c r="M823" s="24">
        <f t="shared" si="230"/>
        <v>20</v>
      </c>
      <c r="N823" s="27"/>
      <c r="O823" s="24">
        <f t="shared" si="231"/>
        <v>20</v>
      </c>
      <c r="P823" s="27"/>
      <c r="Q823" s="24">
        <f t="shared" si="92"/>
        <v>20</v>
      </c>
      <c r="R823" s="27"/>
      <c r="S823" s="24">
        <f t="shared" si="222"/>
        <v>20</v>
      </c>
      <c r="T823" s="69"/>
      <c r="U823" s="24">
        <f t="shared" si="223"/>
        <v>20</v>
      </c>
      <c r="V823" s="69"/>
      <c r="W823" s="24">
        <f t="shared" si="224"/>
        <v>20</v>
      </c>
      <c r="X823" s="69"/>
      <c r="Y823" s="24">
        <f t="shared" si="225"/>
        <v>20</v>
      </c>
      <c r="Z823" s="189"/>
      <c r="AA823" s="189">
        <f t="shared" ref="AA823:AA824" si="232">Y823+Z823</f>
        <v>20</v>
      </c>
    </row>
    <row r="824" spans="1:27" s="6" customFormat="1" ht="36.75" x14ac:dyDescent="0.25">
      <c r="A824" s="25" t="s">
        <v>208</v>
      </c>
      <c r="B824" s="26" t="s">
        <v>194</v>
      </c>
      <c r="C824" s="26" t="s">
        <v>100</v>
      </c>
      <c r="D824" s="26" t="s">
        <v>209</v>
      </c>
      <c r="E824" s="27">
        <v>100</v>
      </c>
      <c r="F824" s="27"/>
      <c r="G824" s="24">
        <f t="shared" si="227"/>
        <v>100</v>
      </c>
      <c r="H824" s="27"/>
      <c r="I824" s="24">
        <f t="shared" si="228"/>
        <v>100</v>
      </c>
      <c r="J824" s="27"/>
      <c r="K824" s="24">
        <f t="shared" si="229"/>
        <v>100</v>
      </c>
      <c r="L824" s="27"/>
      <c r="M824" s="24">
        <f t="shared" si="230"/>
        <v>100</v>
      </c>
      <c r="N824" s="27"/>
      <c r="O824" s="24">
        <f t="shared" si="231"/>
        <v>100</v>
      </c>
      <c r="P824" s="27"/>
      <c r="Q824" s="24">
        <f t="shared" si="92"/>
        <v>100</v>
      </c>
      <c r="R824" s="39">
        <v>-70</v>
      </c>
      <c r="S824" s="24">
        <f t="shared" si="222"/>
        <v>30</v>
      </c>
      <c r="T824" s="69"/>
      <c r="U824" s="24">
        <f t="shared" si="223"/>
        <v>30</v>
      </c>
      <c r="V824" s="94">
        <v>-16.899999999999999</v>
      </c>
      <c r="W824" s="24">
        <f t="shared" si="224"/>
        <v>13.100000000000001</v>
      </c>
      <c r="X824" s="69"/>
      <c r="Y824" s="24">
        <f t="shared" si="225"/>
        <v>13.100000000000001</v>
      </c>
      <c r="Z824" s="189"/>
      <c r="AA824" s="189">
        <f t="shared" si="232"/>
        <v>13.100000000000001</v>
      </c>
    </row>
    <row r="825" spans="1:27" s="6" customFormat="1" ht="24.75" x14ac:dyDescent="0.25">
      <c r="A825" s="22" t="s">
        <v>593</v>
      </c>
      <c r="B825" s="23" t="s">
        <v>194</v>
      </c>
      <c r="C825" s="23" t="s">
        <v>183</v>
      </c>
      <c r="D825" s="23" t="s">
        <v>2</v>
      </c>
      <c r="E825" s="24">
        <f>E826</f>
        <v>16641.399999999998</v>
      </c>
      <c r="F825" s="24">
        <f>F826</f>
        <v>43.5</v>
      </c>
      <c r="G825" s="24">
        <f t="shared" si="227"/>
        <v>16684.899999999998</v>
      </c>
      <c r="H825" s="24">
        <f>H826</f>
        <v>76374.600000000006</v>
      </c>
      <c r="I825" s="24">
        <f t="shared" si="228"/>
        <v>93059.5</v>
      </c>
      <c r="J825" s="24">
        <f>J826</f>
        <v>0</v>
      </c>
      <c r="K825" s="24">
        <f t="shared" si="229"/>
        <v>93059.5</v>
      </c>
      <c r="L825" s="24">
        <f>L826</f>
        <v>-76374.600000000006</v>
      </c>
      <c r="M825" s="24">
        <f t="shared" si="230"/>
        <v>16684.899999999994</v>
      </c>
      <c r="N825" s="24">
        <f>N826</f>
        <v>1798.6</v>
      </c>
      <c r="O825" s="24">
        <f t="shared" si="231"/>
        <v>18483.499999999993</v>
      </c>
      <c r="P825" s="24">
        <f>P826</f>
        <v>0</v>
      </c>
      <c r="Q825" s="24">
        <f t="shared" si="92"/>
        <v>18483.499999999993</v>
      </c>
      <c r="R825" s="24">
        <f>R826</f>
        <v>1085</v>
      </c>
      <c r="S825" s="24">
        <f t="shared" si="222"/>
        <v>19568.499999999993</v>
      </c>
      <c r="T825" s="24">
        <f>T826+T868</f>
        <v>-799.09999999999991</v>
      </c>
      <c r="U825" s="24">
        <f t="shared" si="223"/>
        <v>18769.399999999994</v>
      </c>
      <c r="V825" s="24">
        <f>V826+V868</f>
        <v>341.6</v>
      </c>
      <c r="W825" s="24">
        <f t="shared" si="224"/>
        <v>19110.999999999993</v>
      </c>
      <c r="X825" s="24">
        <f>X826+X868</f>
        <v>451.6</v>
      </c>
      <c r="Y825" s="24">
        <f t="shared" si="225"/>
        <v>19562.599999999991</v>
      </c>
      <c r="Z825" s="189"/>
    </row>
    <row r="826" spans="1:27" s="6" customFormat="1" ht="24.75" x14ac:dyDescent="0.25">
      <c r="A826" s="22" t="s">
        <v>597</v>
      </c>
      <c r="B826" s="23" t="s">
        <v>194</v>
      </c>
      <c r="C826" s="23" t="s">
        <v>212</v>
      </c>
      <c r="D826" s="23" t="s">
        <v>2</v>
      </c>
      <c r="E826" s="24">
        <f>E827+E846+E856</f>
        <v>16641.399999999998</v>
      </c>
      <c r="F826" s="24">
        <f>F827+F846+F856</f>
        <v>43.5</v>
      </c>
      <c r="G826" s="24">
        <f t="shared" si="227"/>
        <v>16684.899999999998</v>
      </c>
      <c r="H826" s="24">
        <f>H827+H846+H856</f>
        <v>76374.600000000006</v>
      </c>
      <c r="I826" s="24">
        <f t="shared" si="228"/>
        <v>93059.5</v>
      </c>
      <c r="J826" s="24">
        <f>J827+J846+J856</f>
        <v>0</v>
      </c>
      <c r="K826" s="24">
        <f t="shared" si="229"/>
        <v>93059.5</v>
      </c>
      <c r="L826" s="24">
        <f>L827+L846+L856</f>
        <v>-76374.600000000006</v>
      </c>
      <c r="M826" s="24">
        <f t="shared" si="230"/>
        <v>16684.899999999994</v>
      </c>
      <c r="N826" s="24">
        <f>N827+N846+N856</f>
        <v>1798.6</v>
      </c>
      <c r="O826" s="24">
        <f t="shared" si="231"/>
        <v>18483.499999999993</v>
      </c>
      <c r="P826" s="24">
        <f>P827+P846+P856</f>
        <v>0</v>
      </c>
      <c r="Q826" s="24">
        <f t="shared" si="92"/>
        <v>18483.499999999993</v>
      </c>
      <c r="R826" s="24">
        <f>R827+R846+R856</f>
        <v>1085</v>
      </c>
      <c r="S826" s="24">
        <f t="shared" si="222"/>
        <v>19568.499999999993</v>
      </c>
      <c r="T826" s="24">
        <f>T827+T846+T856</f>
        <v>-1961.1</v>
      </c>
      <c r="U826" s="24">
        <f t="shared" si="223"/>
        <v>17607.399999999994</v>
      </c>
      <c r="V826" s="24">
        <f>V827+V846+V856</f>
        <v>341.6</v>
      </c>
      <c r="W826" s="24">
        <f t="shared" si="224"/>
        <v>17948.999999999993</v>
      </c>
      <c r="X826" s="24">
        <f>X827+X846+X856</f>
        <v>451.6</v>
      </c>
      <c r="Y826" s="24">
        <f t="shared" si="225"/>
        <v>18400.599999999991</v>
      </c>
      <c r="Z826" s="189"/>
    </row>
    <row r="827" spans="1:27" s="6" customFormat="1" ht="24.75" x14ac:dyDescent="0.25">
      <c r="A827" s="22" t="s">
        <v>218</v>
      </c>
      <c r="B827" s="23" t="s">
        <v>194</v>
      </c>
      <c r="C827" s="23" t="s">
        <v>219</v>
      </c>
      <c r="D827" s="23" t="s">
        <v>2</v>
      </c>
      <c r="E827" s="24">
        <f>E831+E843</f>
        <v>11939.8</v>
      </c>
      <c r="F827" s="24">
        <f>F831+F843</f>
        <v>43.5</v>
      </c>
      <c r="G827" s="24">
        <f t="shared" si="227"/>
        <v>11983.3</v>
      </c>
      <c r="H827" s="24">
        <f>H831+H843</f>
        <v>0</v>
      </c>
      <c r="I827" s="24">
        <f t="shared" si="228"/>
        <v>11983.3</v>
      </c>
      <c r="J827" s="24">
        <f>J831+J843</f>
        <v>0</v>
      </c>
      <c r="K827" s="24">
        <f t="shared" si="229"/>
        <v>11983.3</v>
      </c>
      <c r="L827" s="24">
        <f>L831+L843</f>
        <v>-2943.3</v>
      </c>
      <c r="M827" s="24">
        <f t="shared" si="230"/>
        <v>9040</v>
      </c>
      <c r="N827" s="24">
        <f>N831+N843</f>
        <v>1798.6</v>
      </c>
      <c r="O827" s="24">
        <f t="shared" si="231"/>
        <v>10838.6</v>
      </c>
      <c r="P827" s="24">
        <f>P831+P843</f>
        <v>0</v>
      </c>
      <c r="Q827" s="24">
        <f t="shared" si="92"/>
        <v>10838.6</v>
      </c>
      <c r="R827" s="24">
        <f>R831+R843+R828</f>
        <v>-2793.2</v>
      </c>
      <c r="S827" s="24">
        <f t="shared" si="222"/>
        <v>8045.4000000000005</v>
      </c>
      <c r="T827" s="24">
        <f>T831+T843+T828</f>
        <v>0</v>
      </c>
      <c r="U827" s="24">
        <f t="shared" si="223"/>
        <v>8045.4000000000005</v>
      </c>
      <c r="V827" s="24">
        <f>V831+V843+V828+V840</f>
        <v>43.3</v>
      </c>
      <c r="W827" s="24">
        <f t="shared" si="224"/>
        <v>8088.7000000000007</v>
      </c>
      <c r="X827" s="24">
        <f>X831+X843+X828+X840</f>
        <v>553.6</v>
      </c>
      <c r="Y827" s="24">
        <f t="shared" si="225"/>
        <v>8642.3000000000011</v>
      </c>
      <c r="Z827" s="189"/>
    </row>
    <row r="828" spans="1:27" s="6" customFormat="1" x14ac:dyDescent="0.25">
      <c r="A828" s="16" t="s">
        <v>769</v>
      </c>
      <c r="B828" s="20" t="s">
        <v>194</v>
      </c>
      <c r="C828" s="20" t="s">
        <v>1241</v>
      </c>
      <c r="D828" s="20"/>
      <c r="E828" s="24"/>
      <c r="F828" s="24"/>
      <c r="G828" s="24"/>
      <c r="H828" s="24"/>
      <c r="I828" s="24"/>
      <c r="J828" s="24"/>
      <c r="K828" s="24"/>
      <c r="L828" s="24"/>
      <c r="M828" s="24"/>
      <c r="N828" s="24"/>
      <c r="O828" s="24"/>
      <c r="P828" s="24"/>
      <c r="Q828" s="24"/>
      <c r="R828" s="18">
        <f>R829+R830</f>
        <v>106.8</v>
      </c>
      <c r="S828" s="24">
        <f t="shared" si="222"/>
        <v>106.8</v>
      </c>
      <c r="T828" s="18">
        <f>T829+T830</f>
        <v>0</v>
      </c>
      <c r="U828" s="24">
        <f t="shared" si="223"/>
        <v>106.8</v>
      </c>
      <c r="V828" s="18">
        <f>V829+V830</f>
        <v>0</v>
      </c>
      <c r="W828" s="24">
        <f t="shared" si="224"/>
        <v>106.8</v>
      </c>
      <c r="X828" s="18">
        <f>X829+X830</f>
        <v>0</v>
      </c>
      <c r="Y828" s="24">
        <f t="shared" si="225"/>
        <v>106.8</v>
      </c>
      <c r="Z828" s="189"/>
    </row>
    <row r="829" spans="1:27" s="6" customFormat="1" x14ac:dyDescent="0.25">
      <c r="A829" s="17" t="s">
        <v>560</v>
      </c>
      <c r="B829" s="21" t="s">
        <v>194</v>
      </c>
      <c r="C829" s="21" t="s">
        <v>1241</v>
      </c>
      <c r="D829" s="21" t="s">
        <v>12</v>
      </c>
      <c r="E829" s="24"/>
      <c r="F829" s="24"/>
      <c r="G829" s="24"/>
      <c r="H829" s="24"/>
      <c r="I829" s="24"/>
      <c r="J829" s="24"/>
      <c r="K829" s="24"/>
      <c r="L829" s="24"/>
      <c r="M829" s="24"/>
      <c r="N829" s="24"/>
      <c r="O829" s="24"/>
      <c r="P829" s="24"/>
      <c r="Q829" s="24"/>
      <c r="R829" s="43">
        <v>82</v>
      </c>
      <c r="S829" s="24">
        <f t="shared" si="222"/>
        <v>82</v>
      </c>
      <c r="T829" s="69"/>
      <c r="U829" s="24">
        <f t="shared" si="223"/>
        <v>82</v>
      </c>
      <c r="V829" s="69"/>
      <c r="W829" s="24">
        <f t="shared" si="224"/>
        <v>82</v>
      </c>
      <c r="X829" s="69"/>
      <c r="Y829" s="24">
        <f t="shared" si="225"/>
        <v>82</v>
      </c>
      <c r="Z829" s="189"/>
      <c r="AA829" s="189">
        <f t="shared" ref="AA829:AA830" si="233">Y829+Z829</f>
        <v>82</v>
      </c>
    </row>
    <row r="830" spans="1:27" s="6" customFormat="1" ht="36.75" x14ac:dyDescent="0.25">
      <c r="A830" s="17" t="s">
        <v>561</v>
      </c>
      <c r="B830" s="21" t="s">
        <v>194</v>
      </c>
      <c r="C830" s="21" t="s">
        <v>1241</v>
      </c>
      <c r="D830" s="21" t="s">
        <v>13</v>
      </c>
      <c r="E830" s="24"/>
      <c r="F830" s="24"/>
      <c r="G830" s="24"/>
      <c r="H830" s="24"/>
      <c r="I830" s="24"/>
      <c r="J830" s="24"/>
      <c r="K830" s="24"/>
      <c r="L830" s="24"/>
      <c r="M830" s="24"/>
      <c r="N830" s="24"/>
      <c r="O830" s="24"/>
      <c r="P830" s="24"/>
      <c r="Q830" s="24"/>
      <c r="R830" s="43">
        <v>24.8</v>
      </c>
      <c r="S830" s="24">
        <f t="shared" si="222"/>
        <v>24.8</v>
      </c>
      <c r="T830" s="69"/>
      <c r="U830" s="24">
        <f t="shared" si="223"/>
        <v>24.8</v>
      </c>
      <c r="V830" s="69"/>
      <c r="W830" s="24">
        <f t="shared" si="224"/>
        <v>24.8</v>
      </c>
      <c r="X830" s="69"/>
      <c r="Y830" s="24">
        <f t="shared" si="225"/>
        <v>24.8</v>
      </c>
      <c r="Z830" s="189"/>
      <c r="AA830" s="189">
        <f t="shared" si="233"/>
        <v>24.8</v>
      </c>
    </row>
    <row r="831" spans="1:27" s="6" customFormat="1" x14ac:dyDescent="0.25">
      <c r="A831" s="22" t="s">
        <v>52</v>
      </c>
      <c r="B831" s="23" t="s">
        <v>194</v>
      </c>
      <c r="C831" s="23" t="s">
        <v>220</v>
      </c>
      <c r="D831" s="23" t="s">
        <v>2</v>
      </c>
      <c r="E831" s="24">
        <f>E832+E833+E834+E835+E836+E837+E838</f>
        <v>11709.8</v>
      </c>
      <c r="F831" s="24">
        <f>F832+F833+F834+F835+F836+F837+F838</f>
        <v>43.5</v>
      </c>
      <c r="G831" s="24">
        <f t="shared" si="227"/>
        <v>11753.3</v>
      </c>
      <c r="H831" s="24">
        <f>H832+H833+H834+H835+H836+H837+H838</f>
        <v>0</v>
      </c>
      <c r="I831" s="24">
        <f t="shared" si="228"/>
        <v>11753.3</v>
      </c>
      <c r="J831" s="24">
        <f>J832+J833+J834+J835+J836+J837+J838</f>
        <v>0</v>
      </c>
      <c r="K831" s="24">
        <f t="shared" si="229"/>
        <v>11753.3</v>
      </c>
      <c r="L831" s="24">
        <f>L832+L833+L834+L835+L836+L837+L838</f>
        <v>-2943.3</v>
      </c>
      <c r="M831" s="24">
        <f t="shared" si="230"/>
        <v>8810</v>
      </c>
      <c r="N831" s="24">
        <f>N832+N833+N834+N835+N836+N837+N838+N839</f>
        <v>0</v>
      </c>
      <c r="O831" s="24">
        <f t="shared" si="231"/>
        <v>8810</v>
      </c>
      <c r="P831" s="24">
        <f>P832+P833+P834+P835+P836+P837+P838+P839</f>
        <v>0</v>
      </c>
      <c r="Q831" s="24">
        <f t="shared" si="92"/>
        <v>8810</v>
      </c>
      <c r="R831" s="24">
        <f>R832+R833+R834+R835+R836+R837+R838+R839</f>
        <v>-2900</v>
      </c>
      <c r="S831" s="24">
        <f t="shared" si="222"/>
        <v>5910</v>
      </c>
      <c r="T831" s="24">
        <f>T832+T833+T834+T835+T836+T837+T838+T839</f>
        <v>0</v>
      </c>
      <c r="U831" s="24">
        <f t="shared" si="223"/>
        <v>5910</v>
      </c>
      <c r="V831" s="24">
        <f>V832+V833+V834+V835+V836+V837+V838+V839</f>
        <v>0</v>
      </c>
      <c r="W831" s="24">
        <f t="shared" si="224"/>
        <v>5910</v>
      </c>
      <c r="X831" s="24">
        <f>X832+X833+X834+X835+X836+X837+X838+X839</f>
        <v>553.6</v>
      </c>
      <c r="Y831" s="24">
        <f t="shared" si="225"/>
        <v>6463.6</v>
      </c>
      <c r="Z831" s="189"/>
    </row>
    <row r="832" spans="1:27" x14ac:dyDescent="0.25">
      <c r="A832" s="25" t="s">
        <v>560</v>
      </c>
      <c r="B832" s="26" t="s">
        <v>194</v>
      </c>
      <c r="C832" s="26" t="s">
        <v>220</v>
      </c>
      <c r="D832" s="26" t="s">
        <v>12</v>
      </c>
      <c r="E832" s="27">
        <v>7628.2</v>
      </c>
      <c r="F832" s="27"/>
      <c r="G832" s="24">
        <f t="shared" si="227"/>
        <v>7628.2</v>
      </c>
      <c r="H832" s="27"/>
      <c r="I832" s="24">
        <f t="shared" si="228"/>
        <v>7628.2</v>
      </c>
      <c r="J832" s="27"/>
      <c r="K832" s="24">
        <f t="shared" si="229"/>
        <v>7628.2</v>
      </c>
      <c r="L832" s="107">
        <v>-2336.3000000000002</v>
      </c>
      <c r="M832" s="24">
        <f t="shared" si="230"/>
        <v>5291.9</v>
      </c>
      <c r="N832" s="69"/>
      <c r="O832" s="24">
        <f t="shared" si="231"/>
        <v>5291.9</v>
      </c>
      <c r="P832" s="69"/>
      <c r="Q832" s="24">
        <f t="shared" si="92"/>
        <v>5291.9</v>
      </c>
      <c r="R832" s="39">
        <v>-2200</v>
      </c>
      <c r="S832" s="24">
        <f t="shared" si="222"/>
        <v>3091.8999999999996</v>
      </c>
      <c r="T832" s="69"/>
      <c r="U832" s="24">
        <f t="shared" si="223"/>
        <v>3091.8999999999996</v>
      </c>
      <c r="V832" s="69"/>
      <c r="W832" s="24">
        <f t="shared" si="224"/>
        <v>3091.8999999999996</v>
      </c>
      <c r="X832" s="39">
        <v>102</v>
      </c>
      <c r="Y832" s="24">
        <f t="shared" si="225"/>
        <v>3193.8999999999996</v>
      </c>
      <c r="Z832" s="61">
        <v>102</v>
      </c>
      <c r="AA832" s="189">
        <f t="shared" ref="AA832:AA839" si="234">Y832+Z832</f>
        <v>3295.8999999999996</v>
      </c>
    </row>
    <row r="833" spans="1:27" s="6" customFormat="1" ht="24.75" x14ac:dyDescent="0.25">
      <c r="A833" s="25" t="s">
        <v>566</v>
      </c>
      <c r="B833" s="26" t="s">
        <v>194</v>
      </c>
      <c r="C833" s="26" t="s">
        <v>220</v>
      </c>
      <c r="D833" s="26" t="s">
        <v>39</v>
      </c>
      <c r="E833" s="27">
        <v>36.799999999999997</v>
      </c>
      <c r="F833" s="27"/>
      <c r="G833" s="24">
        <f t="shared" si="227"/>
        <v>36.799999999999997</v>
      </c>
      <c r="H833" s="27"/>
      <c r="I833" s="24">
        <f t="shared" si="228"/>
        <v>36.799999999999997</v>
      </c>
      <c r="J833" s="27"/>
      <c r="K833" s="24">
        <f t="shared" si="229"/>
        <v>36.799999999999997</v>
      </c>
      <c r="L833" s="27"/>
      <c r="M833" s="24">
        <f t="shared" si="230"/>
        <v>36.799999999999997</v>
      </c>
      <c r="N833" s="27"/>
      <c r="O833" s="24">
        <f t="shared" si="231"/>
        <v>36.799999999999997</v>
      </c>
      <c r="P833" s="27"/>
      <c r="Q833" s="24">
        <f t="shared" si="92"/>
        <v>36.799999999999997</v>
      </c>
      <c r="R833" s="27"/>
      <c r="S833" s="24">
        <f t="shared" si="222"/>
        <v>36.799999999999997</v>
      </c>
      <c r="T833" s="69"/>
      <c r="U833" s="24">
        <f t="shared" si="223"/>
        <v>36.799999999999997</v>
      </c>
      <c r="V833" s="69"/>
      <c r="W833" s="24">
        <f t="shared" si="224"/>
        <v>36.799999999999997</v>
      </c>
      <c r="X833" s="39">
        <v>22.8</v>
      </c>
      <c r="Y833" s="24">
        <f t="shared" si="225"/>
        <v>59.599999999999994</v>
      </c>
      <c r="Z833" s="193">
        <v>22.8</v>
      </c>
      <c r="AA833" s="189">
        <f t="shared" si="234"/>
        <v>82.399999999999991</v>
      </c>
    </row>
    <row r="834" spans="1:27" ht="36.75" x14ac:dyDescent="0.25">
      <c r="A834" s="25" t="s">
        <v>561</v>
      </c>
      <c r="B834" s="26" t="s">
        <v>194</v>
      </c>
      <c r="C834" s="26" t="s">
        <v>220</v>
      </c>
      <c r="D834" s="26" t="s">
        <v>13</v>
      </c>
      <c r="E834" s="27">
        <v>2303</v>
      </c>
      <c r="F834" s="27"/>
      <c r="G834" s="24">
        <f t="shared" si="227"/>
        <v>2303</v>
      </c>
      <c r="H834" s="27"/>
      <c r="I834" s="24">
        <f t="shared" si="228"/>
        <v>2303</v>
      </c>
      <c r="J834" s="27"/>
      <c r="K834" s="24">
        <f t="shared" si="229"/>
        <v>2303</v>
      </c>
      <c r="L834" s="107">
        <v>-607</v>
      </c>
      <c r="M834" s="24">
        <f t="shared" si="230"/>
        <v>1696</v>
      </c>
      <c r="N834" s="69"/>
      <c r="O834" s="24">
        <f t="shared" si="231"/>
        <v>1696</v>
      </c>
      <c r="P834" s="69"/>
      <c r="Q834" s="24">
        <f t="shared" si="92"/>
        <v>1696</v>
      </c>
      <c r="R834" s="39">
        <v>-700</v>
      </c>
      <c r="S834" s="24">
        <f t="shared" si="222"/>
        <v>996</v>
      </c>
      <c r="T834" s="69"/>
      <c r="U834" s="24">
        <f t="shared" si="223"/>
        <v>996</v>
      </c>
      <c r="V834" s="69"/>
      <c r="W834" s="24">
        <f t="shared" si="224"/>
        <v>996</v>
      </c>
      <c r="X834" s="69"/>
      <c r="Y834" s="24">
        <f t="shared" si="225"/>
        <v>996</v>
      </c>
      <c r="AA834" s="189">
        <f t="shared" si="234"/>
        <v>996</v>
      </c>
    </row>
    <row r="835" spans="1:27" ht="24.75" x14ac:dyDescent="0.25">
      <c r="A835" s="25" t="s">
        <v>562</v>
      </c>
      <c r="B835" s="26" t="s">
        <v>194</v>
      </c>
      <c r="C835" s="26" t="s">
        <v>220</v>
      </c>
      <c r="D835" s="26" t="s">
        <v>40</v>
      </c>
      <c r="E835" s="27">
        <v>209.5</v>
      </c>
      <c r="F835" s="39">
        <v>43.5</v>
      </c>
      <c r="G835" s="24">
        <f t="shared" si="227"/>
        <v>253</v>
      </c>
      <c r="H835" s="69"/>
      <c r="I835" s="24">
        <f t="shared" si="228"/>
        <v>253</v>
      </c>
      <c r="J835" s="69"/>
      <c r="K835" s="24">
        <f t="shared" si="229"/>
        <v>253</v>
      </c>
      <c r="L835" s="107">
        <v>50</v>
      </c>
      <c r="M835" s="24">
        <f t="shared" si="230"/>
        <v>303</v>
      </c>
      <c r="N835" s="69"/>
      <c r="O835" s="24">
        <f t="shared" si="231"/>
        <v>303</v>
      </c>
      <c r="P835" s="69"/>
      <c r="Q835" s="24">
        <f t="shared" si="92"/>
        <v>303</v>
      </c>
      <c r="R835" s="69"/>
      <c r="S835" s="24">
        <f t="shared" si="222"/>
        <v>303</v>
      </c>
      <c r="T835" s="63">
        <v>-20</v>
      </c>
      <c r="U835" s="24">
        <f t="shared" si="223"/>
        <v>283</v>
      </c>
      <c r="V835" s="69"/>
      <c r="W835" s="24">
        <f t="shared" si="224"/>
        <v>283</v>
      </c>
      <c r="X835" s="39">
        <v>109.3</v>
      </c>
      <c r="Y835" s="24">
        <f t="shared" si="225"/>
        <v>392.3</v>
      </c>
      <c r="Z835" s="61">
        <v>109.3</v>
      </c>
      <c r="AA835" s="189">
        <f t="shared" si="234"/>
        <v>501.6</v>
      </c>
    </row>
    <row r="836" spans="1:27" x14ac:dyDescent="0.25">
      <c r="A836" s="25" t="s">
        <v>66</v>
      </c>
      <c r="B836" s="26" t="s">
        <v>194</v>
      </c>
      <c r="C836" s="26" t="s">
        <v>220</v>
      </c>
      <c r="D836" s="26" t="s">
        <v>42</v>
      </c>
      <c r="E836" s="27">
        <v>892.3</v>
      </c>
      <c r="F836" s="27"/>
      <c r="G836" s="24">
        <f t="shared" si="227"/>
        <v>892.3</v>
      </c>
      <c r="H836" s="27"/>
      <c r="I836" s="24">
        <f t="shared" si="228"/>
        <v>892.3</v>
      </c>
      <c r="J836" s="27"/>
      <c r="K836" s="24">
        <f t="shared" si="229"/>
        <v>892.3</v>
      </c>
      <c r="L836" s="107">
        <v>-252.6</v>
      </c>
      <c r="M836" s="24">
        <f t="shared" si="230"/>
        <v>639.69999999999993</v>
      </c>
      <c r="N836" s="69"/>
      <c r="O836" s="24">
        <f t="shared" si="231"/>
        <v>639.69999999999993</v>
      </c>
      <c r="P836" s="69"/>
      <c r="Q836" s="24">
        <f t="shared" si="92"/>
        <v>639.69999999999993</v>
      </c>
      <c r="R836" s="39">
        <v>35</v>
      </c>
      <c r="S836" s="24">
        <f t="shared" si="222"/>
        <v>674.69999999999993</v>
      </c>
      <c r="T836" s="63">
        <v>20</v>
      </c>
      <c r="U836" s="24">
        <f t="shared" si="223"/>
        <v>694.69999999999993</v>
      </c>
      <c r="V836" s="69"/>
      <c r="W836" s="24">
        <f t="shared" si="224"/>
        <v>694.69999999999993</v>
      </c>
      <c r="X836" s="39">
        <v>319.5</v>
      </c>
      <c r="Y836" s="24">
        <f t="shared" si="225"/>
        <v>1014.1999999999999</v>
      </c>
      <c r="AA836" s="189">
        <f t="shared" si="234"/>
        <v>1014.1999999999999</v>
      </c>
    </row>
    <row r="837" spans="1:27" s="6" customFormat="1" x14ac:dyDescent="0.25">
      <c r="A837" s="25" t="s">
        <v>567</v>
      </c>
      <c r="B837" s="26" t="s">
        <v>194</v>
      </c>
      <c r="C837" s="26" t="s">
        <v>220</v>
      </c>
      <c r="D837" s="26" t="s">
        <v>43</v>
      </c>
      <c r="E837" s="27">
        <v>580</v>
      </c>
      <c r="F837" s="27"/>
      <c r="G837" s="24">
        <f t="shared" si="227"/>
        <v>580</v>
      </c>
      <c r="H837" s="27"/>
      <c r="I837" s="24">
        <f t="shared" si="228"/>
        <v>580</v>
      </c>
      <c r="J837" s="27"/>
      <c r="K837" s="24">
        <f t="shared" si="229"/>
        <v>580</v>
      </c>
      <c r="L837" s="107">
        <v>202.6</v>
      </c>
      <c r="M837" s="24">
        <f t="shared" si="230"/>
        <v>782.6</v>
      </c>
      <c r="N837" s="69"/>
      <c r="O837" s="24">
        <f t="shared" si="231"/>
        <v>782.6</v>
      </c>
      <c r="P837" s="69"/>
      <c r="Q837" s="24">
        <f t="shared" si="92"/>
        <v>782.6</v>
      </c>
      <c r="R837" s="69"/>
      <c r="S837" s="24">
        <f t="shared" si="222"/>
        <v>782.6</v>
      </c>
      <c r="T837" s="69"/>
      <c r="U837" s="24">
        <f t="shared" si="223"/>
        <v>782.6</v>
      </c>
      <c r="V837" s="69"/>
      <c r="W837" s="24">
        <f t="shared" si="224"/>
        <v>782.6</v>
      </c>
      <c r="X837" s="69"/>
      <c r="Y837" s="24">
        <f t="shared" si="225"/>
        <v>782.6</v>
      </c>
      <c r="Z837" s="189"/>
      <c r="AA837" s="189">
        <f t="shared" si="234"/>
        <v>782.6</v>
      </c>
    </row>
    <row r="838" spans="1:27" x14ac:dyDescent="0.25">
      <c r="A838" s="25" t="s">
        <v>45</v>
      </c>
      <c r="B838" s="26" t="s">
        <v>194</v>
      </c>
      <c r="C838" s="26" t="s">
        <v>220</v>
      </c>
      <c r="D838" s="26" t="s">
        <v>46</v>
      </c>
      <c r="E838" s="27">
        <v>60</v>
      </c>
      <c r="F838" s="27"/>
      <c r="G838" s="24">
        <f t="shared" si="227"/>
        <v>60</v>
      </c>
      <c r="H838" s="27"/>
      <c r="I838" s="24">
        <f t="shared" si="228"/>
        <v>60</v>
      </c>
      <c r="J838" s="27"/>
      <c r="K838" s="24">
        <f t="shared" si="229"/>
        <v>60</v>
      </c>
      <c r="L838" s="27"/>
      <c r="M838" s="24">
        <f t="shared" si="230"/>
        <v>60</v>
      </c>
      <c r="N838" s="27"/>
      <c r="O838" s="24">
        <f t="shared" si="231"/>
        <v>60</v>
      </c>
      <c r="P838" s="27"/>
      <c r="Q838" s="24">
        <f t="shared" si="92"/>
        <v>60</v>
      </c>
      <c r="R838" s="39">
        <v>-35</v>
      </c>
      <c r="S838" s="24">
        <f t="shared" si="222"/>
        <v>25</v>
      </c>
      <c r="T838" s="69"/>
      <c r="U838" s="24">
        <f t="shared" si="223"/>
        <v>25</v>
      </c>
      <c r="V838" s="69"/>
      <c r="W838" s="24">
        <f t="shared" si="224"/>
        <v>25</v>
      </c>
      <c r="X838" s="69"/>
      <c r="Y838" s="24">
        <f t="shared" si="225"/>
        <v>25</v>
      </c>
      <c r="AA838" s="189">
        <f t="shared" si="234"/>
        <v>25</v>
      </c>
    </row>
    <row r="839" spans="1:27" s="6" customFormat="1" hidden="1" x14ac:dyDescent="0.25">
      <c r="A839" s="64" t="s">
        <v>47</v>
      </c>
      <c r="B839" s="26" t="s">
        <v>194</v>
      </c>
      <c r="C839" s="26" t="s">
        <v>220</v>
      </c>
      <c r="D839" s="26" t="s">
        <v>48</v>
      </c>
      <c r="E839" s="27"/>
      <c r="F839" s="27"/>
      <c r="G839" s="24"/>
      <c r="H839" s="27"/>
      <c r="I839" s="24"/>
      <c r="J839" s="27"/>
      <c r="K839" s="24"/>
      <c r="L839" s="27"/>
      <c r="M839" s="24"/>
      <c r="N839" s="27"/>
      <c r="O839" s="24">
        <f t="shared" si="231"/>
        <v>0</v>
      </c>
      <c r="P839" s="27"/>
      <c r="Q839" s="24">
        <f t="shared" si="92"/>
        <v>0</v>
      </c>
      <c r="R839" s="27"/>
      <c r="S839" s="24">
        <f t="shared" si="222"/>
        <v>0</v>
      </c>
      <c r="T839" s="69"/>
      <c r="U839" s="24">
        <f t="shared" si="223"/>
        <v>0</v>
      </c>
      <c r="V839" s="69"/>
      <c r="W839" s="24">
        <f t="shared" si="224"/>
        <v>0</v>
      </c>
      <c r="X839" s="69"/>
      <c r="Y839" s="24">
        <f t="shared" si="225"/>
        <v>0</v>
      </c>
      <c r="Z839" s="189"/>
      <c r="AA839" s="189">
        <f t="shared" si="234"/>
        <v>0</v>
      </c>
    </row>
    <row r="840" spans="1:27" s="6" customFormat="1" x14ac:dyDescent="0.25">
      <c r="A840" s="100" t="s">
        <v>841</v>
      </c>
      <c r="B840" s="20" t="s">
        <v>194</v>
      </c>
      <c r="C840" s="20" t="s">
        <v>1401</v>
      </c>
      <c r="D840" s="20" t="s">
        <v>2</v>
      </c>
      <c r="E840" s="27"/>
      <c r="F840" s="27"/>
      <c r="G840" s="24"/>
      <c r="H840" s="27"/>
      <c r="I840" s="24"/>
      <c r="J840" s="27"/>
      <c r="K840" s="24"/>
      <c r="L840" s="27"/>
      <c r="M840" s="24"/>
      <c r="N840" s="27"/>
      <c r="O840" s="24"/>
      <c r="P840" s="27"/>
      <c r="Q840" s="24"/>
      <c r="R840" s="27"/>
      <c r="S840" s="24"/>
      <c r="T840" s="69"/>
      <c r="U840" s="24"/>
      <c r="V840" s="47">
        <f>V841+V842</f>
        <v>43.3</v>
      </c>
      <c r="W840" s="24">
        <f t="shared" si="224"/>
        <v>43.3</v>
      </c>
      <c r="X840" s="47">
        <f>X841+X842</f>
        <v>0</v>
      </c>
      <c r="Y840" s="24">
        <f t="shared" si="225"/>
        <v>43.3</v>
      </c>
      <c r="Z840" s="189"/>
    </row>
    <row r="841" spans="1:27" s="6" customFormat="1" x14ac:dyDescent="0.25">
      <c r="A841" s="17" t="s">
        <v>560</v>
      </c>
      <c r="B841" s="21" t="s">
        <v>194</v>
      </c>
      <c r="C841" s="21" t="s">
        <v>1401</v>
      </c>
      <c r="D841" s="21" t="s">
        <v>12</v>
      </c>
      <c r="E841" s="27"/>
      <c r="F841" s="27"/>
      <c r="G841" s="24"/>
      <c r="H841" s="27"/>
      <c r="I841" s="24"/>
      <c r="J841" s="27"/>
      <c r="K841" s="24"/>
      <c r="L841" s="27"/>
      <c r="M841" s="24"/>
      <c r="N841" s="27"/>
      <c r="O841" s="24"/>
      <c r="P841" s="27"/>
      <c r="Q841" s="24"/>
      <c r="R841" s="27"/>
      <c r="S841" s="24"/>
      <c r="T841" s="69"/>
      <c r="U841" s="24"/>
      <c r="V841" s="181">
        <v>33.299999999999997</v>
      </c>
      <c r="W841" s="24">
        <f t="shared" si="224"/>
        <v>33.299999999999997</v>
      </c>
      <c r="X841" s="69"/>
      <c r="Y841" s="24">
        <f t="shared" si="225"/>
        <v>33.299999999999997</v>
      </c>
      <c r="Z841" s="189"/>
      <c r="AA841" s="189">
        <f t="shared" ref="AA841:AA842" si="235">Y841+Z841</f>
        <v>33.299999999999997</v>
      </c>
    </row>
    <row r="842" spans="1:27" s="6" customFormat="1" ht="36.75" x14ac:dyDescent="0.25">
      <c r="A842" s="17" t="s">
        <v>561</v>
      </c>
      <c r="B842" s="21" t="s">
        <v>194</v>
      </c>
      <c r="C842" s="21" t="s">
        <v>1401</v>
      </c>
      <c r="D842" s="21" t="s">
        <v>13</v>
      </c>
      <c r="E842" s="27"/>
      <c r="F842" s="27"/>
      <c r="G842" s="24"/>
      <c r="H842" s="27"/>
      <c r="I842" s="24"/>
      <c r="J842" s="27"/>
      <c r="K842" s="24"/>
      <c r="L842" s="27"/>
      <c r="M842" s="24"/>
      <c r="N842" s="27"/>
      <c r="O842" s="24"/>
      <c r="P842" s="27"/>
      <c r="Q842" s="24"/>
      <c r="R842" s="27"/>
      <c r="S842" s="24"/>
      <c r="T842" s="69"/>
      <c r="U842" s="24"/>
      <c r="V842" s="181">
        <v>10</v>
      </c>
      <c r="W842" s="24">
        <f t="shared" si="224"/>
        <v>10</v>
      </c>
      <c r="X842" s="69"/>
      <c r="Y842" s="24">
        <f t="shared" si="225"/>
        <v>10</v>
      </c>
      <c r="Z842" s="189"/>
      <c r="AA842" s="189">
        <f t="shared" si="235"/>
        <v>10</v>
      </c>
    </row>
    <row r="843" spans="1:27" x14ac:dyDescent="0.25">
      <c r="A843" s="22" t="s">
        <v>49</v>
      </c>
      <c r="B843" s="23" t="s">
        <v>194</v>
      </c>
      <c r="C843" s="23" t="s">
        <v>221</v>
      </c>
      <c r="D843" s="23" t="s">
        <v>2</v>
      </c>
      <c r="E843" s="24">
        <f>E844</f>
        <v>230</v>
      </c>
      <c r="F843" s="24">
        <f>F844</f>
        <v>0</v>
      </c>
      <c r="G843" s="24">
        <f t="shared" si="227"/>
        <v>230</v>
      </c>
      <c r="H843" s="24">
        <f>H844</f>
        <v>0</v>
      </c>
      <c r="I843" s="24">
        <f t="shared" si="228"/>
        <v>230</v>
      </c>
      <c r="J843" s="24">
        <f>J844</f>
        <v>0</v>
      </c>
      <c r="K843" s="24">
        <f t="shared" si="229"/>
        <v>230</v>
      </c>
      <c r="L843" s="24">
        <f>L844</f>
        <v>0</v>
      </c>
      <c r="M843" s="24">
        <f t="shared" si="230"/>
        <v>230</v>
      </c>
      <c r="N843" s="24">
        <f>N844+N845</f>
        <v>1798.6</v>
      </c>
      <c r="O843" s="24">
        <f t="shared" si="231"/>
        <v>2028.6</v>
      </c>
      <c r="P843" s="24">
        <f>P844+P845</f>
        <v>0</v>
      </c>
      <c r="Q843" s="24">
        <f t="shared" si="92"/>
        <v>2028.6</v>
      </c>
      <c r="R843" s="24">
        <f>R844+R845</f>
        <v>0</v>
      </c>
      <c r="S843" s="24">
        <f t="shared" si="222"/>
        <v>2028.6</v>
      </c>
      <c r="T843" s="24">
        <f>T844+T845</f>
        <v>0</v>
      </c>
      <c r="U843" s="24">
        <f t="shared" si="223"/>
        <v>2028.6</v>
      </c>
      <c r="V843" s="24">
        <f>V844+V845</f>
        <v>0</v>
      </c>
      <c r="W843" s="24">
        <f t="shared" si="224"/>
        <v>2028.6</v>
      </c>
      <c r="X843" s="24">
        <f>X844+X845</f>
        <v>0</v>
      </c>
      <c r="Y843" s="24">
        <f t="shared" si="225"/>
        <v>2028.6</v>
      </c>
    </row>
    <row r="844" spans="1:27" s="6" customFormat="1" x14ac:dyDescent="0.25">
      <c r="A844" s="25" t="s">
        <v>578</v>
      </c>
      <c r="B844" s="26" t="s">
        <v>194</v>
      </c>
      <c r="C844" s="26" t="s">
        <v>221</v>
      </c>
      <c r="D844" s="26" t="s">
        <v>44</v>
      </c>
      <c r="E844" s="27">
        <v>230</v>
      </c>
      <c r="F844" s="27"/>
      <c r="G844" s="24">
        <f t="shared" si="227"/>
        <v>230</v>
      </c>
      <c r="H844" s="27"/>
      <c r="I844" s="24">
        <f t="shared" si="228"/>
        <v>230</v>
      </c>
      <c r="J844" s="27"/>
      <c r="K844" s="24">
        <f t="shared" si="229"/>
        <v>230</v>
      </c>
      <c r="L844" s="27"/>
      <c r="M844" s="24">
        <f t="shared" si="230"/>
        <v>230</v>
      </c>
      <c r="N844" s="63">
        <v>1685.8</v>
      </c>
      <c r="O844" s="24">
        <f t="shared" si="231"/>
        <v>1915.8</v>
      </c>
      <c r="P844" s="69"/>
      <c r="Q844" s="24">
        <f t="shared" si="92"/>
        <v>1915.8</v>
      </c>
      <c r="R844" s="69"/>
      <c r="S844" s="24">
        <f t="shared" si="222"/>
        <v>1915.8</v>
      </c>
      <c r="T844" s="69"/>
      <c r="U844" s="24">
        <f t="shared" si="223"/>
        <v>1915.8</v>
      </c>
      <c r="V844" s="69"/>
      <c r="W844" s="24">
        <f t="shared" si="224"/>
        <v>1915.8</v>
      </c>
      <c r="X844" s="69"/>
      <c r="Y844" s="24">
        <f t="shared" si="225"/>
        <v>1915.8</v>
      </c>
      <c r="Z844" s="189"/>
      <c r="AA844" s="189">
        <f t="shared" ref="AA844:AA845" si="236">Y844+Z844</f>
        <v>1915.8</v>
      </c>
    </row>
    <row r="845" spans="1:27" ht="15" customHeight="1" x14ac:dyDescent="0.25">
      <c r="A845" s="64" t="s">
        <v>47</v>
      </c>
      <c r="B845" s="26" t="s">
        <v>194</v>
      </c>
      <c r="C845" s="26" t="s">
        <v>221</v>
      </c>
      <c r="D845" s="26" t="s">
        <v>48</v>
      </c>
      <c r="E845" s="27"/>
      <c r="F845" s="27"/>
      <c r="G845" s="24"/>
      <c r="H845" s="27"/>
      <c r="I845" s="24"/>
      <c r="J845" s="27"/>
      <c r="K845" s="24"/>
      <c r="L845" s="27"/>
      <c r="M845" s="24"/>
      <c r="N845" s="63">
        <v>112.8</v>
      </c>
      <c r="O845" s="24">
        <f t="shared" si="231"/>
        <v>112.8</v>
      </c>
      <c r="P845" s="69"/>
      <c r="Q845" s="24">
        <f t="shared" si="92"/>
        <v>112.8</v>
      </c>
      <c r="R845" s="69"/>
      <c r="S845" s="24">
        <f t="shared" ref="S845:S1164" si="237">Q845+R845</f>
        <v>112.8</v>
      </c>
      <c r="T845" s="69"/>
      <c r="U845" s="24">
        <f t="shared" si="223"/>
        <v>112.8</v>
      </c>
      <c r="V845" s="69"/>
      <c r="W845" s="24">
        <f t="shared" si="224"/>
        <v>112.8</v>
      </c>
      <c r="X845" s="69"/>
      <c r="Y845" s="24">
        <f t="shared" si="225"/>
        <v>112.8</v>
      </c>
      <c r="AA845" s="189">
        <f t="shared" si="236"/>
        <v>112.8</v>
      </c>
    </row>
    <row r="846" spans="1:27" x14ac:dyDescent="0.25">
      <c r="A846" s="22" t="s">
        <v>213</v>
      </c>
      <c r="B846" s="23" t="s">
        <v>194</v>
      </c>
      <c r="C846" s="23" t="s">
        <v>214</v>
      </c>
      <c r="D846" s="23" t="s">
        <v>2</v>
      </c>
      <c r="E846" s="24">
        <f>E851</f>
        <v>1964.8999999999999</v>
      </c>
      <c r="F846" s="24">
        <f>F851</f>
        <v>0</v>
      </c>
      <c r="G846" s="24">
        <f t="shared" si="227"/>
        <v>1964.8999999999999</v>
      </c>
      <c r="H846" s="24">
        <f>H851+H847+H849</f>
        <v>76374.600000000006</v>
      </c>
      <c r="I846" s="24">
        <f t="shared" si="228"/>
        <v>78339.5</v>
      </c>
      <c r="J846" s="24">
        <f>J851+J847+J849</f>
        <v>0</v>
      </c>
      <c r="K846" s="24">
        <f t="shared" si="229"/>
        <v>78339.5</v>
      </c>
      <c r="L846" s="24">
        <f>L851+L847+L849</f>
        <v>-76374.600000000006</v>
      </c>
      <c r="M846" s="24">
        <f t="shared" si="230"/>
        <v>1964.8999999999942</v>
      </c>
      <c r="N846" s="24">
        <f>N851+N847+N849</f>
        <v>0</v>
      </c>
      <c r="O846" s="24">
        <f t="shared" si="231"/>
        <v>1964.8999999999942</v>
      </c>
      <c r="P846" s="24">
        <f>P851+P847+P849</f>
        <v>0</v>
      </c>
      <c r="Q846" s="24">
        <f t="shared" si="92"/>
        <v>1964.8999999999942</v>
      </c>
      <c r="R846" s="24">
        <f>R851+R847+R849</f>
        <v>0</v>
      </c>
      <c r="S846" s="24">
        <f t="shared" si="237"/>
        <v>1964.8999999999942</v>
      </c>
      <c r="T846" s="24">
        <f>T851+T847+T849</f>
        <v>-1961.1</v>
      </c>
      <c r="U846" s="24">
        <f t="shared" si="223"/>
        <v>3.7999999999942702</v>
      </c>
      <c r="V846" s="24">
        <f>V851+V847+V849</f>
        <v>0</v>
      </c>
      <c r="W846" s="24">
        <f t="shared" si="224"/>
        <v>3.7999999999942702</v>
      </c>
      <c r="X846" s="24">
        <f>X851+X847+X849</f>
        <v>0</v>
      </c>
      <c r="Y846" s="24">
        <f t="shared" si="225"/>
        <v>3.7999999999942702</v>
      </c>
    </row>
    <row r="847" spans="1:27" ht="24.75" hidden="1" x14ac:dyDescent="0.25">
      <c r="A847" s="40" t="s">
        <v>247</v>
      </c>
      <c r="B847" s="20" t="s">
        <v>194</v>
      </c>
      <c r="C847" s="41" t="s">
        <v>248</v>
      </c>
      <c r="D847" s="41" t="s">
        <v>2</v>
      </c>
      <c r="E847" s="24"/>
      <c r="F847" s="24"/>
      <c r="G847" s="24"/>
      <c r="H847" s="24">
        <f>H848</f>
        <v>66782</v>
      </c>
      <c r="I847" s="24">
        <f t="shared" si="228"/>
        <v>66782</v>
      </c>
      <c r="J847" s="47">
        <f>J848</f>
        <v>0</v>
      </c>
      <c r="K847" s="24">
        <f t="shared" si="229"/>
        <v>66782</v>
      </c>
      <c r="L847" s="47">
        <f>L848</f>
        <v>-66782</v>
      </c>
      <c r="M847" s="24">
        <f t="shared" si="230"/>
        <v>0</v>
      </c>
      <c r="N847" s="47">
        <f>N848</f>
        <v>0</v>
      </c>
      <c r="O847" s="24">
        <f t="shared" si="231"/>
        <v>0</v>
      </c>
      <c r="P847" s="47">
        <f>P848</f>
        <v>0</v>
      </c>
      <c r="Q847" s="24">
        <f t="shared" si="92"/>
        <v>0</v>
      </c>
      <c r="R847" s="47">
        <f>R848</f>
        <v>0</v>
      </c>
      <c r="S847" s="24">
        <f t="shared" si="237"/>
        <v>0</v>
      </c>
      <c r="T847" s="47">
        <f>T848</f>
        <v>0</v>
      </c>
      <c r="U847" s="24">
        <f t="shared" si="223"/>
        <v>0</v>
      </c>
      <c r="V847" s="47">
        <f>V848</f>
        <v>0</v>
      </c>
      <c r="W847" s="24">
        <f t="shared" si="224"/>
        <v>0</v>
      </c>
      <c r="X847" s="47">
        <f>X848</f>
        <v>0</v>
      </c>
      <c r="Y847" s="24">
        <f t="shared" si="225"/>
        <v>0</v>
      </c>
    </row>
    <row r="848" spans="1:27" s="6" customFormat="1" ht="24.75" hidden="1" x14ac:dyDescent="0.25">
      <c r="A848" s="30" t="s">
        <v>572</v>
      </c>
      <c r="B848" s="21" t="s">
        <v>194</v>
      </c>
      <c r="C848" s="42" t="s">
        <v>248</v>
      </c>
      <c r="D848" s="42" t="s">
        <v>241</v>
      </c>
      <c r="E848" s="24"/>
      <c r="F848" s="24"/>
      <c r="G848" s="24"/>
      <c r="H848" s="43">
        <v>66782</v>
      </c>
      <c r="I848" s="24">
        <f t="shared" si="228"/>
        <v>66782</v>
      </c>
      <c r="J848" s="69"/>
      <c r="K848" s="24">
        <f t="shared" si="229"/>
        <v>66782</v>
      </c>
      <c r="L848" s="43">
        <v>-66782</v>
      </c>
      <c r="M848" s="24">
        <f t="shared" si="230"/>
        <v>0</v>
      </c>
      <c r="N848" s="69"/>
      <c r="O848" s="24">
        <f t="shared" si="231"/>
        <v>0</v>
      </c>
      <c r="P848" s="69"/>
      <c r="Q848" s="24">
        <f t="shared" si="92"/>
        <v>0</v>
      </c>
      <c r="R848" s="69"/>
      <c r="S848" s="24">
        <f t="shared" si="237"/>
        <v>0</v>
      </c>
      <c r="T848" s="69"/>
      <c r="U848" s="24">
        <f t="shared" ref="U848:U1163" si="238">S848+T848</f>
        <v>0</v>
      </c>
      <c r="V848" s="69"/>
      <c r="W848" s="24">
        <f t="shared" si="224"/>
        <v>0</v>
      </c>
      <c r="X848" s="69"/>
      <c r="Y848" s="24">
        <f t="shared" si="225"/>
        <v>0</v>
      </c>
      <c r="Z848" s="189"/>
      <c r="AA848" s="189">
        <f>Y848+Z848</f>
        <v>0</v>
      </c>
    </row>
    <row r="849" spans="1:27" s="6" customFormat="1" ht="48.75" hidden="1" x14ac:dyDescent="0.25">
      <c r="A849" s="40" t="s">
        <v>692</v>
      </c>
      <c r="B849" s="20" t="s">
        <v>194</v>
      </c>
      <c r="C849" s="41" t="s">
        <v>693</v>
      </c>
      <c r="D849" s="41" t="s">
        <v>2</v>
      </c>
      <c r="E849" s="24"/>
      <c r="F849" s="24"/>
      <c r="G849" s="24"/>
      <c r="H849" s="47">
        <f>H850</f>
        <v>9592.6</v>
      </c>
      <c r="I849" s="24">
        <f t="shared" si="228"/>
        <v>9592.6</v>
      </c>
      <c r="J849" s="47">
        <f>J850</f>
        <v>0</v>
      </c>
      <c r="K849" s="24">
        <f t="shared" si="229"/>
        <v>9592.6</v>
      </c>
      <c r="L849" s="47">
        <f>L850</f>
        <v>-9592.6</v>
      </c>
      <c r="M849" s="24">
        <f t="shared" si="230"/>
        <v>0</v>
      </c>
      <c r="N849" s="47">
        <f>N850</f>
        <v>0</v>
      </c>
      <c r="O849" s="24">
        <f t="shared" si="231"/>
        <v>0</v>
      </c>
      <c r="P849" s="47">
        <f>P850</f>
        <v>0</v>
      </c>
      <c r="Q849" s="24">
        <f t="shared" si="92"/>
        <v>0</v>
      </c>
      <c r="R849" s="47">
        <f>R850</f>
        <v>0</v>
      </c>
      <c r="S849" s="24">
        <f t="shared" si="237"/>
        <v>0</v>
      </c>
      <c r="T849" s="47">
        <f>T850</f>
        <v>0</v>
      </c>
      <c r="U849" s="24">
        <f t="shared" si="238"/>
        <v>0</v>
      </c>
      <c r="V849" s="47">
        <f>V850</f>
        <v>0</v>
      </c>
      <c r="W849" s="24">
        <f t="shared" si="224"/>
        <v>0</v>
      </c>
      <c r="X849" s="47">
        <f>X850</f>
        <v>0</v>
      </c>
      <c r="Y849" s="24">
        <f t="shared" si="225"/>
        <v>0</v>
      </c>
      <c r="Z849" s="189"/>
    </row>
    <row r="850" spans="1:27" s="6" customFormat="1" ht="24.75" hidden="1" x14ac:dyDescent="0.25">
      <c r="A850" s="30" t="s">
        <v>572</v>
      </c>
      <c r="B850" s="21" t="s">
        <v>194</v>
      </c>
      <c r="C850" s="42" t="s">
        <v>693</v>
      </c>
      <c r="D850" s="42" t="s">
        <v>241</v>
      </c>
      <c r="E850" s="24"/>
      <c r="F850" s="24"/>
      <c r="G850" s="24"/>
      <c r="H850" s="43">
        <v>9592.6</v>
      </c>
      <c r="I850" s="24">
        <f t="shared" si="228"/>
        <v>9592.6</v>
      </c>
      <c r="J850" s="69"/>
      <c r="K850" s="24">
        <f t="shared" si="229"/>
        <v>9592.6</v>
      </c>
      <c r="L850" s="43">
        <v>-9592.6</v>
      </c>
      <c r="M850" s="24">
        <f t="shared" si="230"/>
        <v>0</v>
      </c>
      <c r="N850" s="69"/>
      <c r="O850" s="24">
        <f t="shared" si="231"/>
        <v>0</v>
      </c>
      <c r="P850" s="69"/>
      <c r="Q850" s="24">
        <f t="shared" si="92"/>
        <v>0</v>
      </c>
      <c r="R850" s="69"/>
      <c r="S850" s="24">
        <f t="shared" si="237"/>
        <v>0</v>
      </c>
      <c r="T850" s="69"/>
      <c r="U850" s="24">
        <f t="shared" si="238"/>
        <v>0</v>
      </c>
      <c r="V850" s="69"/>
      <c r="W850" s="24">
        <f t="shared" si="224"/>
        <v>0</v>
      </c>
      <c r="X850" s="69"/>
      <c r="Y850" s="24">
        <f t="shared" si="225"/>
        <v>0</v>
      </c>
      <c r="Z850" s="189"/>
      <c r="AA850" s="189">
        <f>Y850+Z850</f>
        <v>0</v>
      </c>
    </row>
    <row r="851" spans="1:27" s="6" customFormat="1" ht="48.75" x14ac:dyDescent="0.25">
      <c r="A851" s="22" t="s">
        <v>215</v>
      </c>
      <c r="B851" s="23" t="s">
        <v>194</v>
      </c>
      <c r="C851" s="23" t="s">
        <v>216</v>
      </c>
      <c r="D851" s="23" t="s">
        <v>2</v>
      </c>
      <c r="E851" s="24">
        <f>E852+E853+E854+E855</f>
        <v>1964.8999999999999</v>
      </c>
      <c r="F851" s="24">
        <f>F852+F853+F854+F855</f>
        <v>0</v>
      </c>
      <c r="G851" s="24">
        <f t="shared" si="227"/>
        <v>1964.8999999999999</v>
      </c>
      <c r="H851" s="24">
        <f>H852+H853+H854+H855</f>
        <v>0</v>
      </c>
      <c r="I851" s="24">
        <f t="shared" si="228"/>
        <v>1964.8999999999999</v>
      </c>
      <c r="J851" s="47">
        <f>J852+J853+J854+J855</f>
        <v>0</v>
      </c>
      <c r="K851" s="24">
        <f t="shared" si="229"/>
        <v>1964.8999999999999</v>
      </c>
      <c r="L851" s="47">
        <f>L852+L853+L854+L855</f>
        <v>0</v>
      </c>
      <c r="M851" s="24">
        <f t="shared" si="230"/>
        <v>1964.8999999999999</v>
      </c>
      <c r="N851" s="47">
        <f>N852+N853+N854+N855</f>
        <v>0</v>
      </c>
      <c r="O851" s="24">
        <f t="shared" si="231"/>
        <v>1964.8999999999999</v>
      </c>
      <c r="P851" s="47">
        <f>P852+P853+P854+P855</f>
        <v>0</v>
      </c>
      <c r="Q851" s="24">
        <f t="shared" si="92"/>
        <v>1964.8999999999999</v>
      </c>
      <c r="R851" s="47">
        <f>R852+R853+R854+R855</f>
        <v>0</v>
      </c>
      <c r="S851" s="24">
        <f t="shared" si="237"/>
        <v>1964.8999999999999</v>
      </c>
      <c r="T851" s="47">
        <f>T852+T853+T854+T855</f>
        <v>-1961.1</v>
      </c>
      <c r="U851" s="24">
        <f t="shared" si="238"/>
        <v>3.7999999999999545</v>
      </c>
      <c r="V851" s="47">
        <f>V852+V853+V854+V855</f>
        <v>0</v>
      </c>
      <c r="W851" s="24">
        <f t="shared" si="224"/>
        <v>3.7999999999999545</v>
      </c>
      <c r="X851" s="47">
        <f>X852+X853+X854+X855</f>
        <v>0</v>
      </c>
      <c r="Y851" s="24">
        <f t="shared" si="225"/>
        <v>3.7999999999999545</v>
      </c>
      <c r="Z851" s="189"/>
    </row>
    <row r="852" spans="1:27" x14ac:dyDescent="0.25">
      <c r="A852" s="25" t="s">
        <v>560</v>
      </c>
      <c r="B852" s="26" t="s">
        <v>194</v>
      </c>
      <c r="C852" s="26" t="s">
        <v>216</v>
      </c>
      <c r="D852" s="26" t="s">
        <v>12</v>
      </c>
      <c r="E852" s="27">
        <v>3.5</v>
      </c>
      <c r="F852" s="27"/>
      <c r="G852" s="24">
        <f t="shared" si="227"/>
        <v>3.5</v>
      </c>
      <c r="H852" s="27"/>
      <c r="I852" s="24">
        <f t="shared" si="228"/>
        <v>3.5</v>
      </c>
      <c r="J852" s="27"/>
      <c r="K852" s="24">
        <f t="shared" si="229"/>
        <v>3.5</v>
      </c>
      <c r="L852" s="27"/>
      <c r="M852" s="24">
        <f t="shared" si="230"/>
        <v>3.5</v>
      </c>
      <c r="N852" s="27"/>
      <c r="O852" s="24">
        <f t="shared" si="231"/>
        <v>3.5</v>
      </c>
      <c r="P852" s="27"/>
      <c r="Q852" s="24">
        <f t="shared" si="92"/>
        <v>3.5</v>
      </c>
      <c r="R852" s="27"/>
      <c r="S852" s="24">
        <f t="shared" si="237"/>
        <v>3.5</v>
      </c>
      <c r="T852" s="125">
        <v>-0.8</v>
      </c>
      <c r="U852" s="24">
        <f t="shared" si="238"/>
        <v>2.7</v>
      </c>
      <c r="V852" s="69"/>
      <c r="W852" s="24">
        <f t="shared" si="224"/>
        <v>2.7</v>
      </c>
      <c r="X852" s="69"/>
      <c r="Y852" s="24">
        <f t="shared" si="225"/>
        <v>2.7</v>
      </c>
      <c r="AA852" s="189">
        <f t="shared" ref="AA852:AA855" si="239">Y852+Z852</f>
        <v>2.7</v>
      </c>
    </row>
    <row r="853" spans="1:27" s="6" customFormat="1" ht="36.75" x14ac:dyDescent="0.25">
      <c r="A853" s="25" t="s">
        <v>561</v>
      </c>
      <c r="B853" s="26" t="s">
        <v>194</v>
      </c>
      <c r="C853" s="26" t="s">
        <v>216</v>
      </c>
      <c r="D853" s="26" t="s">
        <v>13</v>
      </c>
      <c r="E853" s="27">
        <v>1</v>
      </c>
      <c r="F853" s="27"/>
      <c r="G853" s="24">
        <f t="shared" si="227"/>
        <v>1</v>
      </c>
      <c r="H853" s="27"/>
      <c r="I853" s="24">
        <f t="shared" si="228"/>
        <v>1</v>
      </c>
      <c r="J853" s="27"/>
      <c r="K853" s="24">
        <f t="shared" si="229"/>
        <v>1</v>
      </c>
      <c r="L853" s="27"/>
      <c r="M853" s="24">
        <f t="shared" si="230"/>
        <v>1</v>
      </c>
      <c r="N853" s="27"/>
      <c r="O853" s="24">
        <f t="shared" si="231"/>
        <v>1</v>
      </c>
      <c r="P853" s="27"/>
      <c r="Q853" s="24">
        <f t="shared" si="92"/>
        <v>1</v>
      </c>
      <c r="R853" s="27"/>
      <c r="S853" s="24">
        <f t="shared" si="237"/>
        <v>1</v>
      </c>
      <c r="T853" s="125">
        <v>0.1</v>
      </c>
      <c r="U853" s="24">
        <f t="shared" si="238"/>
        <v>1.1000000000000001</v>
      </c>
      <c r="V853" s="69"/>
      <c r="W853" s="24">
        <f t="shared" si="224"/>
        <v>1.1000000000000001</v>
      </c>
      <c r="X853" s="69"/>
      <c r="Y853" s="24">
        <f t="shared" si="225"/>
        <v>1.1000000000000001</v>
      </c>
      <c r="Z853" s="189"/>
      <c r="AA853" s="189">
        <f t="shared" si="239"/>
        <v>1.1000000000000001</v>
      </c>
    </row>
    <row r="854" spans="1:27" s="6" customFormat="1" hidden="1" x14ac:dyDescent="0.25">
      <c r="A854" s="25" t="s">
        <v>66</v>
      </c>
      <c r="B854" s="26" t="s">
        <v>194</v>
      </c>
      <c r="C854" s="26" t="s">
        <v>216</v>
      </c>
      <c r="D854" s="26" t="s">
        <v>42</v>
      </c>
      <c r="E854" s="27">
        <v>0.3</v>
      </c>
      <c r="F854" s="27"/>
      <c r="G854" s="24">
        <f t="shared" si="227"/>
        <v>0.3</v>
      </c>
      <c r="H854" s="27"/>
      <c r="I854" s="24">
        <f t="shared" si="228"/>
        <v>0.3</v>
      </c>
      <c r="J854" s="27"/>
      <c r="K854" s="24">
        <f t="shared" si="229"/>
        <v>0.3</v>
      </c>
      <c r="L854" s="27"/>
      <c r="M854" s="24">
        <f t="shared" si="230"/>
        <v>0.3</v>
      </c>
      <c r="N854" s="27"/>
      <c r="O854" s="24">
        <f t="shared" si="231"/>
        <v>0.3</v>
      </c>
      <c r="P854" s="27"/>
      <c r="Q854" s="24">
        <f t="shared" si="92"/>
        <v>0.3</v>
      </c>
      <c r="R854" s="27"/>
      <c r="S854" s="24">
        <f t="shared" si="237"/>
        <v>0.3</v>
      </c>
      <c r="T854" s="125">
        <v>-0.3</v>
      </c>
      <c r="U854" s="24">
        <f t="shared" si="238"/>
        <v>0</v>
      </c>
      <c r="V854" s="69"/>
      <c r="W854" s="24">
        <f t="shared" si="224"/>
        <v>0</v>
      </c>
      <c r="X854" s="69"/>
      <c r="Y854" s="24">
        <f t="shared" si="225"/>
        <v>0</v>
      </c>
      <c r="Z854" s="189"/>
      <c r="AA854" s="189">
        <f t="shared" si="239"/>
        <v>0</v>
      </c>
    </row>
    <row r="855" spans="1:27" ht="36.75" hidden="1" x14ac:dyDescent="0.25">
      <c r="A855" s="25" t="s">
        <v>577</v>
      </c>
      <c r="B855" s="26" t="s">
        <v>194</v>
      </c>
      <c r="C855" s="26" t="s">
        <v>216</v>
      </c>
      <c r="D855" s="26" t="s">
        <v>217</v>
      </c>
      <c r="E855" s="27">
        <v>1960.1</v>
      </c>
      <c r="F855" s="27"/>
      <c r="G855" s="24">
        <f t="shared" si="227"/>
        <v>1960.1</v>
      </c>
      <c r="H855" s="27"/>
      <c r="I855" s="24">
        <f t="shared" si="228"/>
        <v>1960.1</v>
      </c>
      <c r="J855" s="27"/>
      <c r="K855" s="24">
        <f t="shared" si="229"/>
        <v>1960.1</v>
      </c>
      <c r="L855" s="27"/>
      <c r="M855" s="24">
        <f t="shared" si="230"/>
        <v>1960.1</v>
      </c>
      <c r="N855" s="27"/>
      <c r="O855" s="24">
        <f t="shared" si="231"/>
        <v>1960.1</v>
      </c>
      <c r="P855" s="27"/>
      <c r="Q855" s="24">
        <f t="shared" si="92"/>
        <v>1960.1</v>
      </c>
      <c r="R855" s="27"/>
      <c r="S855" s="24">
        <f t="shared" si="237"/>
        <v>1960.1</v>
      </c>
      <c r="T855" s="125">
        <v>-1960.1</v>
      </c>
      <c r="U855" s="24">
        <f t="shared" si="238"/>
        <v>0</v>
      </c>
      <c r="V855" s="69"/>
      <c r="W855" s="24">
        <f t="shared" si="224"/>
        <v>0</v>
      </c>
      <c r="X855" s="69"/>
      <c r="Y855" s="24">
        <f t="shared" si="225"/>
        <v>0</v>
      </c>
      <c r="AA855" s="189">
        <f t="shared" si="239"/>
        <v>0</v>
      </c>
    </row>
    <row r="856" spans="1:27" s="6" customFormat="1" x14ac:dyDescent="0.25">
      <c r="A856" s="16" t="s">
        <v>35</v>
      </c>
      <c r="B856" s="20" t="s">
        <v>194</v>
      </c>
      <c r="C856" s="20" t="s">
        <v>633</v>
      </c>
      <c r="D856" s="20"/>
      <c r="E856" s="18">
        <f>E863</f>
        <v>2736.7</v>
      </c>
      <c r="F856" s="18">
        <f>F863</f>
        <v>0</v>
      </c>
      <c r="G856" s="24">
        <f t="shared" si="227"/>
        <v>2736.7</v>
      </c>
      <c r="H856" s="18">
        <f>H863</f>
        <v>0</v>
      </c>
      <c r="I856" s="24">
        <f t="shared" si="228"/>
        <v>2736.7</v>
      </c>
      <c r="J856" s="18">
        <f>J863</f>
        <v>0</v>
      </c>
      <c r="K856" s="24">
        <f t="shared" si="229"/>
        <v>2736.7</v>
      </c>
      <c r="L856" s="18">
        <f>L863</f>
        <v>2943.3</v>
      </c>
      <c r="M856" s="24">
        <f t="shared" si="230"/>
        <v>5680</v>
      </c>
      <c r="N856" s="18">
        <f>N863</f>
        <v>1.4432899320127035E-15</v>
      </c>
      <c r="O856" s="24">
        <f t="shared" si="231"/>
        <v>5680</v>
      </c>
      <c r="P856" s="18">
        <f>P863</f>
        <v>0</v>
      </c>
      <c r="Q856" s="24">
        <f t="shared" si="92"/>
        <v>5680</v>
      </c>
      <c r="R856" s="18">
        <f>R863</f>
        <v>3878.2</v>
      </c>
      <c r="S856" s="24">
        <f t="shared" si="237"/>
        <v>9558.2000000000007</v>
      </c>
      <c r="T856" s="18">
        <f>T863</f>
        <v>0</v>
      </c>
      <c r="U856" s="24">
        <f t="shared" si="238"/>
        <v>9558.2000000000007</v>
      </c>
      <c r="V856" s="18">
        <f>V863+V860+V857</f>
        <v>298.3</v>
      </c>
      <c r="W856" s="24">
        <f t="shared" si="224"/>
        <v>9856.5</v>
      </c>
      <c r="X856" s="18">
        <f>X863+X860+X857</f>
        <v>-102</v>
      </c>
      <c r="Y856" s="24">
        <f t="shared" si="225"/>
        <v>9754.5</v>
      </c>
      <c r="Z856" s="189"/>
    </row>
    <row r="857" spans="1:27" s="6" customFormat="1" x14ac:dyDescent="0.25">
      <c r="A857" s="16" t="s">
        <v>769</v>
      </c>
      <c r="B857" s="20" t="s">
        <v>194</v>
      </c>
      <c r="C857" s="20" t="s">
        <v>1409</v>
      </c>
      <c r="D857" s="20" t="s">
        <v>2</v>
      </c>
      <c r="E857" s="18"/>
      <c r="F857" s="18"/>
      <c r="G857" s="24"/>
      <c r="H857" s="18"/>
      <c r="I857" s="24"/>
      <c r="J857" s="18"/>
      <c r="K857" s="24"/>
      <c r="L857" s="18"/>
      <c r="M857" s="24"/>
      <c r="N857" s="18"/>
      <c r="O857" s="24"/>
      <c r="P857" s="18"/>
      <c r="Q857" s="24"/>
      <c r="R857" s="18"/>
      <c r="S857" s="24"/>
      <c r="T857" s="18"/>
      <c r="U857" s="24"/>
      <c r="V857" s="18">
        <f>V858+V859</f>
        <v>193.10000000000002</v>
      </c>
      <c r="W857" s="24">
        <f t="shared" si="224"/>
        <v>193.10000000000002</v>
      </c>
      <c r="X857" s="18">
        <f>X858+X859</f>
        <v>0</v>
      </c>
      <c r="Y857" s="24">
        <f t="shared" si="225"/>
        <v>193.10000000000002</v>
      </c>
      <c r="Z857" s="189"/>
    </row>
    <row r="858" spans="1:27" s="6" customFormat="1" x14ac:dyDescent="0.25">
      <c r="A858" s="17" t="s">
        <v>564</v>
      </c>
      <c r="B858" s="21" t="s">
        <v>194</v>
      </c>
      <c r="C858" s="21" t="s">
        <v>1409</v>
      </c>
      <c r="D858" s="21" t="s">
        <v>86</v>
      </c>
      <c r="E858" s="18"/>
      <c r="F858" s="18"/>
      <c r="G858" s="24"/>
      <c r="H858" s="18"/>
      <c r="I858" s="24"/>
      <c r="J858" s="18"/>
      <c r="K858" s="24"/>
      <c r="L858" s="18"/>
      <c r="M858" s="24"/>
      <c r="N858" s="18"/>
      <c r="O858" s="24"/>
      <c r="P858" s="18"/>
      <c r="Q858" s="24"/>
      <c r="R858" s="18"/>
      <c r="S858" s="24"/>
      <c r="T858" s="18"/>
      <c r="U858" s="24"/>
      <c r="V858" s="185">
        <v>148.30000000000001</v>
      </c>
      <c r="W858" s="24">
        <f t="shared" si="224"/>
        <v>148.30000000000001</v>
      </c>
      <c r="X858" s="84"/>
      <c r="Y858" s="24">
        <f t="shared" si="225"/>
        <v>148.30000000000001</v>
      </c>
      <c r="Z858" s="189"/>
      <c r="AA858" s="189">
        <f t="shared" ref="AA858:AA859" si="240">Y858+Z858</f>
        <v>148.30000000000001</v>
      </c>
    </row>
    <row r="859" spans="1:27" s="6" customFormat="1" ht="24.75" x14ac:dyDescent="0.25">
      <c r="A859" s="17" t="s">
        <v>565</v>
      </c>
      <c r="B859" s="21" t="s">
        <v>194</v>
      </c>
      <c r="C859" s="21" t="s">
        <v>1409</v>
      </c>
      <c r="D859" s="21" t="s">
        <v>89</v>
      </c>
      <c r="E859" s="18"/>
      <c r="F859" s="18"/>
      <c r="G859" s="24"/>
      <c r="H859" s="18"/>
      <c r="I859" s="24"/>
      <c r="J859" s="18"/>
      <c r="K859" s="24"/>
      <c r="L859" s="18"/>
      <c r="M859" s="24"/>
      <c r="N859" s="18"/>
      <c r="O859" s="24"/>
      <c r="P859" s="18"/>
      <c r="Q859" s="24"/>
      <c r="R859" s="18"/>
      <c r="S859" s="24"/>
      <c r="T859" s="18"/>
      <c r="U859" s="24"/>
      <c r="V859" s="185">
        <v>44.8</v>
      </c>
      <c r="W859" s="24">
        <f t="shared" si="224"/>
        <v>44.8</v>
      </c>
      <c r="X859" s="84"/>
      <c r="Y859" s="24">
        <f t="shared" si="225"/>
        <v>44.8</v>
      </c>
      <c r="Z859" s="189"/>
      <c r="AA859" s="189">
        <f t="shared" si="240"/>
        <v>44.8</v>
      </c>
    </row>
    <row r="860" spans="1:27" s="6" customFormat="1" x14ac:dyDescent="0.25">
      <c r="A860" s="100" t="s">
        <v>841</v>
      </c>
      <c r="B860" s="20" t="s">
        <v>194</v>
      </c>
      <c r="C860" s="20" t="s">
        <v>1402</v>
      </c>
      <c r="D860" s="20" t="s">
        <v>2</v>
      </c>
      <c r="E860" s="18"/>
      <c r="F860" s="18"/>
      <c r="G860" s="24"/>
      <c r="H860" s="18"/>
      <c r="I860" s="24"/>
      <c r="J860" s="18"/>
      <c r="K860" s="24"/>
      <c r="L860" s="18"/>
      <c r="M860" s="24"/>
      <c r="N860" s="18"/>
      <c r="O860" s="24"/>
      <c r="P860" s="18"/>
      <c r="Q860" s="24"/>
      <c r="R860" s="18"/>
      <c r="S860" s="24"/>
      <c r="T860" s="18"/>
      <c r="U860" s="24"/>
      <c r="V860" s="18">
        <f>V861+V862</f>
        <v>105.19999999999999</v>
      </c>
      <c r="W860" s="24">
        <f t="shared" si="224"/>
        <v>105.19999999999999</v>
      </c>
      <c r="X860" s="18">
        <f>X861+X862</f>
        <v>0</v>
      </c>
      <c r="Y860" s="24">
        <f t="shared" si="225"/>
        <v>105.19999999999999</v>
      </c>
      <c r="Z860" s="189"/>
    </row>
    <row r="861" spans="1:27" s="6" customFormat="1" x14ac:dyDescent="0.25">
      <c r="A861" s="17" t="s">
        <v>564</v>
      </c>
      <c r="B861" s="21" t="s">
        <v>194</v>
      </c>
      <c r="C861" s="21" t="s">
        <v>1402</v>
      </c>
      <c r="D861" s="21" t="s">
        <v>86</v>
      </c>
      <c r="E861" s="18"/>
      <c r="F861" s="18"/>
      <c r="G861" s="24"/>
      <c r="H861" s="18"/>
      <c r="I861" s="24"/>
      <c r="J861" s="18"/>
      <c r="K861" s="24"/>
      <c r="L861" s="18"/>
      <c r="M861" s="24"/>
      <c r="N861" s="18"/>
      <c r="O861" s="24"/>
      <c r="P861" s="18"/>
      <c r="Q861" s="24"/>
      <c r="R861" s="18"/>
      <c r="S861" s="24"/>
      <c r="T861" s="18"/>
      <c r="U861" s="24"/>
      <c r="V861" s="181">
        <v>80.8</v>
      </c>
      <c r="W861" s="24">
        <f t="shared" si="224"/>
        <v>80.8</v>
      </c>
      <c r="X861" s="69"/>
      <c r="Y861" s="24">
        <f t="shared" si="225"/>
        <v>80.8</v>
      </c>
      <c r="Z861" s="189"/>
      <c r="AA861" s="189">
        <f t="shared" ref="AA861:AA862" si="241">Y861+Z861</f>
        <v>80.8</v>
      </c>
    </row>
    <row r="862" spans="1:27" s="6" customFormat="1" ht="24.75" x14ac:dyDescent="0.25">
      <c r="A862" s="17" t="s">
        <v>565</v>
      </c>
      <c r="B862" s="21" t="s">
        <v>194</v>
      </c>
      <c r="C862" s="21" t="s">
        <v>1402</v>
      </c>
      <c r="D862" s="21" t="s">
        <v>89</v>
      </c>
      <c r="E862" s="18"/>
      <c r="F862" s="18"/>
      <c r="G862" s="24"/>
      <c r="H862" s="18"/>
      <c r="I862" s="24"/>
      <c r="J862" s="18"/>
      <c r="K862" s="24"/>
      <c r="L862" s="18"/>
      <c r="M862" s="24"/>
      <c r="N862" s="18"/>
      <c r="O862" s="24"/>
      <c r="P862" s="18"/>
      <c r="Q862" s="24"/>
      <c r="R862" s="18"/>
      <c r="S862" s="24"/>
      <c r="T862" s="18"/>
      <c r="U862" s="24"/>
      <c r="V862" s="181">
        <v>24.4</v>
      </c>
      <c r="W862" s="24">
        <f t="shared" si="224"/>
        <v>24.4</v>
      </c>
      <c r="X862" s="69"/>
      <c r="Y862" s="24">
        <f t="shared" si="225"/>
        <v>24.4</v>
      </c>
      <c r="Z862" s="189"/>
      <c r="AA862" s="189">
        <f t="shared" si="241"/>
        <v>24.4</v>
      </c>
    </row>
    <row r="863" spans="1:27" s="6" customFormat="1" ht="36.75" x14ac:dyDescent="0.25">
      <c r="A863" s="16" t="s">
        <v>37</v>
      </c>
      <c r="B863" s="20" t="s">
        <v>194</v>
      </c>
      <c r="C863" s="20" t="s">
        <v>634</v>
      </c>
      <c r="D863" s="20" t="s">
        <v>2</v>
      </c>
      <c r="E863" s="18">
        <f>E864+E866</f>
        <v>2736.7</v>
      </c>
      <c r="F863" s="18">
        <f>F864+F866</f>
        <v>0</v>
      </c>
      <c r="G863" s="24">
        <f t="shared" si="227"/>
        <v>2736.7</v>
      </c>
      <c r="H863" s="18">
        <f>H864+H866</f>
        <v>0</v>
      </c>
      <c r="I863" s="24">
        <f t="shared" si="228"/>
        <v>2736.7</v>
      </c>
      <c r="J863" s="18">
        <f>J864+J866</f>
        <v>0</v>
      </c>
      <c r="K863" s="24">
        <f t="shared" si="229"/>
        <v>2736.7</v>
      </c>
      <c r="L863" s="18">
        <f>L864+L866</f>
        <v>2943.3</v>
      </c>
      <c r="M863" s="24">
        <f t="shared" si="230"/>
        <v>5680</v>
      </c>
      <c r="N863" s="18">
        <f>N864+N866+N865+N867</f>
        <v>1.4432899320127035E-15</v>
      </c>
      <c r="O863" s="24">
        <f t="shared" si="231"/>
        <v>5680</v>
      </c>
      <c r="P863" s="18">
        <f>P864+P866+P865+P867</f>
        <v>0</v>
      </c>
      <c r="Q863" s="24">
        <f t="shared" si="92"/>
        <v>5680</v>
      </c>
      <c r="R863" s="18">
        <f>R864+R866+R865+R867</f>
        <v>3878.2</v>
      </c>
      <c r="S863" s="24">
        <f t="shared" si="237"/>
        <v>9558.2000000000007</v>
      </c>
      <c r="T863" s="18">
        <f>T864+T866+T865+T867</f>
        <v>0</v>
      </c>
      <c r="U863" s="24">
        <f t="shared" si="238"/>
        <v>9558.2000000000007</v>
      </c>
      <c r="V863" s="18">
        <f>V864+V866+V865+V867</f>
        <v>0</v>
      </c>
      <c r="W863" s="24">
        <f t="shared" si="224"/>
        <v>9558.2000000000007</v>
      </c>
      <c r="X863" s="18">
        <f>X864+X866+X865+X867</f>
        <v>-102</v>
      </c>
      <c r="Y863" s="24">
        <f t="shared" si="225"/>
        <v>9456.2000000000007</v>
      </c>
      <c r="Z863" s="189"/>
    </row>
    <row r="864" spans="1:27" x14ac:dyDescent="0.25">
      <c r="A864" s="17" t="s">
        <v>564</v>
      </c>
      <c r="B864" s="21" t="s">
        <v>194</v>
      </c>
      <c r="C864" s="21" t="s">
        <v>634</v>
      </c>
      <c r="D864" s="21" t="s">
        <v>86</v>
      </c>
      <c r="E864" s="19">
        <v>2101.6999999999998</v>
      </c>
      <c r="F864" s="19"/>
      <c r="G864" s="24">
        <f t="shared" si="227"/>
        <v>2101.6999999999998</v>
      </c>
      <c r="H864" s="19"/>
      <c r="I864" s="24">
        <f t="shared" si="228"/>
        <v>2101.6999999999998</v>
      </c>
      <c r="J864" s="19"/>
      <c r="K864" s="24">
        <f t="shared" si="229"/>
        <v>2101.6999999999998</v>
      </c>
      <c r="L864" s="107">
        <v>2336.3000000000002</v>
      </c>
      <c r="M864" s="24">
        <f t="shared" si="230"/>
        <v>4438</v>
      </c>
      <c r="N864" s="63">
        <v>-63.4</v>
      </c>
      <c r="O864" s="24">
        <f t="shared" si="231"/>
        <v>4374.6000000000004</v>
      </c>
      <c r="P864" s="69"/>
      <c r="Q864" s="24">
        <f t="shared" ref="Q864:Q972" si="242">O864+P864</f>
        <v>4374.6000000000004</v>
      </c>
      <c r="R864" s="39">
        <f>801.1+2200</f>
        <v>3001.1</v>
      </c>
      <c r="S864" s="24">
        <f t="shared" si="237"/>
        <v>7375.7000000000007</v>
      </c>
      <c r="T864" s="69"/>
      <c r="U864" s="24">
        <f t="shared" si="238"/>
        <v>7375.7000000000007</v>
      </c>
      <c r="V864" s="69"/>
      <c r="W864" s="24">
        <f t="shared" si="224"/>
        <v>7375.7000000000007</v>
      </c>
      <c r="X864" s="39">
        <v>-102</v>
      </c>
      <c r="Y864" s="24">
        <f t="shared" si="225"/>
        <v>7273.7000000000007</v>
      </c>
      <c r="Z864" s="61">
        <v>-102</v>
      </c>
      <c r="AA864" s="189">
        <f t="shared" ref="AA864:AA867" si="243">Y864+Z864</f>
        <v>7171.7000000000007</v>
      </c>
    </row>
    <row r="865" spans="1:27" s="6" customFormat="1" ht="28.5" customHeight="1" x14ac:dyDescent="0.25">
      <c r="A865" s="30" t="s">
        <v>87</v>
      </c>
      <c r="B865" s="21" t="s">
        <v>194</v>
      </c>
      <c r="C865" s="21" t="s">
        <v>634</v>
      </c>
      <c r="D865" s="21" t="s">
        <v>88</v>
      </c>
      <c r="E865" s="19"/>
      <c r="F865" s="19"/>
      <c r="G865" s="24"/>
      <c r="H865" s="19"/>
      <c r="I865" s="24"/>
      <c r="J865" s="19"/>
      <c r="K865" s="24"/>
      <c r="L865" s="107"/>
      <c r="M865" s="24"/>
      <c r="N865" s="63">
        <v>63</v>
      </c>
      <c r="O865" s="24">
        <f t="shared" si="231"/>
        <v>63</v>
      </c>
      <c r="P865" s="69"/>
      <c r="Q865" s="24">
        <f t="shared" si="242"/>
        <v>63</v>
      </c>
      <c r="R865" s="69"/>
      <c r="S865" s="24">
        <f t="shared" si="237"/>
        <v>63</v>
      </c>
      <c r="T865" s="69"/>
      <c r="U865" s="24">
        <f t="shared" si="238"/>
        <v>63</v>
      </c>
      <c r="V865" s="69"/>
      <c r="W865" s="24">
        <f t="shared" si="224"/>
        <v>63</v>
      </c>
      <c r="X865" s="69"/>
      <c r="Y865" s="24">
        <f t="shared" si="225"/>
        <v>63</v>
      </c>
      <c r="Z865" s="189"/>
      <c r="AA865" s="189">
        <f t="shared" si="243"/>
        <v>63</v>
      </c>
    </row>
    <row r="866" spans="1:27" s="6" customFormat="1" ht="24.75" x14ac:dyDescent="0.25">
      <c r="A866" s="17" t="s">
        <v>565</v>
      </c>
      <c r="B866" s="21" t="s">
        <v>194</v>
      </c>
      <c r="C866" s="21" t="s">
        <v>634</v>
      </c>
      <c r="D866" s="21" t="s">
        <v>89</v>
      </c>
      <c r="E866" s="19">
        <v>635</v>
      </c>
      <c r="F866" s="19"/>
      <c r="G866" s="24">
        <f t="shared" si="227"/>
        <v>635</v>
      </c>
      <c r="H866" s="19"/>
      <c r="I866" s="24">
        <f t="shared" si="228"/>
        <v>635</v>
      </c>
      <c r="J866" s="19"/>
      <c r="K866" s="24">
        <f t="shared" si="229"/>
        <v>635</v>
      </c>
      <c r="L866" s="107">
        <v>607</v>
      </c>
      <c r="M866" s="24">
        <f t="shared" si="230"/>
        <v>1242</v>
      </c>
      <c r="N866" s="69"/>
      <c r="O866" s="24">
        <f t="shared" si="231"/>
        <v>1242</v>
      </c>
      <c r="P866" s="69"/>
      <c r="Q866" s="24">
        <f t="shared" si="242"/>
        <v>1242</v>
      </c>
      <c r="R866" s="39">
        <f>177.1+700</f>
        <v>877.1</v>
      </c>
      <c r="S866" s="24">
        <f t="shared" si="237"/>
        <v>2119.1</v>
      </c>
      <c r="T866" s="69"/>
      <c r="U866" s="24">
        <f t="shared" si="238"/>
        <v>2119.1</v>
      </c>
      <c r="V866" s="69"/>
      <c r="W866" s="24">
        <f t="shared" si="224"/>
        <v>2119.1</v>
      </c>
      <c r="X866" s="69"/>
      <c r="Y866" s="24">
        <f t="shared" si="225"/>
        <v>2119.1</v>
      </c>
      <c r="Z866" s="189"/>
      <c r="AA866" s="189">
        <f t="shared" si="243"/>
        <v>2119.1</v>
      </c>
    </row>
    <row r="867" spans="1:27" x14ac:dyDescent="0.25">
      <c r="A867" s="30" t="s">
        <v>47</v>
      </c>
      <c r="B867" s="21" t="s">
        <v>194</v>
      </c>
      <c r="C867" s="21" t="s">
        <v>634</v>
      </c>
      <c r="D867" s="21" t="s">
        <v>48</v>
      </c>
      <c r="E867" s="19"/>
      <c r="F867" s="19"/>
      <c r="G867" s="24"/>
      <c r="H867" s="19"/>
      <c r="I867" s="24"/>
      <c r="J867" s="19"/>
      <c r="K867" s="24"/>
      <c r="L867" s="107"/>
      <c r="M867" s="24"/>
      <c r="N867" s="63">
        <v>0.4</v>
      </c>
      <c r="O867" s="24">
        <f t="shared" si="231"/>
        <v>0.4</v>
      </c>
      <c r="P867" s="69"/>
      <c r="Q867" s="24">
        <f t="shared" si="242"/>
        <v>0.4</v>
      </c>
      <c r="R867" s="69"/>
      <c r="S867" s="24">
        <f t="shared" si="237"/>
        <v>0.4</v>
      </c>
      <c r="T867" s="69"/>
      <c r="U867" s="24">
        <f t="shared" si="238"/>
        <v>0.4</v>
      </c>
      <c r="V867" s="69"/>
      <c r="W867" s="24">
        <f t="shared" si="224"/>
        <v>0.4</v>
      </c>
      <c r="X867" s="69"/>
      <c r="Y867" s="24">
        <f t="shared" si="225"/>
        <v>0.4</v>
      </c>
      <c r="AA867" s="189">
        <f t="shared" si="243"/>
        <v>0.4</v>
      </c>
    </row>
    <row r="868" spans="1:27" ht="24.75" x14ac:dyDescent="0.25">
      <c r="A868" s="16" t="s">
        <v>1254</v>
      </c>
      <c r="B868" s="20" t="s">
        <v>194</v>
      </c>
      <c r="C868" s="20" t="s">
        <v>258</v>
      </c>
      <c r="D868" s="21"/>
      <c r="E868" s="19"/>
      <c r="F868" s="19"/>
      <c r="G868" s="24"/>
      <c r="H868" s="19"/>
      <c r="I868" s="24"/>
      <c r="J868" s="19"/>
      <c r="K868" s="24"/>
      <c r="L868" s="107"/>
      <c r="M868" s="24"/>
      <c r="N868" s="63"/>
      <c r="O868" s="24"/>
      <c r="P868" s="69"/>
      <c r="Q868" s="24"/>
      <c r="R868" s="69"/>
      <c r="S868" s="24"/>
      <c r="T868" s="47">
        <f>T869</f>
        <v>1162</v>
      </c>
      <c r="U868" s="24">
        <f t="shared" ref="U868:U871" si="244">S868+T868</f>
        <v>1162</v>
      </c>
      <c r="V868" s="47">
        <f>V869</f>
        <v>0</v>
      </c>
      <c r="W868" s="24">
        <f t="shared" si="224"/>
        <v>1162</v>
      </c>
      <c r="X868" s="47">
        <f>X869</f>
        <v>0</v>
      </c>
      <c r="Y868" s="24">
        <f t="shared" si="225"/>
        <v>1162</v>
      </c>
    </row>
    <row r="869" spans="1:27" x14ac:dyDescent="0.25">
      <c r="A869" s="16" t="s">
        <v>259</v>
      </c>
      <c r="B869" s="20" t="s">
        <v>194</v>
      </c>
      <c r="C869" s="20" t="s">
        <v>260</v>
      </c>
      <c r="D869" s="21"/>
      <c r="E869" s="19"/>
      <c r="F869" s="19"/>
      <c r="G869" s="24"/>
      <c r="H869" s="19"/>
      <c r="I869" s="24"/>
      <c r="J869" s="19"/>
      <c r="K869" s="24"/>
      <c r="L869" s="107"/>
      <c r="M869" s="24"/>
      <c r="N869" s="63"/>
      <c r="O869" s="24"/>
      <c r="P869" s="69"/>
      <c r="Q869" s="24"/>
      <c r="R869" s="69"/>
      <c r="S869" s="24"/>
      <c r="T869" s="47">
        <f>T870</f>
        <v>1162</v>
      </c>
      <c r="U869" s="24">
        <f t="shared" si="244"/>
        <v>1162</v>
      </c>
      <c r="V869" s="47">
        <f>V870</f>
        <v>0</v>
      </c>
      <c r="W869" s="24">
        <f t="shared" si="224"/>
        <v>1162</v>
      </c>
      <c r="X869" s="47">
        <f>X870</f>
        <v>0</v>
      </c>
      <c r="Y869" s="24">
        <f t="shared" si="225"/>
        <v>1162</v>
      </c>
    </row>
    <row r="870" spans="1:27" ht="36.75" x14ac:dyDescent="0.25">
      <c r="A870" s="16" t="s">
        <v>779</v>
      </c>
      <c r="B870" s="20" t="s">
        <v>194</v>
      </c>
      <c r="C870" s="20" t="s">
        <v>780</v>
      </c>
      <c r="D870" s="21"/>
      <c r="E870" s="19"/>
      <c r="F870" s="19"/>
      <c r="G870" s="24"/>
      <c r="H870" s="19"/>
      <c r="I870" s="24"/>
      <c r="J870" s="19"/>
      <c r="K870" s="24"/>
      <c r="L870" s="107"/>
      <c r="M870" s="24"/>
      <c r="N870" s="63"/>
      <c r="O870" s="24"/>
      <c r="P870" s="69"/>
      <c r="Q870" s="24"/>
      <c r="R870" s="69"/>
      <c r="S870" s="24"/>
      <c r="T870" s="47">
        <f>T871</f>
        <v>1162</v>
      </c>
      <c r="U870" s="24">
        <f t="shared" si="244"/>
        <v>1162</v>
      </c>
      <c r="V870" s="47">
        <f>V871</f>
        <v>0</v>
      </c>
      <c r="W870" s="24">
        <f t="shared" si="224"/>
        <v>1162</v>
      </c>
      <c r="X870" s="47">
        <f>X871</f>
        <v>0</v>
      </c>
      <c r="Y870" s="24">
        <f t="shared" si="225"/>
        <v>1162</v>
      </c>
    </row>
    <row r="871" spans="1:27" x14ac:dyDescent="0.25">
      <c r="A871" s="30" t="s">
        <v>66</v>
      </c>
      <c r="B871" s="21" t="s">
        <v>194</v>
      </c>
      <c r="C871" s="21" t="s">
        <v>780</v>
      </c>
      <c r="D871" s="21" t="s">
        <v>42</v>
      </c>
      <c r="E871" s="19"/>
      <c r="F871" s="19"/>
      <c r="G871" s="24"/>
      <c r="H871" s="19"/>
      <c r="I871" s="24"/>
      <c r="J871" s="19"/>
      <c r="K871" s="24"/>
      <c r="L871" s="107"/>
      <c r="M871" s="24"/>
      <c r="N871" s="63"/>
      <c r="O871" s="24"/>
      <c r="P871" s="69"/>
      <c r="Q871" s="24"/>
      <c r="R871" s="69"/>
      <c r="S871" s="24"/>
      <c r="T871" s="125">
        <f>378.5+783.5</f>
        <v>1162</v>
      </c>
      <c r="U871" s="24">
        <f t="shared" si="244"/>
        <v>1162</v>
      </c>
      <c r="V871" s="69"/>
      <c r="W871" s="24">
        <f t="shared" si="224"/>
        <v>1162</v>
      </c>
      <c r="X871" s="69"/>
      <c r="Y871" s="24">
        <f t="shared" si="225"/>
        <v>1162</v>
      </c>
      <c r="AA871" s="189">
        <f>Y871+Z871</f>
        <v>1162</v>
      </c>
    </row>
    <row r="872" spans="1:27" ht="24.75" x14ac:dyDescent="0.25">
      <c r="A872" s="22" t="s">
        <v>589</v>
      </c>
      <c r="B872" s="23" t="s">
        <v>194</v>
      </c>
      <c r="C872" s="23" t="s">
        <v>105</v>
      </c>
      <c r="D872" s="23" t="s">
        <v>2</v>
      </c>
      <c r="E872" s="24">
        <f t="shared" ref="E872:X874" si="245">E873</f>
        <v>2305</v>
      </c>
      <c r="F872" s="24">
        <f t="shared" si="245"/>
        <v>0</v>
      </c>
      <c r="G872" s="24">
        <f t="shared" si="227"/>
        <v>2305</v>
      </c>
      <c r="H872" s="24">
        <f t="shared" si="245"/>
        <v>0</v>
      </c>
      <c r="I872" s="24">
        <f t="shared" si="228"/>
        <v>2305</v>
      </c>
      <c r="J872" s="24">
        <f t="shared" si="245"/>
        <v>0</v>
      </c>
      <c r="K872" s="24">
        <f t="shared" si="229"/>
        <v>2305</v>
      </c>
      <c r="L872" s="24">
        <f t="shared" si="245"/>
        <v>0</v>
      </c>
      <c r="M872" s="24">
        <f t="shared" si="230"/>
        <v>2305</v>
      </c>
      <c r="N872" s="24">
        <f t="shared" si="245"/>
        <v>0</v>
      </c>
      <c r="O872" s="24">
        <f t="shared" si="231"/>
        <v>2305</v>
      </c>
      <c r="P872" s="24">
        <f t="shared" si="245"/>
        <v>0</v>
      </c>
      <c r="Q872" s="24">
        <f t="shared" si="242"/>
        <v>2305</v>
      </c>
      <c r="R872" s="24">
        <f t="shared" si="245"/>
        <v>0</v>
      </c>
      <c r="S872" s="24">
        <f t="shared" si="237"/>
        <v>2305</v>
      </c>
      <c r="T872" s="24">
        <f t="shared" si="245"/>
        <v>-100</v>
      </c>
      <c r="U872" s="24">
        <f t="shared" si="238"/>
        <v>2205</v>
      </c>
      <c r="V872" s="24">
        <f t="shared" si="245"/>
        <v>-427.2</v>
      </c>
      <c r="W872" s="24">
        <f t="shared" si="224"/>
        <v>1777.8</v>
      </c>
      <c r="X872" s="24">
        <f t="shared" si="245"/>
        <v>-240.7</v>
      </c>
      <c r="Y872" s="24">
        <f t="shared" si="225"/>
        <v>1537.1</v>
      </c>
    </row>
    <row r="873" spans="1:27" ht="48.75" x14ac:dyDescent="0.25">
      <c r="A873" s="22" t="s">
        <v>106</v>
      </c>
      <c r="B873" s="23" t="s">
        <v>194</v>
      </c>
      <c r="C873" s="23" t="s">
        <v>107</v>
      </c>
      <c r="D873" s="23" t="s">
        <v>2</v>
      </c>
      <c r="E873" s="24">
        <f t="shared" si="245"/>
        <v>2305</v>
      </c>
      <c r="F873" s="24">
        <f t="shared" si="245"/>
        <v>0</v>
      </c>
      <c r="G873" s="24">
        <f t="shared" si="227"/>
        <v>2305</v>
      </c>
      <c r="H873" s="24">
        <f t="shared" si="245"/>
        <v>0</v>
      </c>
      <c r="I873" s="24">
        <f t="shared" si="228"/>
        <v>2305</v>
      </c>
      <c r="J873" s="24">
        <f t="shared" si="245"/>
        <v>0</v>
      </c>
      <c r="K873" s="24">
        <f t="shared" si="229"/>
        <v>2305</v>
      </c>
      <c r="L873" s="24">
        <f t="shared" si="245"/>
        <v>0</v>
      </c>
      <c r="M873" s="24">
        <f t="shared" si="230"/>
        <v>2305</v>
      </c>
      <c r="N873" s="24">
        <f t="shared" si="245"/>
        <v>0</v>
      </c>
      <c r="O873" s="24">
        <f t="shared" si="231"/>
        <v>2305</v>
      </c>
      <c r="P873" s="24">
        <f t="shared" si="245"/>
        <v>0</v>
      </c>
      <c r="Q873" s="24">
        <f t="shared" si="242"/>
        <v>2305</v>
      </c>
      <c r="R873" s="24">
        <f t="shared" si="245"/>
        <v>0</v>
      </c>
      <c r="S873" s="24">
        <f t="shared" si="237"/>
        <v>2305</v>
      </c>
      <c r="T873" s="24">
        <f t="shared" si="245"/>
        <v>-100</v>
      </c>
      <c r="U873" s="24">
        <f t="shared" si="238"/>
        <v>2205</v>
      </c>
      <c r="V873" s="24">
        <f t="shared" si="245"/>
        <v>-427.2</v>
      </c>
      <c r="W873" s="24">
        <f t="shared" si="224"/>
        <v>1777.8</v>
      </c>
      <c r="X873" s="24">
        <f t="shared" si="245"/>
        <v>-240.7</v>
      </c>
      <c r="Y873" s="24">
        <f t="shared" si="225"/>
        <v>1537.1</v>
      </c>
    </row>
    <row r="874" spans="1:27" ht="24.75" x14ac:dyDescent="0.25">
      <c r="A874" s="22" t="s">
        <v>108</v>
      </c>
      <c r="B874" s="23" t="s">
        <v>194</v>
      </c>
      <c r="C874" s="23" t="s">
        <v>109</v>
      </c>
      <c r="D874" s="23" t="s">
        <v>2</v>
      </c>
      <c r="E874" s="24">
        <f t="shared" si="245"/>
        <v>2305</v>
      </c>
      <c r="F874" s="24">
        <f t="shared" si="245"/>
        <v>0</v>
      </c>
      <c r="G874" s="24">
        <f t="shared" si="227"/>
        <v>2305</v>
      </c>
      <c r="H874" s="24">
        <f t="shared" si="245"/>
        <v>0</v>
      </c>
      <c r="I874" s="24">
        <f t="shared" si="228"/>
        <v>2305</v>
      </c>
      <c r="J874" s="24">
        <f t="shared" si="245"/>
        <v>0</v>
      </c>
      <c r="K874" s="24">
        <f t="shared" si="229"/>
        <v>2305</v>
      </c>
      <c r="L874" s="24">
        <f t="shared" si="245"/>
        <v>0</v>
      </c>
      <c r="M874" s="24">
        <f t="shared" si="230"/>
        <v>2305</v>
      </c>
      <c r="N874" s="24">
        <f t="shared" si="245"/>
        <v>0</v>
      </c>
      <c r="O874" s="24">
        <f t="shared" si="231"/>
        <v>2305</v>
      </c>
      <c r="P874" s="24">
        <f t="shared" si="245"/>
        <v>0</v>
      </c>
      <c r="Q874" s="24">
        <f t="shared" si="242"/>
        <v>2305</v>
      </c>
      <c r="R874" s="24">
        <f t="shared" si="245"/>
        <v>0</v>
      </c>
      <c r="S874" s="24">
        <f t="shared" si="237"/>
        <v>2305</v>
      </c>
      <c r="T874" s="24">
        <f t="shared" si="245"/>
        <v>-100</v>
      </c>
      <c r="U874" s="24">
        <f t="shared" si="238"/>
        <v>2205</v>
      </c>
      <c r="V874" s="24">
        <f t="shared" si="245"/>
        <v>-427.2</v>
      </c>
      <c r="W874" s="24">
        <f t="shared" si="224"/>
        <v>1777.8</v>
      </c>
      <c r="X874" s="24">
        <f t="shared" si="245"/>
        <v>-240.7</v>
      </c>
      <c r="Y874" s="24">
        <f t="shared" si="225"/>
        <v>1537.1</v>
      </c>
    </row>
    <row r="875" spans="1:27" x14ac:dyDescent="0.25">
      <c r="A875" s="25" t="s">
        <v>66</v>
      </c>
      <c r="B875" s="26" t="s">
        <v>194</v>
      </c>
      <c r="C875" s="26" t="s">
        <v>109</v>
      </c>
      <c r="D875" s="26" t="s">
        <v>42</v>
      </c>
      <c r="E875" s="27">
        <f>800+1505</f>
        <v>2305</v>
      </c>
      <c r="F875" s="27"/>
      <c r="G875" s="24">
        <f t="shared" si="227"/>
        <v>2305</v>
      </c>
      <c r="H875" s="27"/>
      <c r="I875" s="24">
        <f t="shared" si="228"/>
        <v>2305</v>
      </c>
      <c r="J875" s="27"/>
      <c r="K875" s="24">
        <f t="shared" si="229"/>
        <v>2305</v>
      </c>
      <c r="L875" s="27"/>
      <c r="M875" s="24">
        <f t="shared" si="230"/>
        <v>2305</v>
      </c>
      <c r="N875" s="27"/>
      <c r="O875" s="24">
        <f t="shared" si="231"/>
        <v>2305</v>
      </c>
      <c r="P875" s="27"/>
      <c r="Q875" s="24">
        <f t="shared" si="242"/>
        <v>2305</v>
      </c>
      <c r="R875" s="27"/>
      <c r="S875" s="24">
        <f t="shared" si="237"/>
        <v>2305</v>
      </c>
      <c r="T875" s="39">
        <v>-100</v>
      </c>
      <c r="U875" s="24">
        <f t="shared" si="238"/>
        <v>2205</v>
      </c>
      <c r="V875" s="39">
        <f>-347.2-80</f>
        <v>-427.2</v>
      </c>
      <c r="W875" s="24">
        <f t="shared" si="224"/>
        <v>1777.8</v>
      </c>
      <c r="X875" s="39">
        <v>-240.7</v>
      </c>
      <c r="Y875" s="24">
        <f t="shared" si="225"/>
        <v>1537.1</v>
      </c>
      <c r="Z875" s="61">
        <v>-240.7</v>
      </c>
      <c r="AA875" s="189">
        <f>Y875+Z875</f>
        <v>1296.3999999999999</v>
      </c>
    </row>
    <row r="876" spans="1:27" s="6" customFormat="1" ht="24.75" x14ac:dyDescent="0.25">
      <c r="A876" s="22" t="s">
        <v>590</v>
      </c>
      <c r="B876" s="23" t="s">
        <v>194</v>
      </c>
      <c r="C876" s="23" t="s">
        <v>32</v>
      </c>
      <c r="D876" s="23" t="s">
        <v>2</v>
      </c>
      <c r="E876" s="24">
        <f>E877</f>
        <v>128</v>
      </c>
      <c r="F876" s="24">
        <f>F877</f>
        <v>0</v>
      </c>
      <c r="G876" s="24">
        <f t="shared" si="227"/>
        <v>128</v>
      </c>
      <c r="H876" s="24">
        <f>H877</f>
        <v>0</v>
      </c>
      <c r="I876" s="24">
        <f t="shared" si="228"/>
        <v>128</v>
      </c>
      <c r="J876" s="24">
        <f>J877</f>
        <v>0</v>
      </c>
      <c r="K876" s="24">
        <f t="shared" si="229"/>
        <v>128</v>
      </c>
      <c r="L876" s="24">
        <f>L877</f>
        <v>0</v>
      </c>
      <c r="M876" s="24">
        <f t="shared" si="230"/>
        <v>128</v>
      </c>
      <c r="N876" s="24">
        <f>N877</f>
        <v>0</v>
      </c>
      <c r="O876" s="24">
        <f t="shared" si="231"/>
        <v>128</v>
      </c>
      <c r="P876" s="24">
        <f>P877</f>
        <v>0</v>
      </c>
      <c r="Q876" s="24">
        <f t="shared" si="242"/>
        <v>128</v>
      </c>
      <c r="R876" s="24">
        <f>R877</f>
        <v>0</v>
      </c>
      <c r="S876" s="24">
        <f t="shared" si="237"/>
        <v>128</v>
      </c>
      <c r="T876" s="24">
        <f>T877</f>
        <v>0</v>
      </c>
      <c r="U876" s="24">
        <f t="shared" si="238"/>
        <v>128</v>
      </c>
      <c r="V876" s="24">
        <f>V877</f>
        <v>0</v>
      </c>
      <c r="W876" s="24">
        <f t="shared" si="224"/>
        <v>128</v>
      </c>
      <c r="X876" s="24">
        <f>X877</f>
        <v>0</v>
      </c>
      <c r="Y876" s="24">
        <f t="shared" si="225"/>
        <v>128</v>
      </c>
      <c r="Z876" s="189"/>
    </row>
    <row r="877" spans="1:27" s="6" customFormat="1" x14ac:dyDescent="0.25">
      <c r="A877" s="22" t="s">
        <v>596</v>
      </c>
      <c r="B877" s="23" t="s">
        <v>194</v>
      </c>
      <c r="C877" s="23" t="s">
        <v>222</v>
      </c>
      <c r="D877" s="23" t="s">
        <v>2</v>
      </c>
      <c r="E877" s="24">
        <f>E878+E881</f>
        <v>128</v>
      </c>
      <c r="F877" s="24">
        <f>F878+F881</f>
        <v>0</v>
      </c>
      <c r="G877" s="24">
        <f t="shared" si="227"/>
        <v>128</v>
      </c>
      <c r="H877" s="24">
        <f>H878+H881</f>
        <v>0</v>
      </c>
      <c r="I877" s="24">
        <f t="shared" si="228"/>
        <v>128</v>
      </c>
      <c r="J877" s="24">
        <f>J878+J881</f>
        <v>0</v>
      </c>
      <c r="K877" s="24">
        <f t="shared" si="229"/>
        <v>128</v>
      </c>
      <c r="L877" s="24">
        <f>L878+L881</f>
        <v>0</v>
      </c>
      <c r="M877" s="24">
        <f t="shared" si="230"/>
        <v>128</v>
      </c>
      <c r="N877" s="24">
        <f>N878+N881</f>
        <v>0</v>
      </c>
      <c r="O877" s="24">
        <f t="shared" si="231"/>
        <v>128</v>
      </c>
      <c r="P877" s="24">
        <f>P878+P881</f>
        <v>0</v>
      </c>
      <c r="Q877" s="24">
        <f t="shared" si="242"/>
        <v>128</v>
      </c>
      <c r="R877" s="24">
        <f>R878+R881</f>
        <v>0</v>
      </c>
      <c r="S877" s="24">
        <f t="shared" si="237"/>
        <v>128</v>
      </c>
      <c r="T877" s="24">
        <f>T878+T881</f>
        <v>0</v>
      </c>
      <c r="U877" s="24">
        <f t="shared" si="238"/>
        <v>128</v>
      </c>
      <c r="V877" s="24">
        <f>V878+V881</f>
        <v>0</v>
      </c>
      <c r="W877" s="24">
        <f t="shared" si="224"/>
        <v>128</v>
      </c>
      <c r="X877" s="24">
        <f>X878+X881</f>
        <v>0</v>
      </c>
      <c r="Y877" s="24">
        <f t="shared" si="225"/>
        <v>128</v>
      </c>
      <c r="Z877" s="189"/>
    </row>
    <row r="878" spans="1:27" s="6" customFormat="1" ht="36.75" x14ac:dyDescent="0.25">
      <c r="A878" s="22" t="s">
        <v>223</v>
      </c>
      <c r="B878" s="23" t="s">
        <v>194</v>
      </c>
      <c r="C878" s="23" t="s">
        <v>224</v>
      </c>
      <c r="D878" s="23" t="s">
        <v>2</v>
      </c>
      <c r="E878" s="24">
        <f>E879</f>
        <v>75</v>
      </c>
      <c r="F878" s="24">
        <f>F879</f>
        <v>0</v>
      </c>
      <c r="G878" s="24">
        <f t="shared" si="227"/>
        <v>75</v>
      </c>
      <c r="H878" s="24">
        <f>H879</f>
        <v>0</v>
      </c>
      <c r="I878" s="24">
        <f t="shared" si="228"/>
        <v>75</v>
      </c>
      <c r="J878" s="24">
        <f>J879</f>
        <v>0</v>
      </c>
      <c r="K878" s="24">
        <f t="shared" si="229"/>
        <v>75</v>
      </c>
      <c r="L878" s="24">
        <f>L879</f>
        <v>0</v>
      </c>
      <c r="M878" s="24">
        <f t="shared" si="230"/>
        <v>75</v>
      </c>
      <c r="N878" s="24">
        <f>N879</f>
        <v>0</v>
      </c>
      <c r="O878" s="24">
        <f t="shared" si="231"/>
        <v>75</v>
      </c>
      <c r="P878" s="24">
        <f>P879</f>
        <v>0</v>
      </c>
      <c r="Q878" s="24">
        <f t="shared" si="242"/>
        <v>75</v>
      </c>
      <c r="R878" s="24">
        <f>R879</f>
        <v>0</v>
      </c>
      <c r="S878" s="24">
        <f t="shared" si="237"/>
        <v>75</v>
      </c>
      <c r="T878" s="24">
        <f>T879</f>
        <v>0</v>
      </c>
      <c r="U878" s="24">
        <f t="shared" si="238"/>
        <v>75</v>
      </c>
      <c r="V878" s="24">
        <f>V879</f>
        <v>0</v>
      </c>
      <c r="W878" s="24">
        <f t="shared" si="224"/>
        <v>75</v>
      </c>
      <c r="X878" s="24">
        <f>X879</f>
        <v>0</v>
      </c>
      <c r="Y878" s="24">
        <f t="shared" si="225"/>
        <v>75</v>
      </c>
      <c r="Z878" s="189"/>
    </row>
    <row r="879" spans="1:27" x14ac:dyDescent="0.25">
      <c r="A879" s="22" t="s">
        <v>225</v>
      </c>
      <c r="B879" s="23" t="s">
        <v>194</v>
      </c>
      <c r="C879" s="23" t="s">
        <v>226</v>
      </c>
      <c r="D879" s="23" t="s">
        <v>2</v>
      </c>
      <c r="E879" s="24">
        <f>E880</f>
        <v>75</v>
      </c>
      <c r="F879" s="24">
        <f>F880</f>
        <v>0</v>
      </c>
      <c r="G879" s="24">
        <f t="shared" si="227"/>
        <v>75</v>
      </c>
      <c r="H879" s="24">
        <f>H880</f>
        <v>0</v>
      </c>
      <c r="I879" s="24">
        <f t="shared" si="228"/>
        <v>75</v>
      </c>
      <c r="J879" s="24">
        <f>J880</f>
        <v>0</v>
      </c>
      <c r="K879" s="24">
        <f t="shared" si="229"/>
        <v>75</v>
      </c>
      <c r="L879" s="24">
        <f>L880</f>
        <v>0</v>
      </c>
      <c r="M879" s="24">
        <f t="shared" si="230"/>
        <v>75</v>
      </c>
      <c r="N879" s="24">
        <f>N880</f>
        <v>0</v>
      </c>
      <c r="O879" s="24">
        <f t="shared" si="231"/>
        <v>75</v>
      </c>
      <c r="P879" s="24">
        <f>P880</f>
        <v>0</v>
      </c>
      <c r="Q879" s="24">
        <f t="shared" si="242"/>
        <v>75</v>
      </c>
      <c r="R879" s="24">
        <f>R880</f>
        <v>0</v>
      </c>
      <c r="S879" s="24">
        <f t="shared" si="237"/>
        <v>75</v>
      </c>
      <c r="T879" s="24">
        <f>T880</f>
        <v>0</v>
      </c>
      <c r="U879" s="24">
        <f t="shared" si="238"/>
        <v>75</v>
      </c>
      <c r="V879" s="24">
        <f>V880</f>
        <v>0</v>
      </c>
      <c r="W879" s="24">
        <f t="shared" si="224"/>
        <v>75</v>
      </c>
      <c r="X879" s="24">
        <f>X880</f>
        <v>0</v>
      </c>
      <c r="Y879" s="24">
        <f t="shared" si="225"/>
        <v>75</v>
      </c>
    </row>
    <row r="880" spans="1:27" s="6" customFormat="1" x14ac:dyDescent="0.25">
      <c r="A880" s="25" t="s">
        <v>66</v>
      </c>
      <c r="B880" s="26" t="s">
        <v>194</v>
      </c>
      <c r="C880" s="26" t="s">
        <v>226</v>
      </c>
      <c r="D880" s="26" t="s">
        <v>42</v>
      </c>
      <c r="E880" s="27">
        <v>75</v>
      </c>
      <c r="F880" s="27"/>
      <c r="G880" s="24">
        <f t="shared" si="227"/>
        <v>75</v>
      </c>
      <c r="H880" s="27"/>
      <c r="I880" s="24">
        <f t="shared" si="228"/>
        <v>75</v>
      </c>
      <c r="J880" s="27"/>
      <c r="K880" s="24">
        <f t="shared" si="229"/>
        <v>75</v>
      </c>
      <c r="L880" s="27"/>
      <c r="M880" s="24">
        <f t="shared" si="230"/>
        <v>75</v>
      </c>
      <c r="N880" s="27"/>
      <c r="O880" s="24">
        <f t="shared" si="231"/>
        <v>75</v>
      </c>
      <c r="P880" s="27"/>
      <c r="Q880" s="24">
        <f t="shared" si="242"/>
        <v>75</v>
      </c>
      <c r="R880" s="27"/>
      <c r="S880" s="24">
        <f t="shared" si="237"/>
        <v>75</v>
      </c>
      <c r="T880" s="69"/>
      <c r="U880" s="24">
        <f t="shared" si="238"/>
        <v>75</v>
      </c>
      <c r="V880" s="69"/>
      <c r="W880" s="24">
        <f t="shared" si="224"/>
        <v>75</v>
      </c>
      <c r="X880" s="69"/>
      <c r="Y880" s="24">
        <f t="shared" si="225"/>
        <v>75</v>
      </c>
      <c r="Z880" s="189"/>
      <c r="AA880" s="189">
        <f>Y880+Z880</f>
        <v>75</v>
      </c>
    </row>
    <row r="881" spans="1:27" ht="24.75" x14ac:dyDescent="0.25">
      <c r="A881" s="22" t="s">
        <v>227</v>
      </c>
      <c r="B881" s="23" t="s">
        <v>194</v>
      </c>
      <c r="C881" s="23" t="s">
        <v>228</v>
      </c>
      <c r="D881" s="23" t="s">
        <v>2</v>
      </c>
      <c r="E881" s="24">
        <f>E882</f>
        <v>53</v>
      </c>
      <c r="F881" s="24">
        <f>F882</f>
        <v>0</v>
      </c>
      <c r="G881" s="24">
        <f t="shared" ref="G881:G1130" si="246">E881+F881</f>
        <v>53</v>
      </c>
      <c r="H881" s="24">
        <f>H882</f>
        <v>0</v>
      </c>
      <c r="I881" s="24">
        <f t="shared" ref="I881:I1130" si="247">G881+H881</f>
        <v>53</v>
      </c>
      <c r="J881" s="24">
        <f>J882</f>
        <v>0</v>
      </c>
      <c r="K881" s="24">
        <f t="shared" ref="K881:K1130" si="248">I881+J881</f>
        <v>53</v>
      </c>
      <c r="L881" s="24">
        <f>L882</f>
        <v>0</v>
      </c>
      <c r="M881" s="24">
        <f t="shared" ref="M881:M1130" si="249">K881+L881</f>
        <v>53</v>
      </c>
      <c r="N881" s="24">
        <f>N882</f>
        <v>0</v>
      </c>
      <c r="O881" s="24">
        <f t="shared" ref="O881:O1130" si="250">M881+N881</f>
        <v>53</v>
      </c>
      <c r="P881" s="24">
        <f>P882</f>
        <v>0</v>
      </c>
      <c r="Q881" s="24">
        <f t="shared" si="242"/>
        <v>53</v>
      </c>
      <c r="R881" s="24">
        <f>R882</f>
        <v>0</v>
      </c>
      <c r="S881" s="24">
        <f t="shared" si="237"/>
        <v>53</v>
      </c>
      <c r="T881" s="24">
        <f>T882</f>
        <v>0</v>
      </c>
      <c r="U881" s="24">
        <f t="shared" si="238"/>
        <v>53</v>
      </c>
      <c r="V881" s="24">
        <f>V882</f>
        <v>0</v>
      </c>
      <c r="W881" s="24">
        <f t="shared" si="224"/>
        <v>53</v>
      </c>
      <c r="X881" s="24">
        <f>X882</f>
        <v>0</v>
      </c>
      <c r="Y881" s="24">
        <f t="shared" si="225"/>
        <v>53</v>
      </c>
    </row>
    <row r="882" spans="1:27" x14ac:dyDescent="0.25">
      <c r="A882" s="22" t="s">
        <v>225</v>
      </c>
      <c r="B882" s="23" t="s">
        <v>194</v>
      </c>
      <c r="C882" s="23" t="s">
        <v>229</v>
      </c>
      <c r="D882" s="23" t="s">
        <v>2</v>
      </c>
      <c r="E882" s="24">
        <f>E883</f>
        <v>53</v>
      </c>
      <c r="F882" s="24">
        <f>F883</f>
        <v>0</v>
      </c>
      <c r="G882" s="24">
        <f t="shared" si="246"/>
        <v>53</v>
      </c>
      <c r="H882" s="24">
        <f>H883</f>
        <v>0</v>
      </c>
      <c r="I882" s="24">
        <f t="shared" si="247"/>
        <v>53</v>
      </c>
      <c r="J882" s="24">
        <f>J883</f>
        <v>0</v>
      </c>
      <c r="K882" s="24">
        <f t="shared" si="248"/>
        <v>53</v>
      </c>
      <c r="L882" s="24">
        <f>L883</f>
        <v>0</v>
      </c>
      <c r="M882" s="24">
        <f t="shared" si="249"/>
        <v>53</v>
      </c>
      <c r="N882" s="24">
        <f>N883</f>
        <v>0</v>
      </c>
      <c r="O882" s="24">
        <f t="shared" si="250"/>
        <v>53</v>
      </c>
      <c r="P882" s="24">
        <f>P883</f>
        <v>0</v>
      </c>
      <c r="Q882" s="24">
        <f t="shared" si="242"/>
        <v>53</v>
      </c>
      <c r="R882" s="24">
        <f>R883</f>
        <v>0</v>
      </c>
      <c r="S882" s="24">
        <f t="shared" si="237"/>
        <v>53</v>
      </c>
      <c r="T882" s="24">
        <f>T883</f>
        <v>0</v>
      </c>
      <c r="U882" s="24">
        <f t="shared" si="238"/>
        <v>53</v>
      </c>
      <c r="V882" s="24">
        <f>V883</f>
        <v>0</v>
      </c>
      <c r="W882" s="24">
        <f t="shared" ref="W882:W1138" si="251">U882+V882</f>
        <v>53</v>
      </c>
      <c r="X882" s="24">
        <f>X883</f>
        <v>0</v>
      </c>
      <c r="Y882" s="24">
        <f t="shared" ref="Y882:Y953" si="252">W882+X882</f>
        <v>53</v>
      </c>
    </row>
    <row r="883" spans="1:27" s="6" customFormat="1" x14ac:dyDescent="0.25">
      <c r="A883" s="25" t="s">
        <v>66</v>
      </c>
      <c r="B883" s="26" t="s">
        <v>194</v>
      </c>
      <c r="C883" s="26" t="s">
        <v>229</v>
      </c>
      <c r="D883" s="26" t="s">
        <v>42</v>
      </c>
      <c r="E883" s="27">
        <v>53</v>
      </c>
      <c r="F883" s="27"/>
      <c r="G883" s="24">
        <f t="shared" si="246"/>
        <v>53</v>
      </c>
      <c r="H883" s="27"/>
      <c r="I883" s="24">
        <f t="shared" si="247"/>
        <v>53</v>
      </c>
      <c r="J883" s="27"/>
      <c r="K883" s="24">
        <f t="shared" si="248"/>
        <v>53</v>
      </c>
      <c r="L883" s="27"/>
      <c r="M883" s="24">
        <f t="shared" si="249"/>
        <v>53</v>
      </c>
      <c r="N883" s="27"/>
      <c r="O883" s="24">
        <f t="shared" si="250"/>
        <v>53</v>
      </c>
      <c r="P883" s="27"/>
      <c r="Q883" s="24">
        <f t="shared" si="242"/>
        <v>53</v>
      </c>
      <c r="R883" s="27"/>
      <c r="S883" s="24">
        <f t="shared" si="237"/>
        <v>53</v>
      </c>
      <c r="T883" s="69"/>
      <c r="U883" s="24">
        <f t="shared" si="238"/>
        <v>53</v>
      </c>
      <c r="V883" s="69"/>
      <c r="W883" s="24">
        <f t="shared" si="251"/>
        <v>53</v>
      </c>
      <c r="X883" s="69"/>
      <c r="Y883" s="24">
        <f t="shared" si="252"/>
        <v>53</v>
      </c>
      <c r="Z883" s="189"/>
      <c r="AA883" s="189">
        <f>Y883+Z883</f>
        <v>53</v>
      </c>
    </row>
    <row r="884" spans="1:27" s="6" customFormat="1" x14ac:dyDescent="0.25">
      <c r="A884" s="34" t="s">
        <v>230</v>
      </c>
      <c r="B884" s="35" t="s">
        <v>231</v>
      </c>
      <c r="C884" s="35" t="s">
        <v>2</v>
      </c>
      <c r="D884" s="35" t="s">
        <v>2</v>
      </c>
      <c r="E884" s="36">
        <f>E885+E915+E975+E1180</f>
        <v>173669.50000000003</v>
      </c>
      <c r="F884" s="36">
        <f>F885+F915+F975+F1180</f>
        <v>273308.3</v>
      </c>
      <c r="G884" s="36">
        <f t="shared" si="246"/>
        <v>446977.80000000005</v>
      </c>
      <c r="H884" s="36">
        <f>H885+H915+H975+H1180</f>
        <v>12241.699999999997</v>
      </c>
      <c r="I884" s="36">
        <f t="shared" si="247"/>
        <v>459219.50000000006</v>
      </c>
      <c r="J884" s="36">
        <f>J885+J915+J975+J1180</f>
        <v>62094.5</v>
      </c>
      <c r="K884" s="36">
        <f t="shared" si="248"/>
        <v>521314.00000000006</v>
      </c>
      <c r="L884" s="36">
        <f>L885+L915+L975+L1180</f>
        <v>197782.69999999998</v>
      </c>
      <c r="M884" s="36">
        <f t="shared" si="249"/>
        <v>719096.70000000007</v>
      </c>
      <c r="N884" s="36">
        <f>N885+N915+N975+N1180</f>
        <v>31575.699999999997</v>
      </c>
      <c r="O884" s="36">
        <f t="shared" si="250"/>
        <v>750672.4</v>
      </c>
      <c r="P884" s="36">
        <f>P885+P915+P975+P1180</f>
        <v>57131.6</v>
      </c>
      <c r="Q884" s="36">
        <f t="shared" si="242"/>
        <v>807804</v>
      </c>
      <c r="R884" s="36">
        <f>R885+R915+R975+R1180</f>
        <v>48375.399999999994</v>
      </c>
      <c r="S884" s="36">
        <f t="shared" si="237"/>
        <v>856179.4</v>
      </c>
      <c r="T884" s="36">
        <f>T885+T915+T975+T1180</f>
        <v>-17851.099999999999</v>
      </c>
      <c r="U884" s="36">
        <f t="shared" si="238"/>
        <v>838328.3</v>
      </c>
      <c r="V884" s="36">
        <f>V885+V915+V975+V1180</f>
        <v>-6162.5000000000018</v>
      </c>
      <c r="W884" s="36">
        <f t="shared" si="251"/>
        <v>832165.8</v>
      </c>
      <c r="X884" s="36">
        <f>X885+X915+X975+X1180</f>
        <v>33161.9</v>
      </c>
      <c r="Y884" s="36">
        <f t="shared" si="252"/>
        <v>865327.70000000007</v>
      </c>
      <c r="Z884" s="189"/>
    </row>
    <row r="885" spans="1:27" s="6" customFormat="1" x14ac:dyDescent="0.25">
      <c r="A885" s="22" t="s">
        <v>232</v>
      </c>
      <c r="B885" s="23" t="s">
        <v>233</v>
      </c>
      <c r="C885" s="23" t="s">
        <v>2</v>
      </c>
      <c r="D885" s="23" t="s">
        <v>2</v>
      </c>
      <c r="E885" s="24">
        <f>E886</f>
        <v>4506.5</v>
      </c>
      <c r="F885" s="24">
        <f>F886</f>
        <v>42968</v>
      </c>
      <c r="G885" s="24">
        <f t="shared" si="246"/>
        <v>47474.5</v>
      </c>
      <c r="H885" s="24">
        <f>H886</f>
        <v>0</v>
      </c>
      <c r="I885" s="24">
        <f t="shared" si="247"/>
        <v>47474.5</v>
      </c>
      <c r="J885" s="24">
        <f>J886</f>
        <v>0.4</v>
      </c>
      <c r="K885" s="24">
        <f t="shared" si="248"/>
        <v>47474.9</v>
      </c>
      <c r="L885" s="24">
        <f>L886</f>
        <v>53979.299999999996</v>
      </c>
      <c r="M885" s="24">
        <f t="shared" si="249"/>
        <v>101454.2</v>
      </c>
      <c r="N885" s="24">
        <f>N886</f>
        <v>19903.399999999998</v>
      </c>
      <c r="O885" s="24">
        <f t="shared" si="250"/>
        <v>121357.59999999999</v>
      </c>
      <c r="P885" s="24">
        <f>P886</f>
        <v>27566.399999999998</v>
      </c>
      <c r="Q885" s="24">
        <f t="shared" si="242"/>
        <v>148924</v>
      </c>
      <c r="R885" s="24">
        <f>R886</f>
        <v>24758.1</v>
      </c>
      <c r="S885" s="24">
        <f t="shared" si="237"/>
        <v>173682.1</v>
      </c>
      <c r="T885" s="24">
        <f>T886+T910</f>
        <v>316.59999999999962</v>
      </c>
      <c r="U885" s="24">
        <f t="shared" si="238"/>
        <v>173998.7</v>
      </c>
      <c r="V885" s="24">
        <f>V886+V910</f>
        <v>-14210.400000000001</v>
      </c>
      <c r="W885" s="24">
        <f t="shared" si="251"/>
        <v>159788.30000000002</v>
      </c>
      <c r="X885" s="24">
        <f>X886+X910</f>
        <v>-22881.599999999999</v>
      </c>
      <c r="Y885" s="24">
        <f t="shared" si="252"/>
        <v>136906.70000000001</v>
      </c>
      <c r="Z885" s="189"/>
    </row>
    <row r="886" spans="1:27" s="6" customFormat="1" ht="24.75" x14ac:dyDescent="0.25">
      <c r="A886" s="22" t="s">
        <v>593</v>
      </c>
      <c r="B886" s="23" t="s">
        <v>233</v>
      </c>
      <c r="C886" s="23" t="s">
        <v>183</v>
      </c>
      <c r="D886" s="23" t="s">
        <v>2</v>
      </c>
      <c r="E886" s="24">
        <f>E887</f>
        <v>4506.5</v>
      </c>
      <c r="F886" s="24">
        <f>F887</f>
        <v>42968</v>
      </c>
      <c r="G886" s="24">
        <f t="shared" si="246"/>
        <v>47474.5</v>
      </c>
      <c r="H886" s="24">
        <f>H887</f>
        <v>0</v>
      </c>
      <c r="I886" s="24">
        <f t="shared" si="247"/>
        <v>47474.5</v>
      </c>
      <c r="J886" s="24">
        <f>J887</f>
        <v>0.4</v>
      </c>
      <c r="K886" s="24">
        <f t="shared" si="248"/>
        <v>47474.9</v>
      </c>
      <c r="L886" s="24">
        <f>L887</f>
        <v>53979.299999999996</v>
      </c>
      <c r="M886" s="24">
        <f t="shared" si="249"/>
        <v>101454.2</v>
      </c>
      <c r="N886" s="24">
        <f>N887</f>
        <v>19903.399999999998</v>
      </c>
      <c r="O886" s="24">
        <f t="shared" si="250"/>
        <v>121357.59999999999</v>
      </c>
      <c r="P886" s="24">
        <f>P887</f>
        <v>27566.399999999998</v>
      </c>
      <c r="Q886" s="24">
        <f t="shared" si="242"/>
        <v>148924</v>
      </c>
      <c r="R886" s="24">
        <f>R887</f>
        <v>24758.1</v>
      </c>
      <c r="S886" s="24">
        <f t="shared" si="237"/>
        <v>173682.1</v>
      </c>
      <c r="T886" s="24">
        <f>T887</f>
        <v>265.39999999999964</v>
      </c>
      <c r="U886" s="24">
        <f t="shared" si="238"/>
        <v>173947.5</v>
      </c>
      <c r="V886" s="24">
        <f>V887</f>
        <v>-14210.400000000001</v>
      </c>
      <c r="W886" s="24">
        <f t="shared" si="251"/>
        <v>159737.1</v>
      </c>
      <c r="X886" s="24">
        <f>X887</f>
        <v>-22881.599999999999</v>
      </c>
      <c r="Y886" s="24">
        <f t="shared" si="252"/>
        <v>136855.5</v>
      </c>
      <c r="Z886" s="189"/>
    </row>
    <row r="887" spans="1:27" ht="24.75" x14ac:dyDescent="0.25">
      <c r="A887" s="22" t="s">
        <v>597</v>
      </c>
      <c r="B887" s="23" t="s">
        <v>233</v>
      </c>
      <c r="C887" s="23" t="s">
        <v>212</v>
      </c>
      <c r="D887" s="23" t="s">
        <v>2</v>
      </c>
      <c r="E887" s="24">
        <f>E888+E894+E903</f>
        <v>4506.5</v>
      </c>
      <c r="F887" s="24">
        <f>F888+F894+F903</f>
        <v>42968</v>
      </c>
      <c r="G887" s="24">
        <f t="shared" si="246"/>
        <v>47474.5</v>
      </c>
      <c r="H887" s="24">
        <f>H888+H894+H903</f>
        <v>0</v>
      </c>
      <c r="I887" s="24">
        <f t="shared" si="247"/>
        <v>47474.5</v>
      </c>
      <c r="J887" s="24">
        <f>J888+J894+J903</f>
        <v>0.4</v>
      </c>
      <c r="K887" s="24">
        <f t="shared" si="248"/>
        <v>47474.9</v>
      </c>
      <c r="L887" s="24">
        <f>L888+L894+L903</f>
        <v>53979.299999999996</v>
      </c>
      <c r="M887" s="24">
        <f t="shared" si="249"/>
        <v>101454.2</v>
      </c>
      <c r="N887" s="24">
        <f>N888+N894+N903</f>
        <v>19903.399999999998</v>
      </c>
      <c r="O887" s="24">
        <f t="shared" si="250"/>
        <v>121357.59999999999</v>
      </c>
      <c r="P887" s="24">
        <f>P888+P894+P903</f>
        <v>27566.399999999998</v>
      </c>
      <c r="Q887" s="24">
        <f t="shared" si="242"/>
        <v>148924</v>
      </c>
      <c r="R887" s="24">
        <f>R888+R894+R903</f>
        <v>24758.1</v>
      </c>
      <c r="S887" s="24">
        <f t="shared" si="237"/>
        <v>173682.1</v>
      </c>
      <c r="T887" s="24">
        <f>T888+T894+T903</f>
        <v>265.39999999999964</v>
      </c>
      <c r="U887" s="24">
        <f t="shared" si="238"/>
        <v>173947.5</v>
      </c>
      <c r="V887" s="24">
        <f>V888+V894+V903</f>
        <v>-14210.400000000001</v>
      </c>
      <c r="W887" s="24">
        <f t="shared" si="251"/>
        <v>159737.1</v>
      </c>
      <c r="X887" s="24">
        <f>X888+X894+X903</f>
        <v>-22881.599999999999</v>
      </c>
      <c r="Y887" s="24">
        <f t="shared" si="252"/>
        <v>136855.5</v>
      </c>
    </row>
    <row r="888" spans="1:27" ht="24.75" x14ac:dyDescent="0.25">
      <c r="A888" s="22" t="s">
        <v>218</v>
      </c>
      <c r="B888" s="23" t="s">
        <v>233</v>
      </c>
      <c r="C888" s="23" t="s">
        <v>219</v>
      </c>
      <c r="D888" s="23" t="s">
        <v>2</v>
      </c>
      <c r="E888" s="24">
        <f>E889</f>
        <v>2000</v>
      </c>
      <c r="F888" s="24">
        <f>F889</f>
        <v>0</v>
      </c>
      <c r="G888" s="24">
        <f t="shared" si="246"/>
        <v>2000</v>
      </c>
      <c r="H888" s="24">
        <f>H889</f>
        <v>0</v>
      </c>
      <c r="I888" s="24">
        <f t="shared" si="247"/>
        <v>2000</v>
      </c>
      <c r="J888" s="24">
        <f>J889</f>
        <v>0</v>
      </c>
      <c r="K888" s="24">
        <f t="shared" si="248"/>
        <v>2000</v>
      </c>
      <c r="L888" s="24">
        <f>L889</f>
        <v>0</v>
      </c>
      <c r="M888" s="24">
        <f t="shared" si="249"/>
        <v>2000</v>
      </c>
      <c r="N888" s="24">
        <f>N889</f>
        <v>0</v>
      </c>
      <c r="O888" s="24">
        <f t="shared" si="250"/>
        <v>2000</v>
      </c>
      <c r="P888" s="24">
        <f>P889</f>
        <v>-1265.4000000000001</v>
      </c>
      <c r="Q888" s="24">
        <f t="shared" si="242"/>
        <v>734.59999999999991</v>
      </c>
      <c r="R888" s="24">
        <f>R889</f>
        <v>19538.099999999999</v>
      </c>
      <c r="S888" s="24">
        <f t="shared" si="237"/>
        <v>20272.699999999997</v>
      </c>
      <c r="T888" s="24">
        <f>T889+T892</f>
        <v>255.39999999999964</v>
      </c>
      <c r="U888" s="24">
        <f t="shared" si="238"/>
        <v>20528.099999999999</v>
      </c>
      <c r="V888" s="24">
        <f>V889+V892</f>
        <v>-17522.400000000001</v>
      </c>
      <c r="W888" s="24">
        <f t="shared" si="251"/>
        <v>3005.6999999999971</v>
      </c>
      <c r="X888" s="24">
        <f>X889+X892</f>
        <v>-132.1</v>
      </c>
      <c r="Y888" s="24">
        <f t="shared" si="252"/>
        <v>2873.5999999999972</v>
      </c>
    </row>
    <row r="889" spans="1:27" ht="27.75" customHeight="1" x14ac:dyDescent="0.25">
      <c r="A889" s="22" t="s">
        <v>235</v>
      </c>
      <c r="B889" s="23" t="s">
        <v>233</v>
      </c>
      <c r="C889" s="23" t="s">
        <v>236</v>
      </c>
      <c r="D889" s="23" t="s">
        <v>2</v>
      </c>
      <c r="E889" s="24">
        <f>E890</f>
        <v>2000</v>
      </c>
      <c r="F889" s="24">
        <f>F890</f>
        <v>0</v>
      </c>
      <c r="G889" s="24">
        <f t="shared" si="246"/>
        <v>2000</v>
      </c>
      <c r="H889" s="24">
        <f>H890</f>
        <v>0</v>
      </c>
      <c r="I889" s="24">
        <f t="shared" si="247"/>
        <v>2000</v>
      </c>
      <c r="J889" s="24">
        <f>J890</f>
        <v>0</v>
      </c>
      <c r="K889" s="24">
        <f t="shared" si="248"/>
        <v>2000</v>
      </c>
      <c r="L889" s="24">
        <f>L890</f>
        <v>0</v>
      </c>
      <c r="M889" s="24">
        <f t="shared" si="249"/>
        <v>2000</v>
      </c>
      <c r="N889" s="24">
        <f>N890</f>
        <v>0</v>
      </c>
      <c r="O889" s="24">
        <f t="shared" si="250"/>
        <v>2000</v>
      </c>
      <c r="P889" s="24">
        <f>P890</f>
        <v>-1265.4000000000001</v>
      </c>
      <c r="Q889" s="24">
        <f t="shared" si="242"/>
        <v>734.59999999999991</v>
      </c>
      <c r="R889" s="24">
        <f>R890</f>
        <v>19538.099999999999</v>
      </c>
      <c r="S889" s="24">
        <f t="shared" si="237"/>
        <v>20272.699999999997</v>
      </c>
      <c r="T889" s="24">
        <f>T890+T891</f>
        <v>0.3999999999996362</v>
      </c>
      <c r="U889" s="24">
        <f t="shared" si="238"/>
        <v>20273.099999999999</v>
      </c>
      <c r="V889" s="24">
        <f>V890+V891</f>
        <v>-19622.400000000001</v>
      </c>
      <c r="W889" s="24">
        <f t="shared" si="251"/>
        <v>650.69999999999709</v>
      </c>
      <c r="X889" s="24">
        <f>X890+X891</f>
        <v>-132.1</v>
      </c>
      <c r="Y889" s="24">
        <f t="shared" si="252"/>
        <v>518.59999999999707</v>
      </c>
    </row>
    <row r="890" spans="1:27" x14ac:dyDescent="0.25">
      <c r="A890" s="25" t="s">
        <v>66</v>
      </c>
      <c r="B890" s="26" t="s">
        <v>233</v>
      </c>
      <c r="C890" s="26" t="s">
        <v>236</v>
      </c>
      <c r="D890" s="26" t="s">
        <v>42</v>
      </c>
      <c r="E890" s="27">
        <v>2000</v>
      </c>
      <c r="F890" s="27"/>
      <c r="G890" s="24">
        <f t="shared" si="246"/>
        <v>2000</v>
      </c>
      <c r="H890" s="27"/>
      <c r="I890" s="24">
        <f t="shared" si="247"/>
        <v>2000</v>
      </c>
      <c r="J890" s="27"/>
      <c r="K890" s="24">
        <f t="shared" si="248"/>
        <v>2000</v>
      </c>
      <c r="L890" s="27"/>
      <c r="M890" s="24">
        <f t="shared" si="249"/>
        <v>2000</v>
      </c>
      <c r="N890" s="27"/>
      <c r="O890" s="24">
        <f t="shared" si="250"/>
        <v>2000</v>
      </c>
      <c r="P890" s="94">
        <v>-1265.4000000000001</v>
      </c>
      <c r="Q890" s="24">
        <f t="shared" si="242"/>
        <v>734.59999999999991</v>
      </c>
      <c r="R890" s="39">
        <f>19022+516.1</f>
        <v>19538.099999999999</v>
      </c>
      <c r="S890" s="24">
        <f t="shared" si="237"/>
        <v>20272.699999999997</v>
      </c>
      <c r="T890" s="63">
        <v>-13110</v>
      </c>
      <c r="U890" s="24">
        <f t="shared" si="238"/>
        <v>7162.6999999999971</v>
      </c>
      <c r="V890" s="94">
        <v>-6512</v>
      </c>
      <c r="W890" s="24">
        <f t="shared" si="251"/>
        <v>650.69999999999709</v>
      </c>
      <c r="X890" s="39">
        <v>-132.1</v>
      </c>
      <c r="Y890" s="24">
        <f t="shared" si="252"/>
        <v>518.59999999999707</v>
      </c>
      <c r="Z890" s="61">
        <v>-132.1</v>
      </c>
      <c r="AA890" s="189">
        <f t="shared" ref="AA890:AA891" si="253">Y890+Z890</f>
        <v>386.49999999999704</v>
      </c>
    </row>
    <row r="891" spans="1:27" ht="24.75" hidden="1" x14ac:dyDescent="0.25">
      <c r="A891" s="17" t="s">
        <v>572</v>
      </c>
      <c r="B891" s="26" t="s">
        <v>233</v>
      </c>
      <c r="C891" s="26" t="s">
        <v>236</v>
      </c>
      <c r="D891" s="26" t="s">
        <v>241</v>
      </c>
      <c r="E891" s="27"/>
      <c r="F891" s="27"/>
      <c r="G891" s="24"/>
      <c r="H891" s="27"/>
      <c r="I891" s="24"/>
      <c r="J891" s="27"/>
      <c r="K891" s="24"/>
      <c r="L891" s="27"/>
      <c r="M891" s="24"/>
      <c r="N891" s="27"/>
      <c r="O891" s="24"/>
      <c r="P891" s="94"/>
      <c r="Q891" s="24"/>
      <c r="R891" s="39"/>
      <c r="S891" s="24"/>
      <c r="T891" s="63">
        <v>13110.4</v>
      </c>
      <c r="U891" s="24">
        <f t="shared" ref="U891:U893" si="254">S891+T891</f>
        <v>13110.4</v>
      </c>
      <c r="V891" s="39">
        <f>-5000-8110.4</f>
        <v>-13110.4</v>
      </c>
      <c r="W891" s="24">
        <f t="shared" si="251"/>
        <v>0</v>
      </c>
      <c r="X891" s="69"/>
      <c r="Y891" s="24">
        <f t="shared" si="252"/>
        <v>0</v>
      </c>
      <c r="AA891" s="189">
        <f t="shared" si="253"/>
        <v>0</v>
      </c>
    </row>
    <row r="892" spans="1:27" ht="24.75" x14ac:dyDescent="0.25">
      <c r="A892" s="22" t="s">
        <v>234</v>
      </c>
      <c r="B892" s="20" t="s">
        <v>233</v>
      </c>
      <c r="C892" s="20" t="s">
        <v>1391</v>
      </c>
      <c r="D892" s="20" t="s">
        <v>2</v>
      </c>
      <c r="E892" s="27"/>
      <c r="F892" s="27"/>
      <c r="G892" s="24"/>
      <c r="H892" s="27"/>
      <c r="I892" s="24"/>
      <c r="J892" s="27"/>
      <c r="K892" s="24"/>
      <c r="L892" s="27"/>
      <c r="M892" s="24"/>
      <c r="N892" s="27"/>
      <c r="O892" s="24"/>
      <c r="P892" s="94"/>
      <c r="Q892" s="24"/>
      <c r="R892" s="39"/>
      <c r="S892" s="24"/>
      <c r="T892" s="47">
        <f>T893</f>
        <v>255</v>
      </c>
      <c r="U892" s="24">
        <f t="shared" si="254"/>
        <v>255</v>
      </c>
      <c r="V892" s="47">
        <f>V893</f>
        <v>2100</v>
      </c>
      <c r="W892" s="24">
        <f t="shared" si="251"/>
        <v>2355</v>
      </c>
      <c r="X892" s="47">
        <f>X893</f>
        <v>0</v>
      </c>
      <c r="Y892" s="24">
        <f t="shared" si="252"/>
        <v>2355</v>
      </c>
    </row>
    <row r="893" spans="1:27" x14ac:dyDescent="0.25">
      <c r="A893" s="30" t="s">
        <v>66</v>
      </c>
      <c r="B893" s="21" t="s">
        <v>233</v>
      </c>
      <c r="C893" s="21" t="s">
        <v>1391</v>
      </c>
      <c r="D893" s="21" t="s">
        <v>42</v>
      </c>
      <c r="E893" s="27"/>
      <c r="F893" s="27"/>
      <c r="G893" s="24"/>
      <c r="H893" s="27"/>
      <c r="I893" s="24"/>
      <c r="J893" s="27"/>
      <c r="K893" s="24"/>
      <c r="L893" s="27"/>
      <c r="M893" s="24"/>
      <c r="N893" s="27"/>
      <c r="O893" s="24"/>
      <c r="P893" s="94"/>
      <c r="Q893" s="24"/>
      <c r="R893" s="39"/>
      <c r="S893" s="24"/>
      <c r="T893" s="63">
        <v>255</v>
      </c>
      <c r="U893" s="24">
        <f t="shared" si="254"/>
        <v>255</v>
      </c>
      <c r="V893" s="94">
        <v>2100</v>
      </c>
      <c r="W893" s="24">
        <f t="shared" si="251"/>
        <v>2355</v>
      </c>
      <c r="X893" s="69"/>
      <c r="Y893" s="24">
        <f t="shared" si="252"/>
        <v>2355</v>
      </c>
      <c r="AA893" s="189">
        <f>Y893+Z893</f>
        <v>2355</v>
      </c>
    </row>
    <row r="894" spans="1:27" x14ac:dyDescent="0.25">
      <c r="A894" s="22" t="s">
        <v>213</v>
      </c>
      <c r="B894" s="23" t="s">
        <v>233</v>
      </c>
      <c r="C894" s="23" t="s">
        <v>214</v>
      </c>
      <c r="D894" s="23" t="s">
        <v>2</v>
      </c>
      <c r="E894" s="24">
        <f>E895</f>
        <v>1177.5999999999999</v>
      </c>
      <c r="F894" s="24">
        <f>F895</f>
        <v>0</v>
      </c>
      <c r="G894" s="24">
        <f t="shared" si="246"/>
        <v>1177.5999999999999</v>
      </c>
      <c r="H894" s="24">
        <f>H895</f>
        <v>0</v>
      </c>
      <c r="I894" s="24">
        <f t="shared" si="247"/>
        <v>1177.5999999999999</v>
      </c>
      <c r="J894" s="24">
        <f>J895</f>
        <v>0.4</v>
      </c>
      <c r="K894" s="24">
        <f t="shared" si="248"/>
        <v>1178</v>
      </c>
      <c r="L894" s="24">
        <f>L895+L900+L898</f>
        <v>53979.299999999996</v>
      </c>
      <c r="M894" s="24">
        <f t="shared" si="249"/>
        <v>55157.299999999996</v>
      </c>
      <c r="N894" s="24">
        <f>N895+N900+N898</f>
        <v>0</v>
      </c>
      <c r="O894" s="24">
        <f t="shared" si="250"/>
        <v>55157.299999999996</v>
      </c>
      <c r="P894" s="24">
        <f>P895+P900+P898</f>
        <v>0</v>
      </c>
      <c r="Q894" s="24">
        <f t="shared" si="242"/>
        <v>55157.299999999996</v>
      </c>
      <c r="R894" s="24">
        <f>R895+R900+R898</f>
        <v>5220</v>
      </c>
      <c r="S894" s="24">
        <f t="shared" si="237"/>
        <v>60377.299999999996</v>
      </c>
      <c r="T894" s="24">
        <f>T895+T900+T898</f>
        <v>0</v>
      </c>
      <c r="U894" s="24">
        <f t="shared" si="238"/>
        <v>60377.299999999996</v>
      </c>
      <c r="V894" s="24">
        <f>V895+V900+V898</f>
        <v>912</v>
      </c>
      <c r="W894" s="24">
        <f t="shared" si="251"/>
        <v>61289.299999999996</v>
      </c>
      <c r="X894" s="24">
        <f>X895+X900+X898</f>
        <v>6083.8</v>
      </c>
      <c r="Y894" s="24">
        <f t="shared" si="252"/>
        <v>67373.099999999991</v>
      </c>
    </row>
    <row r="895" spans="1:27" ht="24.75" x14ac:dyDescent="0.25">
      <c r="A895" s="22" t="s">
        <v>234</v>
      </c>
      <c r="B895" s="23" t="s">
        <v>233</v>
      </c>
      <c r="C895" s="23" t="s">
        <v>253</v>
      </c>
      <c r="D895" s="23" t="s">
        <v>2</v>
      </c>
      <c r="E895" s="24">
        <f>E896+E897</f>
        <v>1177.5999999999999</v>
      </c>
      <c r="F895" s="24">
        <f>F896+F897</f>
        <v>0</v>
      </c>
      <c r="G895" s="24">
        <f t="shared" si="246"/>
        <v>1177.5999999999999</v>
      </c>
      <c r="H895" s="24">
        <f>H896+H897</f>
        <v>0</v>
      </c>
      <c r="I895" s="24">
        <f t="shared" si="247"/>
        <v>1177.5999999999999</v>
      </c>
      <c r="J895" s="24">
        <f>J896+J897</f>
        <v>0.4</v>
      </c>
      <c r="K895" s="24">
        <f t="shared" si="248"/>
        <v>1178</v>
      </c>
      <c r="L895" s="24">
        <f>L896+L897</f>
        <v>-30</v>
      </c>
      <c r="M895" s="24">
        <f t="shared" si="249"/>
        <v>1148</v>
      </c>
      <c r="N895" s="24">
        <f>N896+N897</f>
        <v>0</v>
      </c>
      <c r="O895" s="24">
        <f t="shared" si="250"/>
        <v>1148</v>
      </c>
      <c r="P895" s="24">
        <f>P896+P897</f>
        <v>0</v>
      </c>
      <c r="Q895" s="24">
        <f t="shared" si="242"/>
        <v>1148</v>
      </c>
      <c r="R895" s="24">
        <f>R896+R897</f>
        <v>520</v>
      </c>
      <c r="S895" s="24">
        <f t="shared" si="237"/>
        <v>1668</v>
      </c>
      <c r="T895" s="24">
        <f>T896+T897</f>
        <v>0</v>
      </c>
      <c r="U895" s="24">
        <f t="shared" si="238"/>
        <v>1668</v>
      </c>
      <c r="V895" s="24">
        <f>V896+V897</f>
        <v>0</v>
      </c>
      <c r="W895" s="24">
        <f t="shared" si="251"/>
        <v>1668</v>
      </c>
      <c r="X895" s="24">
        <f>X896+X897</f>
        <v>0</v>
      </c>
      <c r="Y895" s="24">
        <f t="shared" si="252"/>
        <v>1668</v>
      </c>
    </row>
    <row r="896" spans="1:27" x14ac:dyDescent="0.25">
      <c r="A896" s="25" t="s">
        <v>66</v>
      </c>
      <c r="B896" s="26" t="s">
        <v>233</v>
      </c>
      <c r="C896" s="26" t="s">
        <v>253</v>
      </c>
      <c r="D896" s="26" t="s">
        <v>42</v>
      </c>
      <c r="E896" s="27">
        <v>1027.5999999999999</v>
      </c>
      <c r="F896" s="27"/>
      <c r="G896" s="24">
        <f t="shared" si="246"/>
        <v>1027.5999999999999</v>
      </c>
      <c r="H896" s="27"/>
      <c r="I896" s="24">
        <f t="shared" si="247"/>
        <v>1027.5999999999999</v>
      </c>
      <c r="J896" s="63">
        <v>0.4</v>
      </c>
      <c r="K896" s="24">
        <f t="shared" si="248"/>
        <v>1028</v>
      </c>
      <c r="L896" s="39">
        <f>-30-42.3</f>
        <v>-72.3</v>
      </c>
      <c r="M896" s="24">
        <f t="shared" si="249"/>
        <v>955.7</v>
      </c>
      <c r="N896" s="63">
        <v>-53.5</v>
      </c>
      <c r="O896" s="24">
        <f t="shared" si="250"/>
        <v>902.2</v>
      </c>
      <c r="P896" s="69"/>
      <c r="Q896" s="24">
        <f t="shared" si="242"/>
        <v>902.2</v>
      </c>
      <c r="R896" s="39">
        <v>440</v>
      </c>
      <c r="S896" s="24">
        <f t="shared" si="237"/>
        <v>1342.2</v>
      </c>
      <c r="T896" s="69"/>
      <c r="U896" s="24">
        <f t="shared" si="238"/>
        <v>1342.2</v>
      </c>
      <c r="V896" s="69"/>
      <c r="W896" s="24">
        <f t="shared" si="251"/>
        <v>1342.2</v>
      </c>
      <c r="X896" s="69"/>
      <c r="Y896" s="24">
        <f t="shared" si="252"/>
        <v>1342.2</v>
      </c>
      <c r="AA896" s="189">
        <f t="shared" ref="AA896:AA897" si="255">Y896+Z896</f>
        <v>1342.2</v>
      </c>
    </row>
    <row r="897" spans="1:27" x14ac:dyDescent="0.25">
      <c r="A897" s="25" t="s">
        <v>567</v>
      </c>
      <c r="B897" s="26" t="s">
        <v>233</v>
      </c>
      <c r="C897" s="26" t="s">
        <v>253</v>
      </c>
      <c r="D897" s="26" t="s">
        <v>43</v>
      </c>
      <c r="E897" s="27">
        <v>150</v>
      </c>
      <c r="F897" s="27"/>
      <c r="G897" s="24">
        <f t="shared" si="246"/>
        <v>150</v>
      </c>
      <c r="H897" s="27"/>
      <c r="I897" s="24">
        <f t="shared" si="247"/>
        <v>150</v>
      </c>
      <c r="J897" s="27"/>
      <c r="K897" s="24">
        <f t="shared" si="248"/>
        <v>150</v>
      </c>
      <c r="L897" s="107">
        <v>42.3</v>
      </c>
      <c r="M897" s="24">
        <f t="shared" si="249"/>
        <v>192.3</v>
      </c>
      <c r="N897" s="63">
        <v>53.5</v>
      </c>
      <c r="O897" s="24">
        <f t="shared" si="250"/>
        <v>245.8</v>
      </c>
      <c r="P897" s="69"/>
      <c r="Q897" s="24">
        <f t="shared" si="242"/>
        <v>245.8</v>
      </c>
      <c r="R897" s="39">
        <v>80</v>
      </c>
      <c r="S897" s="24">
        <f t="shared" si="237"/>
        <v>325.8</v>
      </c>
      <c r="T897" s="69"/>
      <c r="U897" s="24">
        <f t="shared" si="238"/>
        <v>325.8</v>
      </c>
      <c r="V897" s="69"/>
      <c r="W897" s="24">
        <f t="shared" si="251"/>
        <v>325.8</v>
      </c>
      <c r="X897" s="69"/>
      <c r="Y897" s="24">
        <f t="shared" si="252"/>
        <v>325.8</v>
      </c>
      <c r="AA897" s="189">
        <f t="shared" si="255"/>
        <v>325.8</v>
      </c>
    </row>
    <row r="898" spans="1:27" s="6" customFormat="1" ht="24.75" x14ac:dyDescent="0.25">
      <c r="A898" s="40" t="s">
        <v>270</v>
      </c>
      <c r="B898" s="20" t="s">
        <v>233</v>
      </c>
      <c r="C898" s="41" t="s">
        <v>818</v>
      </c>
      <c r="D898" s="21"/>
      <c r="E898" s="27"/>
      <c r="F898" s="27"/>
      <c r="G898" s="24"/>
      <c r="H898" s="27"/>
      <c r="I898" s="24"/>
      <c r="J898" s="27"/>
      <c r="K898" s="24"/>
      <c r="L898" s="18">
        <f>L899</f>
        <v>7737.7</v>
      </c>
      <c r="M898" s="24">
        <f t="shared" si="249"/>
        <v>7737.7</v>
      </c>
      <c r="N898" s="18">
        <f>N899</f>
        <v>0</v>
      </c>
      <c r="O898" s="24">
        <f t="shared" si="250"/>
        <v>7737.7</v>
      </c>
      <c r="P898" s="18">
        <f>P899</f>
        <v>0</v>
      </c>
      <c r="Q898" s="24">
        <f t="shared" si="242"/>
        <v>7737.7</v>
      </c>
      <c r="R898" s="18">
        <f>R899</f>
        <v>4700</v>
      </c>
      <c r="S898" s="24">
        <f t="shared" si="237"/>
        <v>12437.7</v>
      </c>
      <c r="T898" s="18">
        <f>T899</f>
        <v>0</v>
      </c>
      <c r="U898" s="24">
        <f t="shared" si="238"/>
        <v>12437.7</v>
      </c>
      <c r="V898" s="184">
        <f>V899</f>
        <v>912</v>
      </c>
      <c r="W898" s="24">
        <f t="shared" si="251"/>
        <v>13349.7</v>
      </c>
      <c r="X898" s="184">
        <f>X899</f>
        <v>6083.8</v>
      </c>
      <c r="Y898" s="24">
        <f t="shared" si="252"/>
        <v>19433.5</v>
      </c>
      <c r="Z898" s="189"/>
    </row>
    <row r="899" spans="1:27" ht="24.75" x14ac:dyDescent="0.25">
      <c r="A899" s="17" t="s">
        <v>572</v>
      </c>
      <c r="B899" s="56" t="s">
        <v>233</v>
      </c>
      <c r="C899" s="42" t="s">
        <v>818</v>
      </c>
      <c r="D899" s="42" t="s">
        <v>241</v>
      </c>
      <c r="E899" s="27"/>
      <c r="F899" s="27"/>
      <c r="G899" s="24"/>
      <c r="H899" s="27"/>
      <c r="I899" s="24"/>
      <c r="J899" s="27"/>
      <c r="K899" s="24"/>
      <c r="L899" s="96">
        <v>7737.7</v>
      </c>
      <c r="M899" s="24">
        <f t="shared" si="249"/>
        <v>7737.7</v>
      </c>
      <c r="N899" s="69"/>
      <c r="O899" s="24">
        <f t="shared" si="250"/>
        <v>7737.7</v>
      </c>
      <c r="P899" s="69"/>
      <c r="Q899" s="24">
        <f t="shared" si="242"/>
        <v>7737.7</v>
      </c>
      <c r="R899" s="39">
        <f>10100-5400</f>
        <v>4700</v>
      </c>
      <c r="S899" s="24">
        <f t="shared" si="237"/>
        <v>12437.7</v>
      </c>
      <c r="T899" s="69"/>
      <c r="U899" s="24">
        <f t="shared" si="238"/>
        <v>12437.7</v>
      </c>
      <c r="V899" s="39">
        <f>-5000+5912</f>
        <v>912</v>
      </c>
      <c r="W899" s="24">
        <f t="shared" si="251"/>
        <v>13349.7</v>
      </c>
      <c r="X899" s="109">
        <f>5000+1900-816.2</f>
        <v>6083.8</v>
      </c>
      <c r="Y899" s="24">
        <f t="shared" si="252"/>
        <v>19433.5</v>
      </c>
      <c r="Z899" s="61">
        <v>-816.2</v>
      </c>
      <c r="AA899" s="189">
        <f>Y899+Z899</f>
        <v>18617.3</v>
      </c>
    </row>
    <row r="900" spans="1:27" ht="48.75" x14ac:dyDescent="0.25">
      <c r="A900" s="40" t="s">
        <v>833</v>
      </c>
      <c r="B900" s="20" t="s">
        <v>233</v>
      </c>
      <c r="C900" s="20" t="s">
        <v>834</v>
      </c>
      <c r="D900" s="21"/>
      <c r="E900" s="27"/>
      <c r="F900" s="27"/>
      <c r="G900" s="24"/>
      <c r="H900" s="27"/>
      <c r="I900" s="24"/>
      <c r="J900" s="27"/>
      <c r="K900" s="24"/>
      <c r="L900" s="18">
        <f>L902+L901</f>
        <v>46271.6</v>
      </c>
      <c r="M900" s="24">
        <f t="shared" si="249"/>
        <v>46271.6</v>
      </c>
      <c r="N900" s="18">
        <f>N902+N901</f>
        <v>0</v>
      </c>
      <c r="O900" s="24">
        <f t="shared" si="250"/>
        <v>46271.6</v>
      </c>
      <c r="P900" s="18">
        <f>P902+P901</f>
        <v>0</v>
      </c>
      <c r="Q900" s="24">
        <f t="shared" si="242"/>
        <v>46271.6</v>
      </c>
      <c r="R900" s="18">
        <f>R902+R901</f>
        <v>0</v>
      </c>
      <c r="S900" s="24">
        <f t="shared" si="237"/>
        <v>46271.6</v>
      </c>
      <c r="T900" s="18">
        <f>T902+T901</f>
        <v>0</v>
      </c>
      <c r="U900" s="24">
        <f t="shared" si="238"/>
        <v>46271.6</v>
      </c>
      <c r="V900" s="18">
        <f>V902+V901</f>
        <v>0</v>
      </c>
      <c r="W900" s="24">
        <f t="shared" si="251"/>
        <v>46271.6</v>
      </c>
      <c r="X900" s="18">
        <f>X902+X901</f>
        <v>0</v>
      </c>
      <c r="Y900" s="24">
        <f t="shared" si="252"/>
        <v>46271.6</v>
      </c>
    </row>
    <row r="901" spans="1:27" s="6" customFormat="1" ht="24.75" x14ac:dyDescent="0.25">
      <c r="A901" s="30" t="s">
        <v>572</v>
      </c>
      <c r="B901" s="21" t="s">
        <v>233</v>
      </c>
      <c r="C901" s="21" t="s">
        <v>834</v>
      </c>
      <c r="D901" s="21" t="s">
        <v>241</v>
      </c>
      <c r="E901" s="27"/>
      <c r="F901" s="27"/>
      <c r="G901" s="24"/>
      <c r="H901" s="27"/>
      <c r="I901" s="24"/>
      <c r="J901" s="27"/>
      <c r="K901" s="24"/>
      <c r="L901" s="96">
        <v>5121.7</v>
      </c>
      <c r="M901" s="24">
        <f t="shared" si="249"/>
        <v>5121.7</v>
      </c>
      <c r="N901" s="69"/>
      <c r="O901" s="24">
        <f t="shared" si="250"/>
        <v>5121.7</v>
      </c>
      <c r="P901" s="69"/>
      <c r="Q901" s="24">
        <f t="shared" si="242"/>
        <v>5121.7</v>
      </c>
      <c r="R901" s="69"/>
      <c r="S901" s="24">
        <f t="shared" si="237"/>
        <v>5121.7</v>
      </c>
      <c r="T901" s="69"/>
      <c r="U901" s="24">
        <f t="shared" si="238"/>
        <v>5121.7</v>
      </c>
      <c r="V901" s="69"/>
      <c r="W901" s="24">
        <f t="shared" si="251"/>
        <v>5121.7</v>
      </c>
      <c r="X901" s="69"/>
      <c r="Y901" s="24">
        <f t="shared" si="252"/>
        <v>5121.7</v>
      </c>
      <c r="Z901" s="189"/>
      <c r="AA901" s="189">
        <f t="shared" ref="AA901:AA902" si="256">Y901+Z901</f>
        <v>5121.7</v>
      </c>
    </row>
    <row r="902" spans="1:27" s="6" customFormat="1" ht="24.75" x14ac:dyDescent="0.25">
      <c r="A902" s="30" t="s">
        <v>572</v>
      </c>
      <c r="B902" s="21" t="s">
        <v>233</v>
      </c>
      <c r="C902" s="21" t="s">
        <v>834</v>
      </c>
      <c r="D902" s="21" t="s">
        <v>241</v>
      </c>
      <c r="E902" s="27"/>
      <c r="F902" s="27"/>
      <c r="G902" s="24"/>
      <c r="H902" s="27"/>
      <c r="I902" s="24"/>
      <c r="J902" s="27"/>
      <c r="K902" s="24"/>
      <c r="L902" s="43">
        <v>41149.9</v>
      </c>
      <c r="M902" s="24">
        <f t="shared" si="249"/>
        <v>41149.9</v>
      </c>
      <c r="N902" s="69"/>
      <c r="O902" s="24">
        <f t="shared" si="250"/>
        <v>41149.9</v>
      </c>
      <c r="P902" s="69"/>
      <c r="Q902" s="24">
        <f t="shared" si="242"/>
        <v>41149.9</v>
      </c>
      <c r="R902" s="69"/>
      <c r="S902" s="24">
        <f t="shared" si="237"/>
        <v>41149.9</v>
      </c>
      <c r="T902" s="69"/>
      <c r="U902" s="24">
        <f t="shared" si="238"/>
        <v>41149.9</v>
      </c>
      <c r="V902" s="69"/>
      <c r="W902" s="24">
        <f t="shared" si="251"/>
        <v>41149.9</v>
      </c>
      <c r="X902" s="69"/>
      <c r="Y902" s="24">
        <f t="shared" si="252"/>
        <v>41149.9</v>
      </c>
      <c r="Z902" s="189"/>
      <c r="AA902" s="189">
        <f t="shared" si="256"/>
        <v>41149.9</v>
      </c>
    </row>
    <row r="903" spans="1:27" s="6" customFormat="1" ht="36.75" x14ac:dyDescent="0.25">
      <c r="A903" s="22" t="s">
        <v>237</v>
      </c>
      <c r="B903" s="23" t="s">
        <v>233</v>
      </c>
      <c r="C903" s="23" t="s">
        <v>238</v>
      </c>
      <c r="D903" s="23" t="s">
        <v>2</v>
      </c>
      <c r="E903" s="24">
        <f>E906</f>
        <v>1328.9</v>
      </c>
      <c r="F903" s="24">
        <f>F906+F904</f>
        <v>42968</v>
      </c>
      <c r="G903" s="24">
        <f t="shared" si="246"/>
        <v>44296.9</v>
      </c>
      <c r="H903" s="24">
        <f>H906+H904</f>
        <v>0</v>
      </c>
      <c r="I903" s="24">
        <f t="shared" si="247"/>
        <v>44296.9</v>
      </c>
      <c r="J903" s="24">
        <f>J906+J904</f>
        <v>0</v>
      </c>
      <c r="K903" s="24">
        <f t="shared" si="248"/>
        <v>44296.9</v>
      </c>
      <c r="L903" s="24">
        <f>L906+L904</f>
        <v>0</v>
      </c>
      <c r="M903" s="24">
        <f t="shared" si="249"/>
        <v>44296.9</v>
      </c>
      <c r="N903" s="24">
        <f>N906+N904</f>
        <v>19903.399999999998</v>
      </c>
      <c r="O903" s="24">
        <f t="shared" si="250"/>
        <v>64200.3</v>
      </c>
      <c r="P903" s="24">
        <f>P906+P904</f>
        <v>28831.8</v>
      </c>
      <c r="Q903" s="24">
        <f t="shared" si="242"/>
        <v>93032.1</v>
      </c>
      <c r="R903" s="24">
        <f>R906+R904</f>
        <v>0</v>
      </c>
      <c r="S903" s="24">
        <f t="shared" si="237"/>
        <v>93032.1</v>
      </c>
      <c r="T903" s="24">
        <f>T906+T904+T908</f>
        <v>10</v>
      </c>
      <c r="U903" s="24">
        <f t="shared" si="238"/>
        <v>93042.1</v>
      </c>
      <c r="V903" s="24">
        <f>V906+V904+V908</f>
        <v>2400</v>
      </c>
      <c r="W903" s="24">
        <f t="shared" si="251"/>
        <v>95442.1</v>
      </c>
      <c r="X903" s="24">
        <f>X906+X904+X908</f>
        <v>-28833.3</v>
      </c>
      <c r="Y903" s="24">
        <f t="shared" si="252"/>
        <v>66608.800000000003</v>
      </c>
      <c r="Z903" s="189"/>
    </row>
    <row r="904" spans="1:27" s="6" customFormat="1" ht="36.75" x14ac:dyDescent="0.25">
      <c r="A904" s="22" t="s">
        <v>237</v>
      </c>
      <c r="B904" s="20" t="s">
        <v>233</v>
      </c>
      <c r="C904" s="41" t="s">
        <v>666</v>
      </c>
      <c r="D904" s="41" t="s">
        <v>2</v>
      </c>
      <c r="E904" s="24"/>
      <c r="F904" s="18">
        <f>F905</f>
        <v>42968</v>
      </c>
      <c r="G904" s="24">
        <f t="shared" si="246"/>
        <v>42968</v>
      </c>
      <c r="H904" s="18">
        <f>H905</f>
        <v>0</v>
      </c>
      <c r="I904" s="24">
        <f t="shared" si="247"/>
        <v>42968</v>
      </c>
      <c r="J904" s="18">
        <f>J905</f>
        <v>0</v>
      </c>
      <c r="K904" s="24">
        <f t="shared" si="248"/>
        <v>42968</v>
      </c>
      <c r="L904" s="18">
        <f>L905</f>
        <v>0</v>
      </c>
      <c r="M904" s="24">
        <f t="shared" si="249"/>
        <v>42968</v>
      </c>
      <c r="N904" s="18">
        <f>N905</f>
        <v>19306.3</v>
      </c>
      <c r="O904" s="24">
        <f t="shared" si="250"/>
        <v>62274.3</v>
      </c>
      <c r="P904" s="18">
        <f>P905</f>
        <v>27966.799999999999</v>
      </c>
      <c r="Q904" s="24">
        <f t="shared" si="242"/>
        <v>90241.1</v>
      </c>
      <c r="R904" s="18">
        <f>R905</f>
        <v>0</v>
      </c>
      <c r="S904" s="24">
        <f t="shared" si="237"/>
        <v>90241.1</v>
      </c>
      <c r="T904" s="18">
        <f>T905</f>
        <v>0</v>
      </c>
      <c r="U904" s="24">
        <f t="shared" si="238"/>
        <v>90241.1</v>
      </c>
      <c r="V904" s="18">
        <f>V905</f>
        <v>0</v>
      </c>
      <c r="W904" s="24">
        <f t="shared" si="251"/>
        <v>90241.1</v>
      </c>
      <c r="X904" s="18">
        <f>X905</f>
        <v>-27968.3</v>
      </c>
      <c r="Y904" s="24">
        <f t="shared" si="252"/>
        <v>62272.800000000003</v>
      </c>
      <c r="Z904" s="189"/>
    </row>
    <row r="905" spans="1:27" s="6" customFormat="1" ht="24.75" x14ac:dyDescent="0.25">
      <c r="A905" s="30" t="s">
        <v>572</v>
      </c>
      <c r="B905" s="21" t="s">
        <v>233</v>
      </c>
      <c r="C905" s="42" t="s">
        <v>666</v>
      </c>
      <c r="D905" s="42" t="s">
        <v>241</v>
      </c>
      <c r="E905" s="24"/>
      <c r="F905" s="43">
        <v>42968</v>
      </c>
      <c r="G905" s="24">
        <f t="shared" si="246"/>
        <v>42968</v>
      </c>
      <c r="H905" s="69"/>
      <c r="I905" s="24">
        <f t="shared" si="247"/>
        <v>42968</v>
      </c>
      <c r="J905" s="69"/>
      <c r="K905" s="24">
        <f t="shared" si="248"/>
        <v>42968</v>
      </c>
      <c r="L905" s="69"/>
      <c r="M905" s="24">
        <f t="shared" si="249"/>
        <v>42968</v>
      </c>
      <c r="N905" s="43">
        <v>19306.3</v>
      </c>
      <c r="O905" s="24">
        <f t="shared" si="250"/>
        <v>62274.3</v>
      </c>
      <c r="P905" s="125">
        <v>27966.799999999999</v>
      </c>
      <c r="Q905" s="24">
        <f t="shared" si="242"/>
        <v>90241.1</v>
      </c>
      <c r="R905" s="69"/>
      <c r="S905" s="24">
        <f t="shared" si="237"/>
        <v>90241.1</v>
      </c>
      <c r="T905" s="69"/>
      <c r="U905" s="24">
        <f t="shared" si="238"/>
        <v>90241.1</v>
      </c>
      <c r="V905" s="69"/>
      <c r="W905" s="24">
        <f t="shared" si="251"/>
        <v>90241.1</v>
      </c>
      <c r="X905" s="43">
        <v>-27968.3</v>
      </c>
      <c r="Y905" s="24">
        <f t="shared" si="252"/>
        <v>62272.800000000003</v>
      </c>
      <c r="Z905" s="189"/>
      <c r="AA905" s="189">
        <f>Y905+Z905</f>
        <v>62272.800000000003</v>
      </c>
    </row>
    <row r="906" spans="1:27" s="6" customFormat="1" ht="36.75" x14ac:dyDescent="0.25">
      <c r="A906" s="22" t="s">
        <v>239</v>
      </c>
      <c r="B906" s="23" t="s">
        <v>233</v>
      </c>
      <c r="C906" s="23" t="s">
        <v>240</v>
      </c>
      <c r="D906" s="23" t="s">
        <v>2</v>
      </c>
      <c r="E906" s="24">
        <f>E907</f>
        <v>1328.9</v>
      </c>
      <c r="F906" s="24">
        <f>F907</f>
        <v>0</v>
      </c>
      <c r="G906" s="24">
        <f t="shared" si="246"/>
        <v>1328.9</v>
      </c>
      <c r="H906" s="24">
        <f>H907</f>
        <v>0</v>
      </c>
      <c r="I906" s="24">
        <f t="shared" si="247"/>
        <v>1328.9</v>
      </c>
      <c r="J906" s="24">
        <f>J907</f>
        <v>0</v>
      </c>
      <c r="K906" s="24">
        <f t="shared" si="248"/>
        <v>1328.9</v>
      </c>
      <c r="L906" s="24">
        <f>L907</f>
        <v>0</v>
      </c>
      <c r="M906" s="24">
        <f t="shared" si="249"/>
        <v>1328.9</v>
      </c>
      <c r="N906" s="24">
        <f>N907</f>
        <v>597.1</v>
      </c>
      <c r="O906" s="24">
        <f t="shared" si="250"/>
        <v>1926</v>
      </c>
      <c r="P906" s="24">
        <f>P907</f>
        <v>865</v>
      </c>
      <c r="Q906" s="24">
        <f t="shared" si="242"/>
        <v>2791</v>
      </c>
      <c r="R906" s="24">
        <f>R907</f>
        <v>0</v>
      </c>
      <c r="S906" s="24">
        <f t="shared" si="237"/>
        <v>2791</v>
      </c>
      <c r="T906" s="24">
        <f>T907</f>
        <v>0</v>
      </c>
      <c r="U906" s="24">
        <f t="shared" si="238"/>
        <v>2791</v>
      </c>
      <c r="V906" s="24">
        <f>V907</f>
        <v>0</v>
      </c>
      <c r="W906" s="24">
        <f t="shared" si="251"/>
        <v>2791</v>
      </c>
      <c r="X906" s="24">
        <f>X907</f>
        <v>-865</v>
      </c>
      <c r="Y906" s="24">
        <f t="shared" si="252"/>
        <v>1926</v>
      </c>
      <c r="Z906" s="189"/>
    </row>
    <row r="907" spans="1:27" ht="24.75" x14ac:dyDescent="0.25">
      <c r="A907" s="25" t="s">
        <v>572</v>
      </c>
      <c r="B907" s="26" t="s">
        <v>233</v>
      </c>
      <c r="C907" s="26" t="s">
        <v>240</v>
      </c>
      <c r="D907" s="26" t="s">
        <v>241</v>
      </c>
      <c r="E907" s="27">
        <v>1328.9</v>
      </c>
      <c r="F907" s="27"/>
      <c r="G907" s="24">
        <f t="shared" si="246"/>
        <v>1328.9</v>
      </c>
      <c r="H907" s="27"/>
      <c r="I907" s="24">
        <f t="shared" si="247"/>
        <v>1328.9</v>
      </c>
      <c r="J907" s="27"/>
      <c r="K907" s="24">
        <f t="shared" si="248"/>
        <v>1328.9</v>
      </c>
      <c r="L907" s="27"/>
      <c r="M907" s="24">
        <f t="shared" si="249"/>
        <v>1328.9</v>
      </c>
      <c r="N907" s="43">
        <v>597.1</v>
      </c>
      <c r="O907" s="24">
        <f t="shared" si="250"/>
        <v>1926</v>
      </c>
      <c r="P907" s="125">
        <v>865</v>
      </c>
      <c r="Q907" s="24">
        <f t="shared" si="242"/>
        <v>2791</v>
      </c>
      <c r="R907" s="69"/>
      <c r="S907" s="24">
        <f t="shared" si="237"/>
        <v>2791</v>
      </c>
      <c r="T907" s="69"/>
      <c r="U907" s="24">
        <f t="shared" si="238"/>
        <v>2791</v>
      </c>
      <c r="V907" s="69"/>
      <c r="W907" s="24">
        <f t="shared" si="251"/>
        <v>2791</v>
      </c>
      <c r="X907" s="43">
        <v>-865</v>
      </c>
      <c r="Y907" s="24">
        <f t="shared" si="252"/>
        <v>1926</v>
      </c>
      <c r="AA907" s="189">
        <f>Y907+Z907</f>
        <v>1926</v>
      </c>
    </row>
    <row r="908" spans="1:27" ht="24.75" x14ac:dyDescent="0.25">
      <c r="A908" s="16" t="s">
        <v>1392</v>
      </c>
      <c r="B908" s="20" t="s">
        <v>233</v>
      </c>
      <c r="C908" s="20" t="s">
        <v>1393</v>
      </c>
      <c r="D908" s="21"/>
      <c r="E908" s="27"/>
      <c r="F908" s="27"/>
      <c r="G908" s="24"/>
      <c r="H908" s="27"/>
      <c r="I908" s="24"/>
      <c r="J908" s="27"/>
      <c r="K908" s="24"/>
      <c r="L908" s="27"/>
      <c r="M908" s="24"/>
      <c r="N908" s="43"/>
      <c r="O908" s="24"/>
      <c r="P908" s="125"/>
      <c r="Q908" s="24"/>
      <c r="R908" s="69"/>
      <c r="S908" s="24"/>
      <c r="T908" s="47">
        <f>T909</f>
        <v>10</v>
      </c>
      <c r="U908" s="24">
        <f t="shared" ref="U908:U909" si="257">S908+T908</f>
        <v>10</v>
      </c>
      <c r="V908" s="47">
        <f>V909</f>
        <v>2400</v>
      </c>
      <c r="W908" s="24">
        <f t="shared" si="251"/>
        <v>2410</v>
      </c>
      <c r="X908" s="47">
        <f>X909</f>
        <v>0</v>
      </c>
      <c r="Y908" s="24">
        <f t="shared" si="252"/>
        <v>2410</v>
      </c>
    </row>
    <row r="909" spans="1:27" ht="24.75" x14ac:dyDescent="0.25">
      <c r="A909" s="17" t="s">
        <v>572</v>
      </c>
      <c r="B909" s="21" t="s">
        <v>233</v>
      </c>
      <c r="C909" s="21" t="s">
        <v>1393</v>
      </c>
      <c r="D909" s="21" t="s">
        <v>241</v>
      </c>
      <c r="E909" s="27"/>
      <c r="F909" s="27"/>
      <c r="G909" s="24"/>
      <c r="H909" s="27"/>
      <c r="I909" s="24"/>
      <c r="J909" s="27"/>
      <c r="K909" s="24"/>
      <c r="L909" s="27"/>
      <c r="M909" s="24"/>
      <c r="N909" s="43"/>
      <c r="O909" s="24"/>
      <c r="P909" s="125"/>
      <c r="Q909" s="24"/>
      <c r="R909" s="69"/>
      <c r="S909" s="24"/>
      <c r="T909" s="63">
        <v>10</v>
      </c>
      <c r="U909" s="24">
        <f t="shared" si="257"/>
        <v>10</v>
      </c>
      <c r="V909" s="94">
        <v>2400</v>
      </c>
      <c r="W909" s="24">
        <f t="shared" si="251"/>
        <v>2410</v>
      </c>
      <c r="X909" s="69"/>
      <c r="Y909" s="24">
        <f t="shared" si="252"/>
        <v>2410</v>
      </c>
      <c r="AA909" s="189">
        <f>Y909+Z909</f>
        <v>2410</v>
      </c>
    </row>
    <row r="910" spans="1:27" ht="24.75" x14ac:dyDescent="0.25">
      <c r="A910" s="45" t="s">
        <v>590</v>
      </c>
      <c r="B910" s="20" t="s">
        <v>233</v>
      </c>
      <c r="C910" s="54" t="s">
        <v>32</v>
      </c>
      <c r="D910" s="21"/>
      <c r="E910" s="27"/>
      <c r="F910" s="27"/>
      <c r="G910" s="24"/>
      <c r="H910" s="27"/>
      <c r="I910" s="24"/>
      <c r="J910" s="27"/>
      <c r="K910" s="24"/>
      <c r="L910" s="27"/>
      <c r="M910" s="24"/>
      <c r="N910" s="43"/>
      <c r="O910" s="24"/>
      <c r="P910" s="125"/>
      <c r="Q910" s="24"/>
      <c r="R910" s="69"/>
      <c r="S910" s="24"/>
      <c r="T910" s="47">
        <f>T911</f>
        <v>51.2</v>
      </c>
      <c r="U910" s="24">
        <f t="shared" ref="U910:U914" si="258">S910+T910</f>
        <v>51.2</v>
      </c>
      <c r="V910" s="47">
        <f>V911</f>
        <v>0</v>
      </c>
      <c r="W910" s="24">
        <f t="shared" si="251"/>
        <v>51.2</v>
      </c>
      <c r="X910" s="47">
        <f>X911</f>
        <v>0</v>
      </c>
      <c r="Y910" s="24">
        <f t="shared" si="252"/>
        <v>51.2</v>
      </c>
    </row>
    <row r="911" spans="1:27" x14ac:dyDescent="0.25">
      <c r="A911" s="45" t="s">
        <v>33</v>
      </c>
      <c r="B911" s="20" t="s">
        <v>233</v>
      </c>
      <c r="C911" s="54" t="s">
        <v>34</v>
      </c>
      <c r="D911" s="21"/>
      <c r="E911" s="27"/>
      <c r="F911" s="27"/>
      <c r="G911" s="24"/>
      <c r="H911" s="27"/>
      <c r="I911" s="24"/>
      <c r="J911" s="27"/>
      <c r="K911" s="24"/>
      <c r="L911" s="27"/>
      <c r="M911" s="24"/>
      <c r="N911" s="43"/>
      <c r="O911" s="24"/>
      <c r="P911" s="125"/>
      <c r="Q911" s="24"/>
      <c r="R911" s="69"/>
      <c r="S911" s="24"/>
      <c r="T911" s="47">
        <f>T912</f>
        <v>51.2</v>
      </c>
      <c r="U911" s="24">
        <f t="shared" si="258"/>
        <v>51.2</v>
      </c>
      <c r="V911" s="47">
        <f>V912</f>
        <v>0</v>
      </c>
      <c r="W911" s="24">
        <f t="shared" si="251"/>
        <v>51.2</v>
      </c>
      <c r="X911" s="47">
        <f>X912</f>
        <v>0</v>
      </c>
      <c r="Y911" s="24">
        <f t="shared" si="252"/>
        <v>51.2</v>
      </c>
    </row>
    <row r="912" spans="1:27" x14ac:dyDescent="0.25">
      <c r="A912" s="22" t="s">
        <v>50</v>
      </c>
      <c r="B912" s="20" t="s">
        <v>233</v>
      </c>
      <c r="C912" s="23" t="s">
        <v>51</v>
      </c>
      <c r="D912" s="21"/>
      <c r="E912" s="27"/>
      <c r="F912" s="27"/>
      <c r="G912" s="24"/>
      <c r="H912" s="27"/>
      <c r="I912" s="24"/>
      <c r="J912" s="27"/>
      <c r="K912" s="24"/>
      <c r="L912" s="27"/>
      <c r="M912" s="24"/>
      <c r="N912" s="43"/>
      <c r="O912" s="24"/>
      <c r="P912" s="125"/>
      <c r="Q912" s="24"/>
      <c r="R912" s="69"/>
      <c r="S912" s="24"/>
      <c r="T912" s="47">
        <f>T913</f>
        <v>51.2</v>
      </c>
      <c r="U912" s="24">
        <f t="shared" si="258"/>
        <v>51.2</v>
      </c>
      <c r="V912" s="47">
        <f>V913</f>
        <v>0</v>
      </c>
      <c r="W912" s="24">
        <f t="shared" si="251"/>
        <v>51.2</v>
      </c>
      <c r="X912" s="47">
        <f>X913</f>
        <v>0</v>
      </c>
      <c r="Y912" s="24">
        <f t="shared" si="252"/>
        <v>51.2</v>
      </c>
    </row>
    <row r="913" spans="1:27" ht="36.75" x14ac:dyDescent="0.25">
      <c r="A913" s="16" t="s">
        <v>860</v>
      </c>
      <c r="B913" s="20" t="s">
        <v>233</v>
      </c>
      <c r="C913" s="20" t="s">
        <v>862</v>
      </c>
      <c r="D913" s="21"/>
      <c r="E913" s="27"/>
      <c r="F913" s="27"/>
      <c r="G913" s="24"/>
      <c r="H913" s="27"/>
      <c r="I913" s="24"/>
      <c r="J913" s="27"/>
      <c r="K913" s="24"/>
      <c r="L913" s="27"/>
      <c r="M913" s="24"/>
      <c r="N913" s="43"/>
      <c r="O913" s="24"/>
      <c r="P913" s="125"/>
      <c r="Q913" s="24"/>
      <c r="R913" s="69"/>
      <c r="S913" s="24"/>
      <c r="T913" s="47">
        <f>T914</f>
        <v>51.2</v>
      </c>
      <c r="U913" s="24">
        <f t="shared" si="258"/>
        <v>51.2</v>
      </c>
      <c r="V913" s="47">
        <f>V914</f>
        <v>0</v>
      </c>
      <c r="W913" s="24">
        <f t="shared" si="251"/>
        <v>51.2</v>
      </c>
      <c r="X913" s="47">
        <f>X914</f>
        <v>0</v>
      </c>
      <c r="Y913" s="24">
        <f t="shared" si="252"/>
        <v>51.2</v>
      </c>
    </row>
    <row r="914" spans="1:27" x14ac:dyDescent="0.25">
      <c r="A914" s="30" t="s">
        <v>66</v>
      </c>
      <c r="B914" s="21" t="s">
        <v>233</v>
      </c>
      <c r="C914" s="21" t="s">
        <v>862</v>
      </c>
      <c r="D914" s="21" t="s">
        <v>42</v>
      </c>
      <c r="E914" s="27"/>
      <c r="F914" s="27"/>
      <c r="G914" s="24"/>
      <c r="H914" s="27"/>
      <c r="I914" s="24"/>
      <c r="J914" s="27"/>
      <c r="K914" s="24"/>
      <c r="L914" s="27"/>
      <c r="M914" s="24"/>
      <c r="N914" s="43"/>
      <c r="O914" s="24"/>
      <c r="P914" s="125"/>
      <c r="Q914" s="24"/>
      <c r="R914" s="69"/>
      <c r="S914" s="24"/>
      <c r="T914" s="63">
        <v>51.2</v>
      </c>
      <c r="U914" s="24">
        <f t="shared" si="258"/>
        <v>51.2</v>
      </c>
      <c r="V914" s="69"/>
      <c r="W914" s="24">
        <f t="shared" si="251"/>
        <v>51.2</v>
      </c>
      <c r="X914" s="69"/>
      <c r="Y914" s="24">
        <f t="shared" si="252"/>
        <v>51.2</v>
      </c>
      <c r="AA914" s="189">
        <f>Y914+Z914</f>
        <v>51.2</v>
      </c>
    </row>
    <row r="915" spans="1:27" ht="29.25" customHeight="1" x14ac:dyDescent="0.25">
      <c r="A915" s="22" t="s">
        <v>242</v>
      </c>
      <c r="B915" s="23" t="s">
        <v>243</v>
      </c>
      <c r="C915" s="23" t="s">
        <v>2</v>
      </c>
      <c r="D915" s="23" t="s">
        <v>2</v>
      </c>
      <c r="E915" s="24">
        <f>E926+E966</f>
        <v>78665.600000000006</v>
      </c>
      <c r="F915" s="24">
        <f>F926+F966</f>
        <v>231340.3</v>
      </c>
      <c r="G915" s="24">
        <f t="shared" si="246"/>
        <v>310005.90000000002</v>
      </c>
      <c r="H915" s="24">
        <f>H926+H966</f>
        <v>-41283.4</v>
      </c>
      <c r="I915" s="24">
        <f t="shared" si="247"/>
        <v>268722.5</v>
      </c>
      <c r="J915" s="24">
        <f>J926+J966</f>
        <v>61596.5</v>
      </c>
      <c r="K915" s="24">
        <f t="shared" si="248"/>
        <v>330319</v>
      </c>
      <c r="L915" s="24">
        <f>L926+L966+L972</f>
        <v>121725</v>
      </c>
      <c r="M915" s="24">
        <f t="shared" si="249"/>
        <v>452044</v>
      </c>
      <c r="N915" s="24">
        <f>N926+N966+N972</f>
        <v>-14330.9</v>
      </c>
      <c r="O915" s="24">
        <f t="shared" si="250"/>
        <v>437713.1</v>
      </c>
      <c r="P915" s="24">
        <f>P926+P966+P972+P916</f>
        <v>3756.2</v>
      </c>
      <c r="Q915" s="24">
        <f t="shared" si="242"/>
        <v>441469.3</v>
      </c>
      <c r="R915" s="24">
        <f>R926+R966+R972+R916</f>
        <v>21962.5</v>
      </c>
      <c r="S915" s="24">
        <f t="shared" si="237"/>
        <v>463431.8</v>
      </c>
      <c r="T915" s="24">
        <f>T926+T966+T972+T916</f>
        <v>-21953.1</v>
      </c>
      <c r="U915" s="24">
        <f t="shared" si="238"/>
        <v>441478.7</v>
      </c>
      <c r="V915" s="24">
        <f>V926+V966+V972+V916</f>
        <v>1403.1</v>
      </c>
      <c r="W915" s="24">
        <f t="shared" si="251"/>
        <v>442881.8</v>
      </c>
      <c r="X915" s="24">
        <f>X926+X966+X972+X916</f>
        <v>56028.2</v>
      </c>
      <c r="Y915" s="24">
        <f t="shared" si="252"/>
        <v>498910</v>
      </c>
    </row>
    <row r="916" spans="1:27" ht="24.75" x14ac:dyDescent="0.25">
      <c r="A916" s="45" t="s">
        <v>621</v>
      </c>
      <c r="B916" s="54" t="s">
        <v>243</v>
      </c>
      <c r="C916" s="54" t="s">
        <v>60</v>
      </c>
      <c r="D916" s="20"/>
      <c r="E916" s="24"/>
      <c r="F916" s="24"/>
      <c r="G916" s="24"/>
      <c r="H916" s="24"/>
      <c r="I916" s="24"/>
      <c r="J916" s="24"/>
      <c r="K916" s="24"/>
      <c r="L916" s="24"/>
      <c r="M916" s="24"/>
      <c r="N916" s="24"/>
      <c r="O916" s="24"/>
      <c r="P916" s="18">
        <f>P917</f>
        <v>1037.5</v>
      </c>
      <c r="Q916" s="24">
        <f t="shared" si="242"/>
        <v>1037.5</v>
      </c>
      <c r="R916" s="18">
        <f>R917</f>
        <v>4150</v>
      </c>
      <c r="S916" s="24">
        <f t="shared" si="237"/>
        <v>5187.5</v>
      </c>
      <c r="T916" s="18">
        <f>T917</f>
        <v>0</v>
      </c>
      <c r="U916" s="24">
        <f t="shared" si="238"/>
        <v>5187.5</v>
      </c>
      <c r="V916" s="18">
        <f>V917</f>
        <v>1269</v>
      </c>
      <c r="W916" s="24">
        <f t="shared" si="251"/>
        <v>6456.5</v>
      </c>
      <c r="X916" s="18">
        <f>X917</f>
        <v>0</v>
      </c>
      <c r="Y916" s="24">
        <f t="shared" si="252"/>
        <v>6456.5</v>
      </c>
    </row>
    <row r="917" spans="1:27" ht="24.75" x14ac:dyDescent="0.25">
      <c r="A917" s="22" t="s">
        <v>90</v>
      </c>
      <c r="B917" s="20" t="s">
        <v>243</v>
      </c>
      <c r="C917" s="23" t="s">
        <v>91</v>
      </c>
      <c r="D917" s="20"/>
      <c r="E917" s="24"/>
      <c r="F917" s="24"/>
      <c r="G917" s="24"/>
      <c r="H917" s="24"/>
      <c r="I917" s="24"/>
      <c r="J917" s="24"/>
      <c r="K917" s="24"/>
      <c r="L917" s="24"/>
      <c r="M917" s="24"/>
      <c r="N917" s="24"/>
      <c r="O917" s="24"/>
      <c r="P917" s="18">
        <f>P920+P922</f>
        <v>1037.5</v>
      </c>
      <c r="Q917" s="24">
        <f t="shared" si="242"/>
        <v>1037.5</v>
      </c>
      <c r="R917" s="18">
        <f>R920+R922+R918</f>
        <v>4150</v>
      </c>
      <c r="S917" s="24">
        <f t="shared" si="237"/>
        <v>5187.5</v>
      </c>
      <c r="T917" s="18">
        <f>T920+T922+T918+T924</f>
        <v>0</v>
      </c>
      <c r="U917" s="24">
        <f t="shared" si="238"/>
        <v>5187.5</v>
      </c>
      <c r="V917" s="18">
        <f>V920+V922+V918+V924</f>
        <v>1269</v>
      </c>
      <c r="W917" s="24">
        <f t="shared" si="251"/>
        <v>6456.5</v>
      </c>
      <c r="X917" s="18">
        <f>X920+X922+X918+X924</f>
        <v>0</v>
      </c>
      <c r="Y917" s="24">
        <f t="shared" si="252"/>
        <v>6456.5</v>
      </c>
    </row>
    <row r="918" spans="1:27" ht="36.75" x14ac:dyDescent="0.25">
      <c r="A918" s="40" t="s">
        <v>857</v>
      </c>
      <c r="B918" s="20" t="s">
        <v>243</v>
      </c>
      <c r="C918" s="23" t="s">
        <v>858</v>
      </c>
      <c r="D918" s="20"/>
      <c r="E918" s="24"/>
      <c r="F918" s="24"/>
      <c r="G918" s="24"/>
      <c r="H918" s="24"/>
      <c r="I918" s="24"/>
      <c r="J918" s="24"/>
      <c r="K918" s="24"/>
      <c r="L918" s="24"/>
      <c r="M918" s="24"/>
      <c r="N918" s="24"/>
      <c r="O918" s="24"/>
      <c r="P918" s="18"/>
      <c r="Q918" s="24"/>
      <c r="R918" s="18">
        <f>R919</f>
        <v>3112.5</v>
      </c>
      <c r="S918" s="24">
        <f t="shared" ref="S918:S919" si="259">Q918+R918</f>
        <v>3112.5</v>
      </c>
      <c r="T918" s="18">
        <f>T919</f>
        <v>0</v>
      </c>
      <c r="U918" s="24">
        <f t="shared" si="238"/>
        <v>3112.5</v>
      </c>
      <c r="V918" s="18">
        <f>V919</f>
        <v>0</v>
      </c>
      <c r="W918" s="24">
        <f t="shared" si="251"/>
        <v>3112.5</v>
      </c>
      <c r="X918" s="18">
        <f>X919</f>
        <v>761.4</v>
      </c>
      <c r="Y918" s="24">
        <f t="shared" si="252"/>
        <v>3873.9</v>
      </c>
    </row>
    <row r="919" spans="1:27" x14ac:dyDescent="0.25">
      <c r="A919" s="30" t="s">
        <v>66</v>
      </c>
      <c r="B919" s="21" t="s">
        <v>243</v>
      </c>
      <c r="C919" s="26" t="s">
        <v>858</v>
      </c>
      <c r="D919" s="21" t="s">
        <v>42</v>
      </c>
      <c r="E919" s="24"/>
      <c r="F919" s="24"/>
      <c r="G919" s="24"/>
      <c r="H919" s="24"/>
      <c r="I919" s="24"/>
      <c r="J919" s="24"/>
      <c r="K919" s="24"/>
      <c r="L919" s="24"/>
      <c r="M919" s="24"/>
      <c r="N919" s="24"/>
      <c r="O919" s="24"/>
      <c r="P919" s="18"/>
      <c r="Q919" s="24"/>
      <c r="R919" s="43">
        <v>3112.5</v>
      </c>
      <c r="S919" s="24">
        <f t="shared" si="259"/>
        <v>3112.5</v>
      </c>
      <c r="T919" s="69"/>
      <c r="U919" s="24">
        <f t="shared" si="238"/>
        <v>3112.5</v>
      </c>
      <c r="V919" s="69"/>
      <c r="W919" s="24">
        <f t="shared" si="251"/>
        <v>3112.5</v>
      </c>
      <c r="X919" s="43">
        <v>761.4</v>
      </c>
      <c r="Y919" s="24">
        <f t="shared" si="252"/>
        <v>3873.9</v>
      </c>
      <c r="AA919" s="189">
        <f>Y919+Z919</f>
        <v>3873.9</v>
      </c>
    </row>
    <row r="920" spans="1:27" ht="24.75" x14ac:dyDescent="0.25">
      <c r="A920" s="22" t="s">
        <v>902</v>
      </c>
      <c r="B920" s="20" t="s">
        <v>243</v>
      </c>
      <c r="C920" s="20" t="s">
        <v>904</v>
      </c>
      <c r="D920" s="20"/>
      <c r="E920" s="24"/>
      <c r="F920" s="24"/>
      <c r="G920" s="24"/>
      <c r="H920" s="24"/>
      <c r="I920" s="24"/>
      <c r="J920" s="24"/>
      <c r="K920" s="24"/>
      <c r="L920" s="24"/>
      <c r="M920" s="24"/>
      <c r="N920" s="24"/>
      <c r="O920" s="24"/>
      <c r="P920" s="18">
        <f>P921</f>
        <v>517.5</v>
      </c>
      <c r="Q920" s="24">
        <f t="shared" si="242"/>
        <v>517.5</v>
      </c>
      <c r="R920" s="18">
        <f>R921</f>
        <v>517.5</v>
      </c>
      <c r="S920" s="24">
        <f t="shared" si="237"/>
        <v>1035</v>
      </c>
      <c r="T920" s="18">
        <f>T921</f>
        <v>0</v>
      </c>
      <c r="U920" s="24">
        <f t="shared" si="238"/>
        <v>1035</v>
      </c>
      <c r="V920" s="18">
        <f>V921</f>
        <v>0</v>
      </c>
      <c r="W920" s="24">
        <f t="shared" si="251"/>
        <v>1035</v>
      </c>
      <c r="X920" s="18">
        <f>X921</f>
        <v>0</v>
      </c>
      <c r="Y920" s="24">
        <f t="shared" si="252"/>
        <v>1035</v>
      </c>
    </row>
    <row r="921" spans="1:27" x14ac:dyDescent="0.25">
      <c r="A921" s="30" t="s">
        <v>66</v>
      </c>
      <c r="B921" s="21" t="s">
        <v>243</v>
      </c>
      <c r="C921" s="21" t="s">
        <v>904</v>
      </c>
      <c r="D921" s="21" t="s">
        <v>42</v>
      </c>
      <c r="E921" s="24"/>
      <c r="F921" s="24"/>
      <c r="G921" s="24"/>
      <c r="H921" s="24"/>
      <c r="I921" s="24"/>
      <c r="J921" s="24"/>
      <c r="K921" s="24"/>
      <c r="L921" s="24"/>
      <c r="M921" s="24"/>
      <c r="N921" s="24"/>
      <c r="O921" s="24"/>
      <c r="P921" s="39">
        <v>517.5</v>
      </c>
      <c r="Q921" s="24">
        <f t="shared" si="242"/>
        <v>517.5</v>
      </c>
      <c r="R921" s="39">
        <v>517.5</v>
      </c>
      <c r="S921" s="24">
        <f t="shared" si="237"/>
        <v>1035</v>
      </c>
      <c r="T921" s="69"/>
      <c r="U921" s="24">
        <f t="shared" si="238"/>
        <v>1035</v>
      </c>
      <c r="V921" s="69"/>
      <c r="W921" s="24">
        <f t="shared" si="251"/>
        <v>1035</v>
      </c>
      <c r="X921" s="69"/>
      <c r="Y921" s="24">
        <f t="shared" si="252"/>
        <v>1035</v>
      </c>
      <c r="AA921" s="189">
        <f>Y921+Z921</f>
        <v>1035</v>
      </c>
    </row>
    <row r="922" spans="1:27" ht="24.75" x14ac:dyDescent="0.25">
      <c r="A922" s="22" t="s">
        <v>903</v>
      </c>
      <c r="B922" s="20" t="s">
        <v>243</v>
      </c>
      <c r="C922" s="20" t="s">
        <v>905</v>
      </c>
      <c r="D922" s="21"/>
      <c r="E922" s="24"/>
      <c r="F922" s="24"/>
      <c r="G922" s="24"/>
      <c r="H922" s="24"/>
      <c r="I922" s="24"/>
      <c r="J922" s="24"/>
      <c r="K922" s="24"/>
      <c r="L922" s="24"/>
      <c r="M922" s="24"/>
      <c r="N922" s="24"/>
      <c r="O922" s="24"/>
      <c r="P922" s="18">
        <f>P923</f>
        <v>520</v>
      </c>
      <c r="Q922" s="24">
        <f t="shared" si="242"/>
        <v>520</v>
      </c>
      <c r="R922" s="18">
        <f>R923</f>
        <v>520</v>
      </c>
      <c r="S922" s="24">
        <f t="shared" si="237"/>
        <v>1040</v>
      </c>
      <c r="T922" s="18">
        <f>T923</f>
        <v>0</v>
      </c>
      <c r="U922" s="24">
        <f t="shared" si="238"/>
        <v>1040</v>
      </c>
      <c r="V922" s="18">
        <f>V923</f>
        <v>0</v>
      </c>
      <c r="W922" s="24">
        <f t="shared" si="251"/>
        <v>1040</v>
      </c>
      <c r="X922" s="18">
        <f>X923</f>
        <v>0</v>
      </c>
      <c r="Y922" s="24">
        <f t="shared" si="252"/>
        <v>1040</v>
      </c>
    </row>
    <row r="923" spans="1:27" x14ac:dyDescent="0.25">
      <c r="A923" s="30" t="s">
        <v>66</v>
      </c>
      <c r="B923" s="21" t="s">
        <v>243</v>
      </c>
      <c r="C923" s="21" t="s">
        <v>905</v>
      </c>
      <c r="D923" s="21" t="s">
        <v>42</v>
      </c>
      <c r="E923" s="24"/>
      <c r="F923" s="24"/>
      <c r="G923" s="24"/>
      <c r="H923" s="24"/>
      <c r="I923" s="24"/>
      <c r="J923" s="24"/>
      <c r="K923" s="24"/>
      <c r="L923" s="24"/>
      <c r="M923" s="24"/>
      <c r="N923" s="24"/>
      <c r="O923" s="24"/>
      <c r="P923" s="39">
        <v>520</v>
      </c>
      <c r="Q923" s="24">
        <f t="shared" si="242"/>
        <v>520</v>
      </c>
      <c r="R923" s="39">
        <v>520</v>
      </c>
      <c r="S923" s="24">
        <f t="shared" si="237"/>
        <v>1040</v>
      </c>
      <c r="T923" s="69"/>
      <c r="U923" s="24">
        <f t="shared" si="238"/>
        <v>1040</v>
      </c>
      <c r="V923" s="69"/>
      <c r="W923" s="24">
        <f t="shared" si="251"/>
        <v>1040</v>
      </c>
      <c r="X923" s="69"/>
      <c r="Y923" s="24">
        <f t="shared" si="252"/>
        <v>1040</v>
      </c>
      <c r="AA923" s="189">
        <f>Y923+Z923</f>
        <v>1040</v>
      </c>
    </row>
    <row r="924" spans="1:27" x14ac:dyDescent="0.25">
      <c r="A924" s="160" t="s">
        <v>1348</v>
      </c>
      <c r="B924" s="161" t="s">
        <v>243</v>
      </c>
      <c r="C924" s="157" t="s">
        <v>1349</v>
      </c>
      <c r="D924" s="155"/>
      <c r="E924" s="24"/>
      <c r="F924" s="24"/>
      <c r="G924" s="24"/>
      <c r="H924" s="24"/>
      <c r="I924" s="24"/>
      <c r="J924" s="24"/>
      <c r="K924" s="24"/>
      <c r="L924" s="24"/>
      <c r="M924" s="24"/>
      <c r="N924" s="24"/>
      <c r="O924" s="24"/>
      <c r="P924" s="39"/>
      <c r="Q924" s="24"/>
      <c r="R924" s="39"/>
      <c r="S924" s="24"/>
      <c r="T924" s="47">
        <f>T925</f>
        <v>0</v>
      </c>
      <c r="U924" s="24">
        <f t="shared" ref="U924:U925" si="260">S924+T924</f>
        <v>0</v>
      </c>
      <c r="V924" s="79">
        <f>V925</f>
        <v>1269</v>
      </c>
      <c r="W924" s="24">
        <f t="shared" si="251"/>
        <v>1269</v>
      </c>
      <c r="X924" s="79">
        <f>X925</f>
        <v>-761.4</v>
      </c>
      <c r="Y924" s="24">
        <f t="shared" si="252"/>
        <v>507.6</v>
      </c>
    </row>
    <row r="925" spans="1:27" x14ac:dyDescent="0.25">
      <c r="A925" s="30" t="s">
        <v>66</v>
      </c>
      <c r="B925" s="162" t="s">
        <v>243</v>
      </c>
      <c r="C925" s="159" t="s">
        <v>1349</v>
      </c>
      <c r="D925" s="155">
        <v>244</v>
      </c>
      <c r="E925" s="24"/>
      <c r="F925" s="24"/>
      <c r="G925" s="24"/>
      <c r="H925" s="24"/>
      <c r="I925" s="24"/>
      <c r="J925" s="24"/>
      <c r="K925" s="24"/>
      <c r="L925" s="24"/>
      <c r="M925" s="24"/>
      <c r="N925" s="24"/>
      <c r="O925" s="24"/>
      <c r="P925" s="39"/>
      <c r="Q925" s="24"/>
      <c r="R925" s="39"/>
      <c r="S925" s="24"/>
      <c r="T925" s="69"/>
      <c r="U925" s="24">
        <f t="shared" si="260"/>
        <v>0</v>
      </c>
      <c r="V925" s="39">
        <v>1269</v>
      </c>
      <c r="W925" s="24">
        <f t="shared" si="251"/>
        <v>1269</v>
      </c>
      <c r="X925" s="109">
        <v>-761.4</v>
      </c>
      <c r="Y925" s="24">
        <f t="shared" si="252"/>
        <v>507.6</v>
      </c>
      <c r="AA925" s="189">
        <f>Y925+Z925</f>
        <v>507.6</v>
      </c>
    </row>
    <row r="926" spans="1:27" ht="24.75" x14ac:dyDescent="0.25">
      <c r="A926" s="22" t="s">
        <v>593</v>
      </c>
      <c r="B926" s="23" t="s">
        <v>243</v>
      </c>
      <c r="C926" s="23" t="s">
        <v>183</v>
      </c>
      <c r="D926" s="23" t="s">
        <v>2</v>
      </c>
      <c r="E926" s="24">
        <f>E927</f>
        <v>78565.600000000006</v>
      </c>
      <c r="F926" s="24">
        <f>F927</f>
        <v>231340.3</v>
      </c>
      <c r="G926" s="24">
        <f t="shared" si="246"/>
        <v>309905.90000000002</v>
      </c>
      <c r="H926" s="24">
        <f>H927</f>
        <v>-41283.4</v>
      </c>
      <c r="I926" s="24">
        <f t="shared" si="247"/>
        <v>268622.5</v>
      </c>
      <c r="J926" s="24">
        <f>J927</f>
        <v>61463.4</v>
      </c>
      <c r="K926" s="24">
        <f t="shared" si="248"/>
        <v>330085.90000000002</v>
      </c>
      <c r="L926" s="24">
        <f>L927</f>
        <v>57225</v>
      </c>
      <c r="M926" s="24">
        <f t="shared" si="249"/>
        <v>387310.9</v>
      </c>
      <c r="N926" s="24">
        <f>N927</f>
        <v>-15114.4</v>
      </c>
      <c r="O926" s="24">
        <f t="shared" si="250"/>
        <v>372196.5</v>
      </c>
      <c r="P926" s="24">
        <f>P927</f>
        <v>2718.7</v>
      </c>
      <c r="Q926" s="24">
        <f t="shared" si="242"/>
        <v>374915.2</v>
      </c>
      <c r="R926" s="24">
        <f>R927</f>
        <v>17812.5</v>
      </c>
      <c r="S926" s="24">
        <f t="shared" si="237"/>
        <v>392727.7</v>
      </c>
      <c r="T926" s="24">
        <f>T927</f>
        <v>-21075</v>
      </c>
      <c r="U926" s="24">
        <f t="shared" si="238"/>
        <v>371652.7</v>
      </c>
      <c r="V926" s="24">
        <f>V927</f>
        <v>134.1</v>
      </c>
      <c r="W926" s="24">
        <f t="shared" si="251"/>
        <v>371786.8</v>
      </c>
      <c r="X926" s="24">
        <f>X927</f>
        <v>120528.2</v>
      </c>
      <c r="Y926" s="24">
        <f t="shared" si="252"/>
        <v>492315</v>
      </c>
    </row>
    <row r="927" spans="1:27" ht="24.75" x14ac:dyDescent="0.25">
      <c r="A927" s="22" t="s">
        <v>597</v>
      </c>
      <c r="B927" s="23" t="s">
        <v>243</v>
      </c>
      <c r="C927" s="23" t="s">
        <v>212</v>
      </c>
      <c r="D927" s="23" t="s">
        <v>2</v>
      </c>
      <c r="E927" s="24">
        <f>E928+E954+E960</f>
        <v>78565.600000000006</v>
      </c>
      <c r="F927" s="24">
        <f>F928+F954+F960</f>
        <v>231340.3</v>
      </c>
      <c r="G927" s="24">
        <f t="shared" si="246"/>
        <v>309905.90000000002</v>
      </c>
      <c r="H927" s="24">
        <f>H928+H954+H960</f>
        <v>-41283.4</v>
      </c>
      <c r="I927" s="24">
        <f t="shared" si="247"/>
        <v>268622.5</v>
      </c>
      <c r="J927" s="24">
        <f>J928+J954+J960</f>
        <v>61463.4</v>
      </c>
      <c r="K927" s="24">
        <f t="shared" si="248"/>
        <v>330085.90000000002</v>
      </c>
      <c r="L927" s="24">
        <f>L928+L954+L960</f>
        <v>57225</v>
      </c>
      <c r="M927" s="24">
        <f t="shared" si="249"/>
        <v>387310.9</v>
      </c>
      <c r="N927" s="24">
        <f>N928+N954+N960</f>
        <v>-15114.4</v>
      </c>
      <c r="O927" s="24">
        <f t="shared" si="250"/>
        <v>372196.5</v>
      </c>
      <c r="P927" s="24">
        <f>P928+P954+P960</f>
        <v>2718.7</v>
      </c>
      <c r="Q927" s="24">
        <f t="shared" si="242"/>
        <v>374915.2</v>
      </c>
      <c r="R927" s="24">
        <f>R928+R954+R960</f>
        <v>17812.5</v>
      </c>
      <c r="S927" s="24">
        <f t="shared" si="237"/>
        <v>392727.7</v>
      </c>
      <c r="T927" s="24">
        <f>T928+T954+T960</f>
        <v>-21075</v>
      </c>
      <c r="U927" s="24">
        <f t="shared" si="238"/>
        <v>371652.7</v>
      </c>
      <c r="V927" s="24">
        <f>V928+V954+V960</f>
        <v>134.1</v>
      </c>
      <c r="W927" s="24">
        <f t="shared" si="251"/>
        <v>371786.8</v>
      </c>
      <c r="X927" s="24">
        <f>X928+X954+X960</f>
        <v>120528.2</v>
      </c>
      <c r="Y927" s="24">
        <f t="shared" si="252"/>
        <v>492315</v>
      </c>
    </row>
    <row r="928" spans="1:27" s="6" customFormat="1" x14ac:dyDescent="0.25">
      <c r="A928" s="22" t="s">
        <v>213</v>
      </c>
      <c r="B928" s="23" t="s">
        <v>243</v>
      </c>
      <c r="C928" s="23" t="s">
        <v>214</v>
      </c>
      <c r="D928" s="23" t="s">
        <v>2</v>
      </c>
      <c r="E928" s="24">
        <f>E929+E934+E939+E942+E949</f>
        <v>62519.7</v>
      </c>
      <c r="F928" s="24">
        <f>F929+F934+F939+F942+F949</f>
        <v>18416.099999999999</v>
      </c>
      <c r="G928" s="24">
        <f t="shared" si="246"/>
        <v>80935.799999999988</v>
      </c>
      <c r="H928" s="24">
        <f>H929+H934+H939+H942+H949</f>
        <v>0</v>
      </c>
      <c r="I928" s="24">
        <f t="shared" si="247"/>
        <v>80935.799999999988</v>
      </c>
      <c r="J928" s="24">
        <f>J929+J934+J939+J942+J949+J937</f>
        <v>61463.4</v>
      </c>
      <c r="K928" s="24">
        <f t="shared" si="248"/>
        <v>142399.19999999998</v>
      </c>
      <c r="L928" s="24">
        <f>L929+L934+L939+L942+L949+L937+L931+L951+L946</f>
        <v>50325.1</v>
      </c>
      <c r="M928" s="24">
        <f t="shared" si="249"/>
        <v>192724.3</v>
      </c>
      <c r="N928" s="24">
        <f>N929+N934+N939+N942+N949+N937+N931+N951+N946</f>
        <v>-8131</v>
      </c>
      <c r="O928" s="24">
        <f t="shared" si="250"/>
        <v>184593.3</v>
      </c>
      <c r="P928" s="24">
        <f>P929+P934+P939+P942+P949+P937+P931+P951+P946</f>
        <v>2718.7</v>
      </c>
      <c r="Q928" s="24">
        <f t="shared" si="242"/>
        <v>187312</v>
      </c>
      <c r="R928" s="24">
        <f>R929+R934+R939+R942+R949+R937+R931+R951+R946</f>
        <v>17812.5</v>
      </c>
      <c r="S928" s="24">
        <f t="shared" si="237"/>
        <v>205124.5</v>
      </c>
      <c r="T928" s="24">
        <f>T929+T934+T939+T942+T949+T937+T931+T951+T946</f>
        <v>-11075</v>
      </c>
      <c r="U928" s="24">
        <f t="shared" si="238"/>
        <v>194049.5</v>
      </c>
      <c r="V928" s="24">
        <f>V929+V934+V939+V942+V949+V937+V931+V951+V946</f>
        <v>134.1</v>
      </c>
      <c r="W928" s="24">
        <f t="shared" si="251"/>
        <v>194183.6</v>
      </c>
      <c r="X928" s="24">
        <f>X929+X934+X939+X942+X949+X937+X931+X951+X946</f>
        <v>13797.1</v>
      </c>
      <c r="Y928" s="24">
        <f t="shared" si="252"/>
        <v>207980.7</v>
      </c>
      <c r="Z928" s="189"/>
    </row>
    <row r="929" spans="1:27" s="6" customFormat="1" ht="24.75" x14ac:dyDescent="0.25">
      <c r="A929" s="22" t="s">
        <v>247</v>
      </c>
      <c r="B929" s="23" t="s">
        <v>243</v>
      </c>
      <c r="C929" s="23" t="s">
        <v>248</v>
      </c>
      <c r="D929" s="23" t="s">
        <v>2</v>
      </c>
      <c r="E929" s="24">
        <f>E930</f>
        <v>8000</v>
      </c>
      <c r="F929" s="24">
        <f>F930</f>
        <v>25916.1</v>
      </c>
      <c r="G929" s="24">
        <f t="shared" si="246"/>
        <v>33916.1</v>
      </c>
      <c r="H929" s="24">
        <f>H930</f>
        <v>0</v>
      </c>
      <c r="I929" s="24">
        <f t="shared" si="247"/>
        <v>33916.1</v>
      </c>
      <c r="J929" s="24">
        <f>J930</f>
        <v>0</v>
      </c>
      <c r="K929" s="24">
        <f t="shared" si="248"/>
        <v>33916.1</v>
      </c>
      <c r="L929" s="24">
        <f>L930</f>
        <v>14024.7</v>
      </c>
      <c r="M929" s="24">
        <f t="shared" si="249"/>
        <v>47940.800000000003</v>
      </c>
      <c r="N929" s="24">
        <f>N930</f>
        <v>-12332.3</v>
      </c>
      <c r="O929" s="24">
        <f t="shared" si="250"/>
        <v>35608.5</v>
      </c>
      <c r="P929" s="24">
        <f>P930</f>
        <v>0</v>
      </c>
      <c r="Q929" s="24">
        <f t="shared" si="242"/>
        <v>35608.5</v>
      </c>
      <c r="R929" s="24">
        <f>R930</f>
        <v>0</v>
      </c>
      <c r="S929" s="24">
        <f t="shared" si="237"/>
        <v>35608.5</v>
      </c>
      <c r="T929" s="24">
        <f>T930</f>
        <v>0</v>
      </c>
      <c r="U929" s="24">
        <f t="shared" si="238"/>
        <v>35608.5</v>
      </c>
      <c r="V929" s="24">
        <f>V930</f>
        <v>0</v>
      </c>
      <c r="W929" s="24">
        <f t="shared" si="251"/>
        <v>35608.5</v>
      </c>
      <c r="X929" s="24">
        <f>X930</f>
        <v>4500</v>
      </c>
      <c r="Y929" s="24">
        <f t="shared" si="252"/>
        <v>40108.5</v>
      </c>
      <c r="Z929" s="189"/>
    </row>
    <row r="930" spans="1:27" s="6" customFormat="1" ht="24.75" x14ac:dyDescent="0.25">
      <c r="A930" s="25" t="s">
        <v>572</v>
      </c>
      <c r="B930" s="26" t="s">
        <v>243</v>
      </c>
      <c r="C930" s="26" t="s">
        <v>248</v>
      </c>
      <c r="D930" s="26" t="s">
        <v>241</v>
      </c>
      <c r="E930" s="27">
        <v>8000</v>
      </c>
      <c r="F930" s="43">
        <v>25916.1</v>
      </c>
      <c r="G930" s="24">
        <f t="shared" si="246"/>
        <v>33916.1</v>
      </c>
      <c r="H930" s="69"/>
      <c r="I930" s="24">
        <f t="shared" si="247"/>
        <v>33916.1</v>
      </c>
      <c r="J930" s="69"/>
      <c r="K930" s="24">
        <f t="shared" si="248"/>
        <v>33916.1</v>
      </c>
      <c r="L930" s="43">
        <f>1724.7+12300</f>
        <v>14024.7</v>
      </c>
      <c r="M930" s="24">
        <f t="shared" si="249"/>
        <v>47940.800000000003</v>
      </c>
      <c r="N930" s="43">
        <v>-12332.3</v>
      </c>
      <c r="O930" s="24">
        <f t="shared" si="250"/>
        <v>35608.5</v>
      </c>
      <c r="P930" s="69"/>
      <c r="Q930" s="24">
        <f t="shared" si="242"/>
        <v>35608.5</v>
      </c>
      <c r="R930" s="69"/>
      <c r="S930" s="24">
        <f t="shared" si="237"/>
        <v>35608.5</v>
      </c>
      <c r="T930" s="69"/>
      <c r="U930" s="24">
        <f t="shared" si="238"/>
        <v>35608.5</v>
      </c>
      <c r="V930" s="69"/>
      <c r="W930" s="24">
        <f t="shared" si="251"/>
        <v>35608.5</v>
      </c>
      <c r="X930" s="43">
        <v>4500</v>
      </c>
      <c r="Y930" s="24">
        <f t="shared" si="252"/>
        <v>40108.5</v>
      </c>
      <c r="Z930" s="189"/>
      <c r="AA930" s="189">
        <f>Y930+Z930</f>
        <v>40108.5</v>
      </c>
    </row>
    <row r="931" spans="1:27" ht="48.75" x14ac:dyDescent="0.25">
      <c r="A931" s="40" t="s">
        <v>692</v>
      </c>
      <c r="B931" s="23" t="s">
        <v>243</v>
      </c>
      <c r="C931" s="20" t="s">
        <v>693</v>
      </c>
      <c r="D931" s="20" t="s">
        <v>2</v>
      </c>
      <c r="E931" s="27"/>
      <c r="F931" s="43"/>
      <c r="G931" s="24"/>
      <c r="H931" s="69"/>
      <c r="I931" s="24"/>
      <c r="J931" s="69"/>
      <c r="K931" s="24"/>
      <c r="L931" s="47">
        <f>L932</f>
        <v>9592.6</v>
      </c>
      <c r="M931" s="24">
        <f t="shared" si="249"/>
        <v>9592.6</v>
      </c>
      <c r="N931" s="47">
        <f>N932+N933</f>
        <v>0</v>
      </c>
      <c r="O931" s="24">
        <f t="shared" si="250"/>
        <v>9592.6</v>
      </c>
      <c r="P931" s="47">
        <f>P932+P933</f>
        <v>0</v>
      </c>
      <c r="Q931" s="24">
        <f t="shared" si="242"/>
        <v>9592.6</v>
      </c>
      <c r="R931" s="47">
        <f>R932+R933</f>
        <v>0</v>
      </c>
      <c r="S931" s="24">
        <f t="shared" si="237"/>
        <v>9592.6</v>
      </c>
      <c r="T931" s="47">
        <f>T932+T933</f>
        <v>0</v>
      </c>
      <c r="U931" s="24">
        <f t="shared" si="238"/>
        <v>9592.6</v>
      </c>
      <c r="V931" s="47">
        <f>V932+V933</f>
        <v>0</v>
      </c>
      <c r="W931" s="24">
        <f t="shared" si="251"/>
        <v>9592.6</v>
      </c>
      <c r="X931" s="47">
        <f>X932+X933</f>
        <v>0.3</v>
      </c>
      <c r="Y931" s="24">
        <f t="shared" si="252"/>
        <v>9592.9</v>
      </c>
    </row>
    <row r="932" spans="1:27" s="6" customFormat="1" ht="24.75" hidden="1" x14ac:dyDescent="0.25">
      <c r="A932" s="17" t="s">
        <v>572</v>
      </c>
      <c r="B932" s="26" t="s">
        <v>243</v>
      </c>
      <c r="C932" s="21" t="s">
        <v>693</v>
      </c>
      <c r="D932" s="21" t="s">
        <v>241</v>
      </c>
      <c r="E932" s="27"/>
      <c r="F932" s="43"/>
      <c r="G932" s="24"/>
      <c r="H932" s="69"/>
      <c r="I932" s="24"/>
      <c r="J932" s="69"/>
      <c r="K932" s="24"/>
      <c r="L932" s="43">
        <v>9592.6</v>
      </c>
      <c r="M932" s="24">
        <f t="shared" si="249"/>
        <v>9592.6</v>
      </c>
      <c r="N932" s="120">
        <v>-9592.6</v>
      </c>
      <c r="O932" s="24">
        <f t="shared" si="250"/>
        <v>0</v>
      </c>
      <c r="P932" s="69"/>
      <c r="Q932" s="24">
        <f t="shared" si="242"/>
        <v>0</v>
      </c>
      <c r="R932" s="69"/>
      <c r="S932" s="24">
        <f t="shared" si="237"/>
        <v>0</v>
      </c>
      <c r="T932" s="69"/>
      <c r="U932" s="24">
        <f t="shared" si="238"/>
        <v>0</v>
      </c>
      <c r="V932" s="69"/>
      <c r="W932" s="24">
        <f t="shared" si="251"/>
        <v>0</v>
      </c>
      <c r="X932" s="69"/>
      <c r="Y932" s="24">
        <f t="shared" si="252"/>
        <v>0</v>
      </c>
      <c r="Z932" s="189"/>
      <c r="AA932" s="189">
        <f t="shared" ref="AA932:AA933" si="261">Y932+Z932</f>
        <v>0</v>
      </c>
    </row>
    <row r="933" spans="1:27" s="6" customFormat="1" ht="24.75" x14ac:dyDescent="0.25">
      <c r="A933" s="17" t="s">
        <v>669</v>
      </c>
      <c r="B933" s="21" t="s">
        <v>243</v>
      </c>
      <c r="C933" s="21" t="s">
        <v>693</v>
      </c>
      <c r="D933" s="21" t="s">
        <v>251</v>
      </c>
      <c r="E933" s="27"/>
      <c r="F933" s="43"/>
      <c r="G933" s="24"/>
      <c r="H933" s="69"/>
      <c r="I933" s="24"/>
      <c r="J933" s="69"/>
      <c r="K933" s="24"/>
      <c r="L933" s="43"/>
      <c r="M933" s="24"/>
      <c r="N933" s="120">
        <v>9592.6</v>
      </c>
      <c r="O933" s="24">
        <f t="shared" si="250"/>
        <v>9592.6</v>
      </c>
      <c r="P933" s="69"/>
      <c r="Q933" s="24">
        <f t="shared" si="242"/>
        <v>9592.6</v>
      </c>
      <c r="R933" s="69"/>
      <c r="S933" s="24">
        <f t="shared" si="237"/>
        <v>9592.6</v>
      </c>
      <c r="T933" s="69"/>
      <c r="U933" s="24">
        <f t="shared" si="238"/>
        <v>9592.6</v>
      </c>
      <c r="V933" s="69"/>
      <c r="W933" s="24">
        <f t="shared" si="251"/>
        <v>9592.6</v>
      </c>
      <c r="X933" s="43">
        <v>0.3</v>
      </c>
      <c r="Y933" s="24">
        <f t="shared" si="252"/>
        <v>9592.9</v>
      </c>
      <c r="Z933" s="189"/>
      <c r="AA933" s="189">
        <f t="shared" si="261"/>
        <v>9592.9</v>
      </c>
    </row>
    <row r="934" spans="1:27" s="6" customFormat="1" x14ac:dyDescent="0.25">
      <c r="A934" s="22" t="s">
        <v>249</v>
      </c>
      <c r="B934" s="23" t="s">
        <v>243</v>
      </c>
      <c r="C934" s="23" t="s">
        <v>250</v>
      </c>
      <c r="D934" s="23" t="s">
        <v>2</v>
      </c>
      <c r="E934" s="24">
        <f>E935</f>
        <v>1000</v>
      </c>
      <c r="F934" s="24">
        <f>F935</f>
        <v>0</v>
      </c>
      <c r="G934" s="24">
        <f t="shared" si="246"/>
        <v>1000</v>
      </c>
      <c r="H934" s="24">
        <f>H935</f>
        <v>0</v>
      </c>
      <c r="I934" s="24">
        <f t="shared" si="247"/>
        <v>1000</v>
      </c>
      <c r="J934" s="24">
        <f>J935</f>
        <v>3474.8</v>
      </c>
      <c r="K934" s="24">
        <f t="shared" si="248"/>
        <v>4474.8</v>
      </c>
      <c r="L934" s="47">
        <f>L935</f>
        <v>14574</v>
      </c>
      <c r="M934" s="24">
        <f t="shared" si="249"/>
        <v>19048.8</v>
      </c>
      <c r="N934" s="47">
        <f>N935</f>
        <v>0</v>
      </c>
      <c r="O934" s="24">
        <f t="shared" si="250"/>
        <v>19048.8</v>
      </c>
      <c r="P934" s="47">
        <f>P935</f>
        <v>0</v>
      </c>
      <c r="Q934" s="24">
        <f t="shared" si="242"/>
        <v>19048.8</v>
      </c>
      <c r="R934" s="47">
        <f>R935</f>
        <v>0</v>
      </c>
      <c r="S934" s="24">
        <f t="shared" si="237"/>
        <v>19048.8</v>
      </c>
      <c r="T934" s="47">
        <f>T935+T936</f>
        <v>-10000</v>
      </c>
      <c r="U934" s="24">
        <f t="shared" si="238"/>
        <v>9048.7999999999993</v>
      </c>
      <c r="V934" s="47">
        <f>V935+V936</f>
        <v>0</v>
      </c>
      <c r="W934" s="24">
        <f t="shared" si="251"/>
        <v>9048.7999999999993</v>
      </c>
      <c r="X934" s="47">
        <f>X935+X936</f>
        <v>5600</v>
      </c>
      <c r="Y934" s="24">
        <f t="shared" si="252"/>
        <v>14648.8</v>
      </c>
      <c r="Z934" s="189"/>
    </row>
    <row r="935" spans="1:27" s="6" customFormat="1" x14ac:dyDescent="0.25">
      <c r="A935" s="25" t="s">
        <v>41</v>
      </c>
      <c r="B935" s="26" t="s">
        <v>243</v>
      </c>
      <c r="C935" s="26" t="s">
        <v>250</v>
      </c>
      <c r="D935" s="26" t="s">
        <v>251</v>
      </c>
      <c r="E935" s="27">
        <v>1000</v>
      </c>
      <c r="F935" s="27"/>
      <c r="G935" s="24">
        <f t="shared" si="246"/>
        <v>1000</v>
      </c>
      <c r="H935" s="27"/>
      <c r="I935" s="24">
        <f t="shared" si="247"/>
        <v>1000</v>
      </c>
      <c r="J935" s="43">
        <f>3389.4+85.4</f>
        <v>3474.8</v>
      </c>
      <c r="K935" s="24">
        <f t="shared" si="248"/>
        <v>4474.8</v>
      </c>
      <c r="L935" s="43">
        <v>14574</v>
      </c>
      <c r="M935" s="24">
        <f t="shared" si="249"/>
        <v>19048.8</v>
      </c>
      <c r="N935" s="69"/>
      <c r="O935" s="24">
        <f t="shared" si="250"/>
        <v>19048.8</v>
      </c>
      <c r="P935" s="69"/>
      <c r="Q935" s="24">
        <f t="shared" si="242"/>
        <v>19048.8</v>
      </c>
      <c r="R935" s="69"/>
      <c r="S935" s="24">
        <f t="shared" si="237"/>
        <v>19048.8</v>
      </c>
      <c r="T935" s="125">
        <f>-10000-2087.1</f>
        <v>-12087.1</v>
      </c>
      <c r="U935" s="24">
        <f t="shared" si="238"/>
        <v>6961.6999999999989</v>
      </c>
      <c r="V935" s="69"/>
      <c r="W935" s="24">
        <f t="shared" si="251"/>
        <v>6961.6999999999989</v>
      </c>
      <c r="X935" s="43">
        <v>5600</v>
      </c>
      <c r="Y935" s="24">
        <f t="shared" si="252"/>
        <v>12561.699999999999</v>
      </c>
      <c r="Z935" s="189"/>
      <c r="AA935" s="189">
        <f t="shared" ref="AA935:AA936" si="262">Y935+Z935</f>
        <v>12561.699999999999</v>
      </c>
    </row>
    <row r="936" spans="1:27" s="6" customFormat="1" x14ac:dyDescent="0.25">
      <c r="A936" s="25" t="s">
        <v>66</v>
      </c>
      <c r="B936" s="26" t="s">
        <v>243</v>
      </c>
      <c r="C936" s="26" t="s">
        <v>250</v>
      </c>
      <c r="D936" s="26" t="s">
        <v>42</v>
      </c>
      <c r="E936" s="27"/>
      <c r="F936" s="27"/>
      <c r="G936" s="24"/>
      <c r="H936" s="27"/>
      <c r="I936" s="24"/>
      <c r="J936" s="43"/>
      <c r="K936" s="24"/>
      <c r="L936" s="43"/>
      <c r="M936" s="24"/>
      <c r="N936" s="69"/>
      <c r="O936" s="24"/>
      <c r="P936" s="69"/>
      <c r="Q936" s="24"/>
      <c r="R936" s="69"/>
      <c r="S936" s="24"/>
      <c r="T936" s="125">
        <v>2087.1</v>
      </c>
      <c r="U936" s="24">
        <f t="shared" ref="U936" si="263">S936+T936</f>
        <v>2087.1</v>
      </c>
      <c r="V936" s="69"/>
      <c r="W936" s="24">
        <f t="shared" si="251"/>
        <v>2087.1</v>
      </c>
      <c r="X936" s="69"/>
      <c r="Y936" s="24">
        <f t="shared" si="252"/>
        <v>2087.1</v>
      </c>
      <c r="Z936" s="189"/>
      <c r="AA936" s="189">
        <f t="shared" si="262"/>
        <v>2087.1</v>
      </c>
    </row>
    <row r="937" spans="1:27" ht="24.75" x14ac:dyDescent="0.25">
      <c r="A937" s="22" t="s">
        <v>763</v>
      </c>
      <c r="B937" s="20" t="s">
        <v>243</v>
      </c>
      <c r="C937" s="41" t="s">
        <v>764</v>
      </c>
      <c r="D937" s="42"/>
      <c r="E937" s="27"/>
      <c r="F937" s="27"/>
      <c r="G937" s="24"/>
      <c r="H937" s="27"/>
      <c r="I937" s="24"/>
      <c r="J937" s="18">
        <f>J938</f>
        <v>58104.800000000003</v>
      </c>
      <c r="K937" s="24">
        <f t="shared" si="248"/>
        <v>58104.800000000003</v>
      </c>
      <c r="L937" s="47">
        <f>L938</f>
        <v>0</v>
      </c>
      <c r="M937" s="24">
        <f t="shared" si="249"/>
        <v>58104.800000000003</v>
      </c>
      <c r="N937" s="47">
        <f>N938</f>
        <v>0</v>
      </c>
      <c r="O937" s="24">
        <f t="shared" si="250"/>
        <v>58104.800000000003</v>
      </c>
      <c r="P937" s="47">
        <f>P938</f>
        <v>0</v>
      </c>
      <c r="Q937" s="24">
        <f t="shared" si="242"/>
        <v>58104.800000000003</v>
      </c>
      <c r="R937" s="47">
        <f>R938</f>
        <v>0</v>
      </c>
      <c r="S937" s="24">
        <f t="shared" si="237"/>
        <v>58104.800000000003</v>
      </c>
      <c r="T937" s="47">
        <f>T938</f>
        <v>0</v>
      </c>
      <c r="U937" s="24">
        <f t="shared" si="238"/>
        <v>58104.800000000003</v>
      </c>
      <c r="V937" s="47">
        <f>V938</f>
        <v>0</v>
      </c>
      <c r="W937" s="24">
        <f t="shared" si="251"/>
        <v>58104.800000000003</v>
      </c>
      <c r="X937" s="47">
        <f>X938</f>
        <v>0</v>
      </c>
      <c r="Y937" s="24">
        <f t="shared" si="252"/>
        <v>58104.800000000003</v>
      </c>
    </row>
    <row r="938" spans="1:27" s="6" customFormat="1" ht="24.75" x14ac:dyDescent="0.25">
      <c r="A938" s="30" t="s">
        <v>572</v>
      </c>
      <c r="B938" s="21" t="s">
        <v>243</v>
      </c>
      <c r="C938" s="42" t="s">
        <v>764</v>
      </c>
      <c r="D938" s="65" t="s">
        <v>241</v>
      </c>
      <c r="E938" s="27"/>
      <c r="F938" s="27"/>
      <c r="G938" s="24"/>
      <c r="H938" s="27"/>
      <c r="I938" s="24"/>
      <c r="J938" s="43">
        <v>58104.800000000003</v>
      </c>
      <c r="K938" s="24">
        <f t="shared" si="248"/>
        <v>58104.800000000003</v>
      </c>
      <c r="L938" s="69"/>
      <c r="M938" s="24">
        <f t="shared" si="249"/>
        <v>58104.800000000003</v>
      </c>
      <c r="N938" s="69"/>
      <c r="O938" s="24">
        <f t="shared" si="250"/>
        <v>58104.800000000003</v>
      </c>
      <c r="P938" s="69"/>
      <c r="Q938" s="24">
        <f t="shared" si="242"/>
        <v>58104.800000000003</v>
      </c>
      <c r="R938" s="69"/>
      <c r="S938" s="24">
        <f t="shared" si="237"/>
        <v>58104.800000000003</v>
      </c>
      <c r="T938" s="69"/>
      <c r="U938" s="24">
        <f t="shared" si="238"/>
        <v>58104.800000000003</v>
      </c>
      <c r="V938" s="69"/>
      <c r="W938" s="24">
        <f t="shared" si="251"/>
        <v>58104.800000000003</v>
      </c>
      <c r="X938" s="69"/>
      <c r="Y938" s="24">
        <f t="shared" si="252"/>
        <v>58104.800000000003</v>
      </c>
      <c r="Z938" s="189"/>
      <c r="AA938" s="189">
        <f>Y938+Z938</f>
        <v>58104.800000000003</v>
      </c>
    </row>
    <row r="939" spans="1:27" s="6" customFormat="1" x14ac:dyDescent="0.25">
      <c r="A939" s="22" t="s">
        <v>235</v>
      </c>
      <c r="B939" s="23" t="s">
        <v>243</v>
      </c>
      <c r="C939" s="23" t="s">
        <v>244</v>
      </c>
      <c r="D939" s="23" t="s">
        <v>2</v>
      </c>
      <c r="E939" s="24">
        <f>E940+E941</f>
        <v>15200</v>
      </c>
      <c r="F939" s="24">
        <f>F940+F941</f>
        <v>0</v>
      </c>
      <c r="G939" s="24">
        <f t="shared" si="246"/>
        <v>15200</v>
      </c>
      <c r="H939" s="24">
        <f>H940+H941</f>
        <v>0</v>
      </c>
      <c r="I939" s="24">
        <f t="shared" si="247"/>
        <v>15200</v>
      </c>
      <c r="J939" s="24">
        <f>J940+J941</f>
        <v>0</v>
      </c>
      <c r="K939" s="24">
        <f t="shared" si="248"/>
        <v>15200</v>
      </c>
      <c r="L939" s="47">
        <f>L940+L941</f>
        <v>-2820.5</v>
      </c>
      <c r="M939" s="24">
        <f t="shared" si="249"/>
        <v>12379.5</v>
      </c>
      <c r="N939" s="47">
        <f>N940+N941</f>
        <v>-4208.7</v>
      </c>
      <c r="O939" s="24">
        <f t="shared" si="250"/>
        <v>8170.8</v>
      </c>
      <c r="P939" s="47">
        <f>P940+P941</f>
        <v>0</v>
      </c>
      <c r="Q939" s="24">
        <f t="shared" si="242"/>
        <v>8170.8</v>
      </c>
      <c r="R939" s="47">
        <f>R940+R941</f>
        <v>4600</v>
      </c>
      <c r="S939" s="24">
        <f t="shared" si="237"/>
        <v>12770.8</v>
      </c>
      <c r="T939" s="47">
        <f>T940+T941</f>
        <v>0</v>
      </c>
      <c r="U939" s="24">
        <f t="shared" si="238"/>
        <v>12770.8</v>
      </c>
      <c r="V939" s="47">
        <f>V940+V941</f>
        <v>-2110.5</v>
      </c>
      <c r="W939" s="24">
        <f t="shared" si="251"/>
        <v>10660.3</v>
      </c>
      <c r="X939" s="47">
        <f>X940+X941</f>
        <v>3696.7</v>
      </c>
      <c r="Y939" s="24">
        <f t="shared" si="252"/>
        <v>14357</v>
      </c>
      <c r="Z939" s="189"/>
    </row>
    <row r="940" spans="1:27" x14ac:dyDescent="0.25">
      <c r="A940" s="25" t="s">
        <v>66</v>
      </c>
      <c r="B940" s="26" t="s">
        <v>243</v>
      </c>
      <c r="C940" s="26" t="s">
        <v>244</v>
      </c>
      <c r="D940" s="26" t="s">
        <v>42</v>
      </c>
      <c r="E940" s="27">
        <v>2400</v>
      </c>
      <c r="F940" s="27"/>
      <c r="G940" s="24">
        <f t="shared" si="246"/>
        <v>2400</v>
      </c>
      <c r="H940" s="27"/>
      <c r="I940" s="24">
        <f t="shared" si="247"/>
        <v>2400</v>
      </c>
      <c r="J940" s="27"/>
      <c r="K940" s="24">
        <f t="shared" si="248"/>
        <v>2400</v>
      </c>
      <c r="L940" s="69"/>
      <c r="M940" s="24">
        <f t="shared" si="249"/>
        <v>2400</v>
      </c>
      <c r="N940" s="63">
        <v>-500</v>
      </c>
      <c r="O940" s="24">
        <f t="shared" si="250"/>
        <v>1900</v>
      </c>
      <c r="P940" s="69"/>
      <c r="Q940" s="24">
        <f t="shared" si="242"/>
        <v>1900</v>
      </c>
      <c r="R940" s="69"/>
      <c r="S940" s="24">
        <f t="shared" si="237"/>
        <v>1900</v>
      </c>
      <c r="T940" s="69"/>
      <c r="U940" s="24">
        <f t="shared" si="238"/>
        <v>1900</v>
      </c>
      <c r="V940" s="83"/>
      <c r="W940" s="24">
        <f t="shared" si="251"/>
        <v>1900</v>
      </c>
      <c r="X940" s="80">
        <v>-118</v>
      </c>
      <c r="Y940" s="24">
        <f t="shared" si="252"/>
        <v>1782</v>
      </c>
      <c r="AA940" s="189">
        <f t="shared" ref="AA940:AA941" si="264">Y940+Z940</f>
        <v>1782</v>
      </c>
    </row>
    <row r="941" spans="1:27" s="6" customFormat="1" ht="24.75" x14ac:dyDescent="0.25">
      <c r="A941" s="25" t="s">
        <v>572</v>
      </c>
      <c r="B941" s="26" t="s">
        <v>243</v>
      </c>
      <c r="C941" s="26" t="s">
        <v>244</v>
      </c>
      <c r="D941" s="26" t="s">
        <v>241</v>
      </c>
      <c r="E941" s="27">
        <v>12800</v>
      </c>
      <c r="F941" s="27"/>
      <c r="G941" s="24">
        <f t="shared" si="246"/>
        <v>12800</v>
      </c>
      <c r="H941" s="27"/>
      <c r="I941" s="24">
        <f t="shared" si="247"/>
        <v>12800</v>
      </c>
      <c r="J941" s="27"/>
      <c r="K941" s="24">
        <f t="shared" si="248"/>
        <v>12800</v>
      </c>
      <c r="L941" s="107">
        <v>-2820.5</v>
      </c>
      <c r="M941" s="24">
        <f t="shared" si="249"/>
        <v>9979.5</v>
      </c>
      <c r="N941" s="63">
        <v>-3708.7</v>
      </c>
      <c r="O941" s="24">
        <f t="shared" si="250"/>
        <v>6270.8</v>
      </c>
      <c r="P941" s="69"/>
      <c r="Q941" s="24">
        <f t="shared" si="242"/>
        <v>6270.8</v>
      </c>
      <c r="R941" s="39">
        <v>4600</v>
      </c>
      <c r="S941" s="24">
        <f t="shared" si="237"/>
        <v>10870.8</v>
      </c>
      <c r="T941" s="69"/>
      <c r="U941" s="24">
        <f t="shared" si="238"/>
        <v>10870.8</v>
      </c>
      <c r="V941" s="39">
        <f>-2100-10.5</f>
        <v>-2110.5</v>
      </c>
      <c r="W941" s="24">
        <f t="shared" si="251"/>
        <v>8760.2999999999993</v>
      </c>
      <c r="X941" s="109">
        <f>2100-201.5+1916.2</f>
        <v>3814.7</v>
      </c>
      <c r="Y941" s="24">
        <f t="shared" si="252"/>
        <v>12575</v>
      </c>
      <c r="Z941" s="189">
        <v>1916.2</v>
      </c>
      <c r="AA941" s="189">
        <f t="shared" si="264"/>
        <v>14491.2</v>
      </c>
    </row>
    <row r="942" spans="1:27" s="6" customFormat="1" x14ac:dyDescent="0.25">
      <c r="A942" s="22" t="s">
        <v>252</v>
      </c>
      <c r="B942" s="23" t="s">
        <v>243</v>
      </c>
      <c r="C942" s="23" t="s">
        <v>253</v>
      </c>
      <c r="D942" s="23" t="s">
        <v>2</v>
      </c>
      <c r="E942" s="24">
        <f>E943+E944</f>
        <v>28819.7</v>
      </c>
      <c r="F942" s="24">
        <f>F943+F944</f>
        <v>-5000</v>
      </c>
      <c r="G942" s="24">
        <f t="shared" si="246"/>
        <v>23819.7</v>
      </c>
      <c r="H942" s="24">
        <f>H943+H944</f>
        <v>0</v>
      </c>
      <c r="I942" s="24">
        <f t="shared" si="247"/>
        <v>23819.7</v>
      </c>
      <c r="J942" s="24">
        <f>J943+J944+J945</f>
        <v>-116.2</v>
      </c>
      <c r="K942" s="24">
        <f t="shared" si="248"/>
        <v>23703.5</v>
      </c>
      <c r="L942" s="47">
        <f>L943+L944+L945</f>
        <v>4654.3</v>
      </c>
      <c r="M942" s="24">
        <f t="shared" si="249"/>
        <v>28357.8</v>
      </c>
      <c r="N942" s="47">
        <f>N943+N944+N945</f>
        <v>17500</v>
      </c>
      <c r="O942" s="24">
        <f t="shared" si="250"/>
        <v>45857.8</v>
      </c>
      <c r="P942" s="47">
        <f>P943+P944+P945</f>
        <v>6518.7</v>
      </c>
      <c r="Q942" s="24">
        <f t="shared" si="242"/>
        <v>52376.5</v>
      </c>
      <c r="R942" s="47">
        <f>R943+R944+R945</f>
        <v>10236.9</v>
      </c>
      <c r="S942" s="24">
        <f t="shared" si="237"/>
        <v>62613.4</v>
      </c>
      <c r="T942" s="47">
        <f>T943+T944+T945</f>
        <v>-4815.2</v>
      </c>
      <c r="U942" s="24">
        <f t="shared" si="238"/>
        <v>57798.200000000004</v>
      </c>
      <c r="V942" s="47">
        <f>V943+V944+V945</f>
        <v>3754.5</v>
      </c>
      <c r="W942" s="24">
        <f t="shared" si="251"/>
        <v>61552.700000000004</v>
      </c>
      <c r="X942" s="47">
        <f>X943+X944+X945</f>
        <v>0</v>
      </c>
      <c r="Y942" s="24">
        <f t="shared" si="252"/>
        <v>61552.700000000004</v>
      </c>
      <c r="Z942" s="189"/>
    </row>
    <row r="943" spans="1:27" s="6" customFormat="1" x14ac:dyDescent="0.25">
      <c r="A943" s="25" t="s">
        <v>66</v>
      </c>
      <c r="B943" s="26" t="s">
        <v>243</v>
      </c>
      <c r="C943" s="26" t="s">
        <v>253</v>
      </c>
      <c r="D943" s="26" t="s">
        <v>42</v>
      </c>
      <c r="E943" s="27">
        <v>26775</v>
      </c>
      <c r="F943" s="39">
        <v>-5000</v>
      </c>
      <c r="G943" s="24">
        <f t="shared" si="246"/>
        <v>21775</v>
      </c>
      <c r="H943" s="69"/>
      <c r="I943" s="24">
        <f t="shared" si="247"/>
        <v>21775</v>
      </c>
      <c r="J943" s="90">
        <v>-116.2</v>
      </c>
      <c r="K943" s="24">
        <f t="shared" si="248"/>
        <v>21658.799999999999</v>
      </c>
      <c r="L943" s="98">
        <f>5000-745.7</f>
        <v>4254.3</v>
      </c>
      <c r="M943" s="24">
        <f t="shared" si="249"/>
        <v>25913.1</v>
      </c>
      <c r="N943" s="90">
        <v>11091.5</v>
      </c>
      <c r="O943" s="24">
        <f t="shared" si="250"/>
        <v>37004.6</v>
      </c>
      <c r="P943" s="91">
        <f>261.1+255+3100</f>
        <v>3616.1</v>
      </c>
      <c r="Q943" s="24">
        <f t="shared" si="242"/>
        <v>40620.699999999997</v>
      </c>
      <c r="R943" s="91">
        <f>5400-3721</f>
        <v>1679</v>
      </c>
      <c r="S943" s="24">
        <f t="shared" si="237"/>
        <v>42299.7</v>
      </c>
      <c r="T943" s="91">
        <f>-275-4540.2</f>
        <v>-4815.2</v>
      </c>
      <c r="U943" s="24">
        <f t="shared" si="238"/>
        <v>37484.5</v>
      </c>
      <c r="V943" s="91">
        <f>-2700+1774.3</f>
        <v>-925.7</v>
      </c>
      <c r="W943" s="24">
        <f t="shared" si="251"/>
        <v>36558.800000000003</v>
      </c>
      <c r="X943" s="84"/>
      <c r="Y943" s="24">
        <f t="shared" si="252"/>
        <v>36558.800000000003</v>
      </c>
      <c r="Z943" s="189"/>
      <c r="AA943" s="189">
        <f t="shared" ref="AA943:AA945" si="265">Y943+Z943</f>
        <v>36558.800000000003</v>
      </c>
    </row>
    <row r="944" spans="1:27" s="6" customFormat="1" x14ac:dyDescent="0.25">
      <c r="A944" s="25" t="s">
        <v>567</v>
      </c>
      <c r="B944" s="26" t="s">
        <v>243</v>
      </c>
      <c r="C944" s="26" t="s">
        <v>253</v>
      </c>
      <c r="D944" s="26" t="s">
        <v>43</v>
      </c>
      <c r="E944" s="27">
        <v>2044.7</v>
      </c>
      <c r="F944" s="27"/>
      <c r="G944" s="24">
        <f t="shared" si="246"/>
        <v>2044.7</v>
      </c>
      <c r="H944" s="27"/>
      <c r="I944" s="24">
        <f t="shared" si="247"/>
        <v>2044.7</v>
      </c>
      <c r="J944" s="27"/>
      <c r="K944" s="24">
        <f t="shared" si="248"/>
        <v>2044.7</v>
      </c>
      <c r="L944" s="69"/>
      <c r="M944" s="24">
        <f t="shared" si="249"/>
        <v>2044.7</v>
      </c>
      <c r="N944" s="69"/>
      <c r="O944" s="24">
        <f t="shared" si="250"/>
        <v>2044.7</v>
      </c>
      <c r="P944" s="69"/>
      <c r="Q944" s="24">
        <f t="shared" si="242"/>
        <v>2044.7</v>
      </c>
      <c r="R944" s="69"/>
      <c r="S944" s="24">
        <f t="shared" si="237"/>
        <v>2044.7</v>
      </c>
      <c r="T944" s="69"/>
      <c r="U944" s="24">
        <f t="shared" si="238"/>
        <v>2044.7</v>
      </c>
      <c r="V944" s="69"/>
      <c r="W944" s="24">
        <f t="shared" si="251"/>
        <v>2044.7</v>
      </c>
      <c r="X944" s="69"/>
      <c r="Y944" s="24">
        <f t="shared" si="252"/>
        <v>2044.7</v>
      </c>
      <c r="Z944" s="189"/>
      <c r="AA944" s="189">
        <f t="shared" si="265"/>
        <v>2044.7</v>
      </c>
    </row>
    <row r="945" spans="1:27" s="6" customFormat="1" ht="36.75" x14ac:dyDescent="0.25">
      <c r="A945" s="25" t="s">
        <v>577</v>
      </c>
      <c r="B945" s="26" t="s">
        <v>243</v>
      </c>
      <c r="C945" s="26" t="s">
        <v>253</v>
      </c>
      <c r="D945" s="26" t="s">
        <v>217</v>
      </c>
      <c r="E945" s="27"/>
      <c r="F945" s="27"/>
      <c r="G945" s="24"/>
      <c r="H945" s="27"/>
      <c r="I945" s="24"/>
      <c r="J945" s="39"/>
      <c r="K945" s="24">
        <f t="shared" si="248"/>
        <v>0</v>
      </c>
      <c r="L945" s="107">
        <v>400</v>
      </c>
      <c r="M945" s="24">
        <f t="shared" si="249"/>
        <v>400</v>
      </c>
      <c r="N945" s="39">
        <f>6000+408.5</f>
        <v>6408.5</v>
      </c>
      <c r="O945" s="24">
        <f t="shared" si="250"/>
        <v>6808.5</v>
      </c>
      <c r="P945" s="39">
        <f>-6000+6000+2902.6</f>
        <v>2902.6</v>
      </c>
      <c r="Q945" s="24">
        <f t="shared" si="242"/>
        <v>9711.1</v>
      </c>
      <c r="R945" s="39">
        <f>6000+1908.6+649.3</f>
        <v>8557.9</v>
      </c>
      <c r="S945" s="24">
        <f t="shared" si="237"/>
        <v>18269</v>
      </c>
      <c r="T945" s="69"/>
      <c r="U945" s="24">
        <f t="shared" si="238"/>
        <v>18269</v>
      </c>
      <c r="V945" s="39">
        <f>2700+1980.2</f>
        <v>4680.2</v>
      </c>
      <c r="W945" s="24">
        <f t="shared" si="251"/>
        <v>22949.200000000001</v>
      </c>
      <c r="X945" s="69"/>
      <c r="Y945" s="24">
        <f t="shared" si="252"/>
        <v>22949.200000000001</v>
      </c>
      <c r="Z945" s="189"/>
      <c r="AA945" s="189">
        <f t="shared" si="265"/>
        <v>22949.200000000001</v>
      </c>
    </row>
    <row r="946" spans="1:27" s="6" customFormat="1" ht="24.75" x14ac:dyDescent="0.25">
      <c r="A946" s="22" t="s">
        <v>234</v>
      </c>
      <c r="B946" s="20" t="s">
        <v>243</v>
      </c>
      <c r="C946" s="20" t="s">
        <v>844</v>
      </c>
      <c r="D946" s="21"/>
      <c r="E946" s="27"/>
      <c r="F946" s="27"/>
      <c r="G946" s="24"/>
      <c r="H946" s="27"/>
      <c r="I946" s="24"/>
      <c r="J946" s="39"/>
      <c r="K946" s="24"/>
      <c r="L946" s="47">
        <f>L947</f>
        <v>2800</v>
      </c>
      <c r="M946" s="24">
        <f t="shared" si="249"/>
        <v>2800</v>
      </c>
      <c r="N946" s="47">
        <f>N947</f>
        <v>0</v>
      </c>
      <c r="O946" s="24">
        <f t="shared" si="250"/>
        <v>2800</v>
      </c>
      <c r="P946" s="47">
        <f>P947</f>
        <v>-2800</v>
      </c>
      <c r="Q946" s="24">
        <f t="shared" si="242"/>
        <v>0</v>
      </c>
      <c r="R946" s="47">
        <f>R947</f>
        <v>1975.6</v>
      </c>
      <c r="S946" s="24">
        <f t="shared" si="237"/>
        <v>1975.6</v>
      </c>
      <c r="T946" s="47">
        <f>T947+T948</f>
        <v>4540.2</v>
      </c>
      <c r="U946" s="24">
        <f t="shared" si="238"/>
        <v>6515.7999999999993</v>
      </c>
      <c r="V946" s="47">
        <f>V947+V948</f>
        <v>0.1</v>
      </c>
      <c r="W946" s="24">
        <f t="shared" si="251"/>
        <v>6515.9</v>
      </c>
      <c r="X946" s="47">
        <f>X947+X948</f>
        <v>0.1</v>
      </c>
      <c r="Y946" s="24">
        <f t="shared" si="252"/>
        <v>6516</v>
      </c>
      <c r="Z946" s="189"/>
    </row>
    <row r="947" spans="1:27" ht="24.75" x14ac:dyDescent="0.25">
      <c r="A947" s="30" t="s">
        <v>669</v>
      </c>
      <c r="B947" s="21" t="s">
        <v>243</v>
      </c>
      <c r="C947" s="21" t="s">
        <v>844</v>
      </c>
      <c r="D947" s="21" t="s">
        <v>251</v>
      </c>
      <c r="E947" s="27"/>
      <c r="F947" s="27"/>
      <c r="G947" s="24"/>
      <c r="H947" s="27"/>
      <c r="I947" s="24"/>
      <c r="J947" s="39"/>
      <c r="K947" s="24"/>
      <c r="L947" s="91">
        <v>2800</v>
      </c>
      <c r="M947" s="24">
        <f t="shared" si="249"/>
        <v>2800</v>
      </c>
      <c r="N947" s="84"/>
      <c r="O947" s="24">
        <f t="shared" si="250"/>
        <v>2800</v>
      </c>
      <c r="P947" s="102">
        <v>-2800</v>
      </c>
      <c r="Q947" s="24">
        <f t="shared" si="242"/>
        <v>0</v>
      </c>
      <c r="R947" s="91">
        <v>1975.6</v>
      </c>
      <c r="S947" s="24">
        <f t="shared" si="237"/>
        <v>1975.6</v>
      </c>
      <c r="T947" s="84"/>
      <c r="U947" s="24">
        <f t="shared" si="238"/>
        <v>1975.6</v>
      </c>
      <c r="V947" s="102">
        <v>0.1</v>
      </c>
      <c r="W947" s="24">
        <f t="shared" si="251"/>
        <v>1975.6999999999998</v>
      </c>
      <c r="X947" s="91">
        <v>0.1</v>
      </c>
      <c r="Y947" s="24">
        <f t="shared" si="252"/>
        <v>1975.7999999999997</v>
      </c>
      <c r="Z947" s="61">
        <v>0.1</v>
      </c>
      <c r="AA947" s="189">
        <f t="shared" ref="AA947:AA948" si="266">Y947+Z947</f>
        <v>1975.8999999999996</v>
      </c>
    </row>
    <row r="948" spans="1:27" ht="24.75" x14ac:dyDescent="0.25">
      <c r="A948" s="25" t="s">
        <v>572</v>
      </c>
      <c r="B948" s="21" t="s">
        <v>243</v>
      </c>
      <c r="C948" s="21" t="s">
        <v>844</v>
      </c>
      <c r="D948" s="21" t="s">
        <v>241</v>
      </c>
      <c r="E948" s="27"/>
      <c r="F948" s="27"/>
      <c r="G948" s="24"/>
      <c r="H948" s="27"/>
      <c r="I948" s="24"/>
      <c r="J948" s="39"/>
      <c r="K948" s="24"/>
      <c r="L948" s="91"/>
      <c r="M948" s="24"/>
      <c r="N948" s="84"/>
      <c r="O948" s="24"/>
      <c r="P948" s="102"/>
      <c r="Q948" s="24"/>
      <c r="R948" s="91"/>
      <c r="S948" s="24"/>
      <c r="T948" s="90">
        <v>4540.2</v>
      </c>
      <c r="U948" s="24">
        <f t="shared" ref="U948" si="267">S948+T948</f>
        <v>4540.2</v>
      </c>
      <c r="V948" s="84"/>
      <c r="W948" s="24">
        <f t="shared" si="251"/>
        <v>4540.2</v>
      </c>
      <c r="X948" s="84"/>
      <c r="Y948" s="24">
        <f t="shared" si="252"/>
        <v>4540.2</v>
      </c>
      <c r="AA948" s="189">
        <f t="shared" si="266"/>
        <v>4540.2</v>
      </c>
    </row>
    <row r="949" spans="1:27" s="6" customFormat="1" hidden="1" x14ac:dyDescent="0.25">
      <c r="A949" s="22" t="s">
        <v>245</v>
      </c>
      <c r="B949" s="23" t="s">
        <v>243</v>
      </c>
      <c r="C949" s="23" t="s">
        <v>246</v>
      </c>
      <c r="D949" s="23" t="s">
        <v>2</v>
      </c>
      <c r="E949" s="24">
        <f>E950</f>
        <v>9500</v>
      </c>
      <c r="F949" s="24">
        <f>F950</f>
        <v>-2500</v>
      </c>
      <c r="G949" s="24">
        <f t="shared" si="246"/>
        <v>7000</v>
      </c>
      <c r="H949" s="24">
        <f>H950</f>
        <v>0</v>
      </c>
      <c r="I949" s="24">
        <f t="shared" si="247"/>
        <v>7000</v>
      </c>
      <c r="J949" s="24">
        <f>J950</f>
        <v>0</v>
      </c>
      <c r="K949" s="24">
        <f t="shared" si="248"/>
        <v>7000</v>
      </c>
      <c r="L949" s="24">
        <f>L950</f>
        <v>2500</v>
      </c>
      <c r="M949" s="24">
        <f t="shared" si="249"/>
        <v>9500</v>
      </c>
      <c r="N949" s="24">
        <f>N950</f>
        <v>-9090</v>
      </c>
      <c r="O949" s="24">
        <f t="shared" si="250"/>
        <v>410</v>
      </c>
      <c r="P949" s="24">
        <f>P950</f>
        <v>0</v>
      </c>
      <c r="Q949" s="24">
        <f t="shared" si="242"/>
        <v>410</v>
      </c>
      <c r="R949" s="24">
        <f>R950</f>
        <v>0</v>
      </c>
      <c r="S949" s="24">
        <f t="shared" si="237"/>
        <v>410</v>
      </c>
      <c r="T949" s="24">
        <f>T950</f>
        <v>0</v>
      </c>
      <c r="U949" s="24">
        <f t="shared" si="238"/>
        <v>410</v>
      </c>
      <c r="V949" s="24">
        <f>V950</f>
        <v>-410</v>
      </c>
      <c r="W949" s="24">
        <f t="shared" si="251"/>
        <v>0</v>
      </c>
      <c r="X949" s="24">
        <f>X950</f>
        <v>0</v>
      </c>
      <c r="Y949" s="24">
        <f t="shared" si="252"/>
        <v>0</v>
      </c>
      <c r="Z949" s="189"/>
    </row>
    <row r="950" spans="1:27" s="6" customFormat="1" ht="24.75" hidden="1" x14ac:dyDescent="0.25">
      <c r="A950" s="25" t="s">
        <v>572</v>
      </c>
      <c r="B950" s="26" t="s">
        <v>243</v>
      </c>
      <c r="C950" s="26" t="s">
        <v>246</v>
      </c>
      <c r="D950" s="26" t="s">
        <v>241</v>
      </c>
      <c r="E950" s="27">
        <v>9500</v>
      </c>
      <c r="F950" s="39">
        <v>-2500</v>
      </c>
      <c r="G950" s="24">
        <f t="shared" si="246"/>
        <v>7000</v>
      </c>
      <c r="H950" s="69"/>
      <c r="I950" s="24">
        <f t="shared" si="247"/>
        <v>7000</v>
      </c>
      <c r="J950" s="69"/>
      <c r="K950" s="24">
        <f t="shared" si="248"/>
        <v>7000</v>
      </c>
      <c r="L950" s="96">
        <v>2500</v>
      </c>
      <c r="M950" s="24">
        <f t="shared" si="249"/>
        <v>9500</v>
      </c>
      <c r="N950" s="63">
        <v>-9090</v>
      </c>
      <c r="O950" s="24">
        <f t="shared" si="250"/>
        <v>410</v>
      </c>
      <c r="P950" s="69"/>
      <c r="Q950" s="24">
        <f t="shared" si="242"/>
        <v>410</v>
      </c>
      <c r="R950" s="69"/>
      <c r="S950" s="24">
        <f t="shared" si="237"/>
        <v>410</v>
      </c>
      <c r="T950" s="69"/>
      <c r="U950" s="24">
        <f t="shared" si="238"/>
        <v>410</v>
      </c>
      <c r="V950" s="94">
        <v>-410</v>
      </c>
      <c r="W950" s="24">
        <f t="shared" si="251"/>
        <v>0</v>
      </c>
      <c r="X950" s="69"/>
      <c r="Y950" s="24">
        <f t="shared" si="252"/>
        <v>0</v>
      </c>
      <c r="Z950" s="189"/>
      <c r="AA950" s="189">
        <f>Y950+Z950</f>
        <v>0</v>
      </c>
    </row>
    <row r="951" spans="1:27" ht="24.75" x14ac:dyDescent="0.25">
      <c r="A951" s="40" t="s">
        <v>270</v>
      </c>
      <c r="B951" s="20" t="s">
        <v>243</v>
      </c>
      <c r="C951" s="41" t="s">
        <v>818</v>
      </c>
      <c r="D951" s="41" t="s">
        <v>2</v>
      </c>
      <c r="E951" s="27"/>
      <c r="F951" s="39"/>
      <c r="G951" s="24"/>
      <c r="H951" s="69"/>
      <c r="I951" s="24"/>
      <c r="J951" s="69"/>
      <c r="K951" s="24"/>
      <c r="L951" s="47">
        <f>L952</f>
        <v>5000</v>
      </c>
      <c r="M951" s="24">
        <f t="shared" si="249"/>
        <v>5000</v>
      </c>
      <c r="N951" s="47">
        <f>N952</f>
        <v>0</v>
      </c>
      <c r="O951" s="24">
        <f t="shared" si="250"/>
        <v>5000</v>
      </c>
      <c r="P951" s="47">
        <f>P952</f>
        <v>-1000</v>
      </c>
      <c r="Q951" s="24">
        <f t="shared" si="242"/>
        <v>4000</v>
      </c>
      <c r="R951" s="47">
        <f>R952</f>
        <v>1000</v>
      </c>
      <c r="S951" s="24">
        <f t="shared" si="237"/>
        <v>5000</v>
      </c>
      <c r="T951" s="47">
        <f>T952+T953</f>
        <v>-800</v>
      </c>
      <c r="U951" s="24">
        <f t="shared" si="238"/>
        <v>4200</v>
      </c>
      <c r="V951" s="79">
        <f>V952+V953</f>
        <v>-1100</v>
      </c>
      <c r="W951" s="24">
        <f t="shared" si="251"/>
        <v>3100</v>
      </c>
      <c r="X951" s="79">
        <f>X952+X953</f>
        <v>0</v>
      </c>
      <c r="Y951" s="24">
        <f t="shared" si="252"/>
        <v>3100</v>
      </c>
    </row>
    <row r="952" spans="1:27" hidden="1" x14ac:dyDescent="0.25">
      <c r="A952" s="30" t="s">
        <v>66</v>
      </c>
      <c r="B952" s="21" t="s">
        <v>243</v>
      </c>
      <c r="C952" s="42" t="s">
        <v>818</v>
      </c>
      <c r="D952" s="42" t="s">
        <v>42</v>
      </c>
      <c r="E952" s="27"/>
      <c r="F952" s="39"/>
      <c r="G952" s="24"/>
      <c r="H952" s="69"/>
      <c r="I952" s="24"/>
      <c r="J952" s="69"/>
      <c r="K952" s="24"/>
      <c r="L952" s="96">
        <v>5000</v>
      </c>
      <c r="M952" s="24">
        <f t="shared" si="249"/>
        <v>5000</v>
      </c>
      <c r="N952" s="69"/>
      <c r="O952" s="24">
        <f t="shared" si="250"/>
        <v>5000</v>
      </c>
      <c r="P952" s="94">
        <v>-1000</v>
      </c>
      <c r="Q952" s="24">
        <f t="shared" si="242"/>
        <v>4000</v>
      </c>
      <c r="R952" s="39">
        <v>1000</v>
      </c>
      <c r="S952" s="24">
        <f t="shared" si="237"/>
        <v>5000</v>
      </c>
      <c r="T952" s="39">
        <f>-1000+200-4000</f>
        <v>-4800</v>
      </c>
      <c r="U952" s="24">
        <f t="shared" si="238"/>
        <v>200</v>
      </c>
      <c r="V952" s="39">
        <v>-200</v>
      </c>
      <c r="W952" s="24">
        <f t="shared" si="251"/>
        <v>0</v>
      </c>
      <c r="X952" s="109">
        <f>200-200</f>
        <v>0</v>
      </c>
      <c r="Y952" s="24">
        <f t="shared" si="252"/>
        <v>0</v>
      </c>
      <c r="Z952" s="61">
        <v>-200</v>
      </c>
      <c r="AA952" s="189">
        <f t="shared" ref="AA952:AA953" si="268">Y952+Z952</f>
        <v>-200</v>
      </c>
    </row>
    <row r="953" spans="1:27" ht="24.75" x14ac:dyDescent="0.25">
      <c r="A953" s="25" t="s">
        <v>572</v>
      </c>
      <c r="B953" s="21" t="s">
        <v>243</v>
      </c>
      <c r="C953" s="42" t="s">
        <v>818</v>
      </c>
      <c r="D953" s="42" t="s">
        <v>241</v>
      </c>
      <c r="E953" s="27"/>
      <c r="F953" s="39"/>
      <c r="G953" s="24"/>
      <c r="H953" s="69"/>
      <c r="I953" s="24"/>
      <c r="J953" s="69"/>
      <c r="K953" s="24"/>
      <c r="L953" s="96"/>
      <c r="M953" s="24"/>
      <c r="N953" s="69"/>
      <c r="O953" s="24"/>
      <c r="P953" s="94"/>
      <c r="Q953" s="24"/>
      <c r="R953" s="39"/>
      <c r="S953" s="24"/>
      <c r="T953" s="63">
        <v>4000</v>
      </c>
      <c r="U953" s="24">
        <f t="shared" ref="U953" si="269">S953+T953</f>
        <v>4000</v>
      </c>
      <c r="V953" s="39">
        <v>-900</v>
      </c>
      <c r="W953" s="24">
        <f t="shared" si="251"/>
        <v>3100</v>
      </c>
      <c r="X953" s="109">
        <f>900-900</f>
        <v>0</v>
      </c>
      <c r="Y953" s="24">
        <f t="shared" si="252"/>
        <v>3100</v>
      </c>
      <c r="Z953" s="61">
        <v>-900</v>
      </c>
      <c r="AA953" s="189">
        <f t="shared" si="268"/>
        <v>2200</v>
      </c>
    </row>
    <row r="954" spans="1:27" ht="24.75" x14ac:dyDescent="0.25">
      <c r="A954" s="22" t="s">
        <v>584</v>
      </c>
      <c r="B954" s="23" t="s">
        <v>243</v>
      </c>
      <c r="C954" s="20" t="s">
        <v>583</v>
      </c>
      <c r="D954" s="23" t="s">
        <v>2</v>
      </c>
      <c r="E954" s="24">
        <f>E957</f>
        <v>3620.3</v>
      </c>
      <c r="F954" s="24">
        <f>F957</f>
        <v>203924.3</v>
      </c>
      <c r="G954" s="24">
        <f t="shared" si="246"/>
        <v>207544.59999999998</v>
      </c>
      <c r="H954" s="24">
        <f>H957</f>
        <v>-41283.4</v>
      </c>
      <c r="I954" s="24">
        <f t="shared" si="247"/>
        <v>166261.19999999998</v>
      </c>
      <c r="J954" s="24">
        <f>J957</f>
        <v>0</v>
      </c>
      <c r="K954" s="24">
        <f t="shared" si="248"/>
        <v>166261.19999999998</v>
      </c>
      <c r="L954" s="24">
        <f>L957</f>
        <v>0</v>
      </c>
      <c r="M954" s="24">
        <f t="shared" si="249"/>
        <v>166261.19999999998</v>
      </c>
      <c r="N954" s="24">
        <f>N957</f>
        <v>15</v>
      </c>
      <c r="O954" s="24">
        <f t="shared" si="250"/>
        <v>166276.19999999998</v>
      </c>
      <c r="P954" s="24">
        <f>P957</f>
        <v>0</v>
      </c>
      <c r="Q954" s="24">
        <f t="shared" si="242"/>
        <v>166276.19999999998</v>
      </c>
      <c r="R954" s="24">
        <f>R957</f>
        <v>0</v>
      </c>
      <c r="S954" s="24">
        <f t="shared" si="237"/>
        <v>166276.19999999998</v>
      </c>
      <c r="T954" s="24">
        <f>T957</f>
        <v>-10000</v>
      </c>
      <c r="U954" s="24">
        <f t="shared" si="238"/>
        <v>156276.19999999998</v>
      </c>
      <c r="V954" s="24">
        <f>V957+V955</f>
        <v>0</v>
      </c>
      <c r="W954" s="24">
        <f>U954+V954</f>
        <v>156276.19999999998</v>
      </c>
      <c r="X954" s="24">
        <f>X957+X955</f>
        <v>105199.4</v>
      </c>
      <c r="Y954" s="24">
        <f>W954+X954</f>
        <v>261475.59999999998</v>
      </c>
    </row>
    <row r="955" spans="1:27" ht="36.75" x14ac:dyDescent="0.25">
      <c r="A955" s="16" t="s">
        <v>1411</v>
      </c>
      <c r="B955" s="23" t="s">
        <v>243</v>
      </c>
      <c r="C955" s="20" t="s">
        <v>1412</v>
      </c>
      <c r="D955" s="23"/>
      <c r="E955" s="24"/>
      <c r="F955" s="24"/>
      <c r="G955" s="24"/>
      <c r="H955" s="24"/>
      <c r="I955" s="24"/>
      <c r="J955" s="24"/>
      <c r="K955" s="24"/>
      <c r="L955" s="24"/>
      <c r="M955" s="24"/>
      <c r="N955" s="24"/>
      <c r="O955" s="24"/>
      <c r="P955" s="24"/>
      <c r="Q955" s="24"/>
      <c r="R955" s="24"/>
      <c r="S955" s="24"/>
      <c r="T955" s="24"/>
      <c r="U955" s="24"/>
      <c r="V955" s="182">
        <f>V956</f>
        <v>6556.8</v>
      </c>
      <c r="W955" s="24">
        <f t="shared" ref="W955:W956" si="270">U955+V955</f>
        <v>6556.8</v>
      </c>
      <c r="X955" s="18">
        <f>X956</f>
        <v>0</v>
      </c>
      <c r="Y955" s="24">
        <f t="shared" ref="Y955:Y1018" si="271">W955+X955</f>
        <v>6556.8</v>
      </c>
    </row>
    <row r="956" spans="1:27" ht="24.75" x14ac:dyDescent="0.25">
      <c r="A956" s="17" t="s">
        <v>572</v>
      </c>
      <c r="B956" s="26" t="s">
        <v>243</v>
      </c>
      <c r="C956" s="21" t="s">
        <v>1412</v>
      </c>
      <c r="D956" s="26" t="s">
        <v>241</v>
      </c>
      <c r="E956" s="24"/>
      <c r="F956" s="24"/>
      <c r="G956" s="24"/>
      <c r="H956" s="24"/>
      <c r="I956" s="24"/>
      <c r="J956" s="24"/>
      <c r="K956" s="24"/>
      <c r="L956" s="24"/>
      <c r="M956" s="24"/>
      <c r="N956" s="24"/>
      <c r="O956" s="24"/>
      <c r="P956" s="24"/>
      <c r="Q956" s="24"/>
      <c r="R956" s="24"/>
      <c r="S956" s="24"/>
      <c r="T956" s="24"/>
      <c r="U956" s="24"/>
      <c r="V956" s="125">
        <v>6556.8</v>
      </c>
      <c r="W956" s="24">
        <f t="shared" si="270"/>
        <v>6556.8</v>
      </c>
      <c r="X956" s="69"/>
      <c r="Y956" s="24">
        <f t="shared" si="271"/>
        <v>6556.8</v>
      </c>
      <c r="AA956" s="189">
        <f>Y956+Z956</f>
        <v>6556.8</v>
      </c>
    </row>
    <row r="957" spans="1:27" ht="24.75" x14ac:dyDescent="0.25">
      <c r="A957" s="16" t="s">
        <v>585</v>
      </c>
      <c r="B957" s="23" t="s">
        <v>243</v>
      </c>
      <c r="C957" s="20" t="s">
        <v>580</v>
      </c>
      <c r="D957" s="23" t="s">
        <v>2</v>
      </c>
      <c r="E957" s="24">
        <f>E959</f>
        <v>3620.3</v>
      </c>
      <c r="F957" s="24">
        <f>F959</f>
        <v>203924.3</v>
      </c>
      <c r="G957" s="24">
        <f t="shared" si="246"/>
        <v>207544.59999999998</v>
      </c>
      <c r="H957" s="24">
        <f>H959</f>
        <v>-41283.4</v>
      </c>
      <c r="I957" s="24">
        <f t="shared" si="247"/>
        <v>166261.19999999998</v>
      </c>
      <c r="J957" s="24">
        <f>J959</f>
        <v>0</v>
      </c>
      <c r="K957" s="24">
        <f t="shared" si="248"/>
        <v>166261.19999999998</v>
      </c>
      <c r="L957" s="24">
        <f>L959</f>
        <v>0</v>
      </c>
      <c r="M957" s="24">
        <f t="shared" si="249"/>
        <v>166261.19999999998</v>
      </c>
      <c r="N957" s="24">
        <f>N959+N958</f>
        <v>15</v>
      </c>
      <c r="O957" s="24">
        <f t="shared" si="250"/>
        <v>166276.19999999998</v>
      </c>
      <c r="P957" s="24">
        <f>P959+P958</f>
        <v>0</v>
      </c>
      <c r="Q957" s="24">
        <f t="shared" si="242"/>
        <v>166276.19999999998</v>
      </c>
      <c r="R957" s="24">
        <f>R959+R958</f>
        <v>0</v>
      </c>
      <c r="S957" s="24">
        <f t="shared" si="237"/>
        <v>166276.19999999998</v>
      </c>
      <c r="T957" s="24">
        <f>T959+T958</f>
        <v>-10000</v>
      </c>
      <c r="U957" s="24">
        <f t="shared" si="238"/>
        <v>156276.19999999998</v>
      </c>
      <c r="V957" s="24">
        <f>V959+V958</f>
        <v>-6556.8</v>
      </c>
      <c r="W957" s="24">
        <f t="shared" si="251"/>
        <v>149719.4</v>
      </c>
      <c r="X957" s="24">
        <f>X959+X958</f>
        <v>105199.4</v>
      </c>
      <c r="Y957" s="24">
        <f t="shared" si="271"/>
        <v>254918.8</v>
      </c>
    </row>
    <row r="958" spans="1:27" ht="24.75" x14ac:dyDescent="0.25">
      <c r="A958" s="25" t="s">
        <v>572</v>
      </c>
      <c r="B958" s="26" t="s">
        <v>243</v>
      </c>
      <c r="C958" s="21" t="s">
        <v>580</v>
      </c>
      <c r="D958" s="26" t="s">
        <v>241</v>
      </c>
      <c r="E958" s="24"/>
      <c r="F958" s="24"/>
      <c r="G958" s="24"/>
      <c r="H958" s="24"/>
      <c r="I958" s="24"/>
      <c r="J958" s="24"/>
      <c r="K958" s="24"/>
      <c r="L958" s="24"/>
      <c r="M958" s="24"/>
      <c r="N958" s="39">
        <v>15</v>
      </c>
      <c r="O958" s="24">
        <f t="shared" si="250"/>
        <v>15</v>
      </c>
      <c r="P958" s="69"/>
      <c r="Q958" s="24">
        <f t="shared" si="242"/>
        <v>15</v>
      </c>
      <c r="R958" s="69"/>
      <c r="S958" s="24">
        <f t="shared" si="237"/>
        <v>15</v>
      </c>
      <c r="T958" s="69"/>
      <c r="U958" s="24">
        <f t="shared" si="238"/>
        <v>15</v>
      </c>
      <c r="V958" s="69"/>
      <c r="W958" s="24">
        <f t="shared" si="251"/>
        <v>15</v>
      </c>
      <c r="X958" s="39">
        <v>10.5</v>
      </c>
      <c r="Y958" s="24">
        <f t="shared" si="271"/>
        <v>25.5</v>
      </c>
      <c r="Z958" s="61">
        <v>10.5</v>
      </c>
      <c r="AA958" s="189">
        <f t="shared" ref="AA958:AA959" si="272">Y958+Z958</f>
        <v>36</v>
      </c>
    </row>
    <row r="959" spans="1:27" ht="24.75" x14ac:dyDescent="0.25">
      <c r="A959" s="25" t="s">
        <v>572</v>
      </c>
      <c r="B959" s="26" t="s">
        <v>243</v>
      </c>
      <c r="C959" s="21" t="s">
        <v>580</v>
      </c>
      <c r="D959" s="26" t="s">
        <v>241</v>
      </c>
      <c r="E959" s="27">
        <v>3620.3</v>
      </c>
      <c r="F959" s="43">
        <v>203924.3</v>
      </c>
      <c r="G959" s="24">
        <f t="shared" si="246"/>
        <v>207544.59999999998</v>
      </c>
      <c r="H959" s="43">
        <v>-41283.4</v>
      </c>
      <c r="I959" s="24">
        <f t="shared" si="247"/>
        <v>166261.19999999998</v>
      </c>
      <c r="J959" s="69"/>
      <c r="K959" s="24">
        <f t="shared" si="248"/>
        <v>166261.19999999998</v>
      </c>
      <c r="L959" s="69"/>
      <c r="M959" s="24">
        <f t="shared" si="249"/>
        <v>166261.19999999998</v>
      </c>
      <c r="N959" s="69"/>
      <c r="O959" s="24">
        <f t="shared" si="250"/>
        <v>166261.19999999998</v>
      </c>
      <c r="P959" s="69"/>
      <c r="Q959" s="24">
        <f t="shared" si="242"/>
        <v>166261.19999999998</v>
      </c>
      <c r="R959" s="69"/>
      <c r="S959" s="24">
        <f t="shared" si="237"/>
        <v>166261.19999999998</v>
      </c>
      <c r="T959" s="125">
        <v>-10000</v>
      </c>
      <c r="U959" s="24">
        <f t="shared" si="238"/>
        <v>156261.19999999998</v>
      </c>
      <c r="V959" s="125">
        <v>-6556.8</v>
      </c>
      <c r="W959" s="24">
        <f t="shared" si="251"/>
        <v>149704.4</v>
      </c>
      <c r="X959" s="43">
        <v>105188.9</v>
      </c>
      <c r="Y959" s="24">
        <f t="shared" si="271"/>
        <v>254893.3</v>
      </c>
      <c r="AA959" s="189">
        <f t="shared" si="272"/>
        <v>254893.3</v>
      </c>
    </row>
    <row r="960" spans="1:27" ht="24.75" x14ac:dyDescent="0.25">
      <c r="A960" s="22" t="s">
        <v>254</v>
      </c>
      <c r="B960" s="23" t="s">
        <v>243</v>
      </c>
      <c r="C960" s="20" t="s">
        <v>255</v>
      </c>
      <c r="D960" s="23" t="s">
        <v>2</v>
      </c>
      <c r="E960" s="24">
        <f>E963</f>
        <v>12425.6</v>
      </c>
      <c r="F960" s="24">
        <f>F963+F961</f>
        <v>8999.9</v>
      </c>
      <c r="G960" s="24">
        <f t="shared" si="246"/>
        <v>21425.5</v>
      </c>
      <c r="H960" s="24">
        <f>H963+H961</f>
        <v>0</v>
      </c>
      <c r="I960" s="24">
        <f t="shared" si="247"/>
        <v>21425.5</v>
      </c>
      <c r="J960" s="24">
        <f>J963+J961</f>
        <v>0</v>
      </c>
      <c r="K960" s="24">
        <f t="shared" si="248"/>
        <v>21425.5</v>
      </c>
      <c r="L960" s="24">
        <f>L963+L961</f>
        <v>6899.9</v>
      </c>
      <c r="M960" s="24">
        <f t="shared" si="249"/>
        <v>28325.4</v>
      </c>
      <c r="N960" s="24">
        <f>N963+N961</f>
        <v>-6998.4</v>
      </c>
      <c r="O960" s="24">
        <f t="shared" si="250"/>
        <v>21327</v>
      </c>
      <c r="P960" s="24">
        <f>P963+P961</f>
        <v>0</v>
      </c>
      <c r="Q960" s="24">
        <f t="shared" si="242"/>
        <v>21327</v>
      </c>
      <c r="R960" s="24">
        <f>R963+R961</f>
        <v>0</v>
      </c>
      <c r="S960" s="24">
        <f t="shared" si="237"/>
        <v>21327</v>
      </c>
      <c r="T960" s="24">
        <f>T963+T961</f>
        <v>0</v>
      </c>
      <c r="U960" s="24">
        <f t="shared" si="238"/>
        <v>21327</v>
      </c>
      <c r="V960" s="24">
        <f>V963+V961</f>
        <v>0</v>
      </c>
      <c r="W960" s="24">
        <f t="shared" si="251"/>
        <v>21327</v>
      </c>
      <c r="X960" s="24">
        <f>X963+X961</f>
        <v>1531.7</v>
      </c>
      <c r="Y960" s="24">
        <f t="shared" si="271"/>
        <v>22858.7</v>
      </c>
    </row>
    <row r="961" spans="1:27" s="6" customFormat="1" ht="24.75" x14ac:dyDescent="0.25">
      <c r="A961" s="45" t="s">
        <v>254</v>
      </c>
      <c r="B961" s="20" t="s">
        <v>243</v>
      </c>
      <c r="C961" s="48" t="s">
        <v>667</v>
      </c>
      <c r="D961" s="49"/>
      <c r="E961" s="24"/>
      <c r="F961" s="18">
        <f>F962</f>
        <v>9000</v>
      </c>
      <c r="G961" s="24">
        <f t="shared" si="246"/>
        <v>9000</v>
      </c>
      <c r="H961" s="18">
        <f>H962</f>
        <v>0</v>
      </c>
      <c r="I961" s="24">
        <f t="shared" si="247"/>
        <v>9000</v>
      </c>
      <c r="J961" s="18">
        <f>J962</f>
        <v>0</v>
      </c>
      <c r="K961" s="24">
        <f t="shared" si="248"/>
        <v>9000</v>
      </c>
      <c r="L961" s="18">
        <f>L962</f>
        <v>6900</v>
      </c>
      <c r="M961" s="24">
        <f t="shared" si="249"/>
        <v>15900</v>
      </c>
      <c r="N961" s="18">
        <f>N962</f>
        <v>-7000</v>
      </c>
      <c r="O961" s="24">
        <f t="shared" si="250"/>
        <v>8900</v>
      </c>
      <c r="P961" s="18">
        <f>P962</f>
        <v>0</v>
      </c>
      <c r="Q961" s="24">
        <f t="shared" si="242"/>
        <v>8900</v>
      </c>
      <c r="R961" s="18">
        <f>R962</f>
        <v>0</v>
      </c>
      <c r="S961" s="24">
        <f t="shared" si="237"/>
        <v>8900</v>
      </c>
      <c r="T961" s="18">
        <f>T962</f>
        <v>0</v>
      </c>
      <c r="U961" s="24">
        <f t="shared" si="238"/>
        <v>8900</v>
      </c>
      <c r="V961" s="18">
        <f>V962</f>
        <v>0</v>
      </c>
      <c r="W961" s="24">
        <f t="shared" si="251"/>
        <v>8900</v>
      </c>
      <c r="X961" s="18">
        <f>X962</f>
        <v>1531.7</v>
      </c>
      <c r="Y961" s="24">
        <f t="shared" si="271"/>
        <v>10431.700000000001</v>
      </c>
      <c r="Z961" s="189"/>
    </row>
    <row r="962" spans="1:27" s="6" customFormat="1" ht="24.75" x14ac:dyDescent="0.25">
      <c r="A962" s="30" t="s">
        <v>572</v>
      </c>
      <c r="B962" s="21" t="s">
        <v>243</v>
      </c>
      <c r="C962" s="49" t="s">
        <v>667</v>
      </c>
      <c r="D962" s="49" t="s">
        <v>241</v>
      </c>
      <c r="E962" s="24"/>
      <c r="F962" s="43">
        <v>9000</v>
      </c>
      <c r="G962" s="24">
        <f t="shared" si="246"/>
        <v>9000</v>
      </c>
      <c r="H962" s="69"/>
      <c r="I962" s="24">
        <f t="shared" si="247"/>
        <v>9000</v>
      </c>
      <c r="J962" s="69"/>
      <c r="K962" s="24">
        <f t="shared" si="248"/>
        <v>9000</v>
      </c>
      <c r="L962" s="43">
        <v>6900</v>
      </c>
      <c r="M962" s="24">
        <f t="shared" si="249"/>
        <v>15900</v>
      </c>
      <c r="N962" s="43">
        <v>-7000</v>
      </c>
      <c r="O962" s="24">
        <f t="shared" si="250"/>
        <v>8900</v>
      </c>
      <c r="P962" s="69"/>
      <c r="Q962" s="24">
        <f t="shared" si="242"/>
        <v>8900</v>
      </c>
      <c r="R962" s="69"/>
      <c r="S962" s="24">
        <f t="shared" si="237"/>
        <v>8900</v>
      </c>
      <c r="T962" s="69"/>
      <c r="U962" s="24">
        <f t="shared" si="238"/>
        <v>8900</v>
      </c>
      <c r="V962" s="69"/>
      <c r="W962" s="24">
        <f t="shared" si="251"/>
        <v>8900</v>
      </c>
      <c r="X962" s="43">
        <v>1531.7</v>
      </c>
      <c r="Y962" s="24">
        <f t="shared" si="271"/>
        <v>10431.700000000001</v>
      </c>
      <c r="Z962" s="189"/>
      <c r="AA962" s="189">
        <f>Y962+Z962</f>
        <v>10431.700000000001</v>
      </c>
    </row>
    <row r="963" spans="1:27" s="6" customFormat="1" ht="24.75" x14ac:dyDescent="0.25">
      <c r="A963" s="22" t="s">
        <v>256</v>
      </c>
      <c r="B963" s="23" t="s">
        <v>243</v>
      </c>
      <c r="C963" s="23" t="s">
        <v>257</v>
      </c>
      <c r="D963" s="23" t="s">
        <v>2</v>
      </c>
      <c r="E963" s="24">
        <f>E965</f>
        <v>12425.6</v>
      </c>
      <c r="F963" s="24">
        <f>F965</f>
        <v>-0.1</v>
      </c>
      <c r="G963" s="24">
        <f t="shared" si="246"/>
        <v>12425.5</v>
      </c>
      <c r="H963" s="24">
        <f>H965</f>
        <v>0</v>
      </c>
      <c r="I963" s="24">
        <f t="shared" si="247"/>
        <v>12425.5</v>
      </c>
      <c r="J963" s="24">
        <f>J965</f>
        <v>0</v>
      </c>
      <c r="K963" s="24">
        <f t="shared" si="248"/>
        <v>12425.5</v>
      </c>
      <c r="L963" s="24">
        <f>L965</f>
        <v>-0.1</v>
      </c>
      <c r="M963" s="24">
        <f t="shared" si="249"/>
        <v>12425.4</v>
      </c>
      <c r="N963" s="24">
        <f>N965+N964</f>
        <v>1.5999999999999999</v>
      </c>
      <c r="O963" s="24">
        <f t="shared" si="250"/>
        <v>12427</v>
      </c>
      <c r="P963" s="24">
        <f>P965+P964</f>
        <v>0</v>
      </c>
      <c r="Q963" s="24">
        <f t="shared" si="242"/>
        <v>12427</v>
      </c>
      <c r="R963" s="24">
        <f>R965+R964</f>
        <v>0</v>
      </c>
      <c r="S963" s="24">
        <f t="shared" si="237"/>
        <v>12427</v>
      </c>
      <c r="T963" s="24">
        <f>T965+T964</f>
        <v>0</v>
      </c>
      <c r="U963" s="24">
        <f t="shared" si="238"/>
        <v>12427</v>
      </c>
      <c r="V963" s="24">
        <f>V965+V964</f>
        <v>0</v>
      </c>
      <c r="W963" s="24">
        <f t="shared" si="251"/>
        <v>12427</v>
      </c>
      <c r="X963" s="24">
        <f>X965+X964</f>
        <v>0</v>
      </c>
      <c r="Y963" s="24">
        <f t="shared" si="271"/>
        <v>12427</v>
      </c>
      <c r="Z963" s="189"/>
    </row>
    <row r="964" spans="1:27" s="6" customFormat="1" ht="24.75" x14ac:dyDescent="0.25">
      <c r="A964" s="25" t="s">
        <v>572</v>
      </c>
      <c r="B964" s="26" t="s">
        <v>243</v>
      </c>
      <c r="C964" s="26" t="s">
        <v>257</v>
      </c>
      <c r="D964" s="26" t="s">
        <v>241</v>
      </c>
      <c r="E964" s="24"/>
      <c r="F964" s="24"/>
      <c r="G964" s="24"/>
      <c r="H964" s="24"/>
      <c r="I964" s="24"/>
      <c r="J964" s="24"/>
      <c r="K964" s="24"/>
      <c r="L964" s="24"/>
      <c r="M964" s="24"/>
      <c r="N964" s="39">
        <v>1.4</v>
      </c>
      <c r="O964" s="24">
        <f t="shared" si="250"/>
        <v>1.4</v>
      </c>
      <c r="P964" s="69"/>
      <c r="Q964" s="24">
        <f t="shared" si="242"/>
        <v>1.4</v>
      </c>
      <c r="R964" s="69"/>
      <c r="S964" s="24">
        <f t="shared" si="237"/>
        <v>1.4</v>
      </c>
      <c r="T964" s="69"/>
      <c r="U964" s="24">
        <f t="shared" si="238"/>
        <v>1.4</v>
      </c>
      <c r="V964" s="69"/>
      <c r="W964" s="24">
        <f t="shared" si="251"/>
        <v>1.4</v>
      </c>
      <c r="X964" s="69"/>
      <c r="Y964" s="24">
        <f t="shared" si="271"/>
        <v>1.4</v>
      </c>
      <c r="Z964" s="189"/>
      <c r="AA964" s="189">
        <f t="shared" ref="AA964:AA965" si="273">Y964+Z964</f>
        <v>1.4</v>
      </c>
    </row>
    <row r="965" spans="1:27" ht="24.75" x14ac:dyDescent="0.25">
      <c r="A965" s="25" t="s">
        <v>572</v>
      </c>
      <c r="B965" s="26" t="s">
        <v>243</v>
      </c>
      <c r="C965" s="26" t="s">
        <v>257</v>
      </c>
      <c r="D965" s="26" t="s">
        <v>241</v>
      </c>
      <c r="E965" s="27">
        <v>12425.6</v>
      </c>
      <c r="F965" s="43">
        <v>-0.1</v>
      </c>
      <c r="G965" s="24">
        <f t="shared" si="246"/>
        <v>12425.5</v>
      </c>
      <c r="H965" s="69"/>
      <c r="I965" s="24">
        <f t="shared" si="247"/>
        <v>12425.5</v>
      </c>
      <c r="J965" s="69"/>
      <c r="K965" s="24">
        <f t="shared" si="248"/>
        <v>12425.5</v>
      </c>
      <c r="L965" s="43">
        <v>-0.1</v>
      </c>
      <c r="M965" s="24">
        <f t="shared" si="249"/>
        <v>12425.4</v>
      </c>
      <c r="N965" s="43">
        <v>0.2</v>
      </c>
      <c r="O965" s="24">
        <f t="shared" si="250"/>
        <v>12425.6</v>
      </c>
      <c r="P965" s="69"/>
      <c r="Q965" s="24">
        <f t="shared" si="242"/>
        <v>12425.6</v>
      </c>
      <c r="R965" s="69"/>
      <c r="S965" s="24">
        <f t="shared" si="237"/>
        <v>12425.6</v>
      </c>
      <c r="T965" s="69"/>
      <c r="U965" s="24">
        <f t="shared" si="238"/>
        <v>12425.6</v>
      </c>
      <c r="V965" s="69"/>
      <c r="W965" s="24">
        <f t="shared" si="251"/>
        <v>12425.6</v>
      </c>
      <c r="X965" s="69"/>
      <c r="Y965" s="24">
        <f t="shared" si="271"/>
        <v>12425.6</v>
      </c>
      <c r="AA965" s="189">
        <f t="shared" si="273"/>
        <v>12425.6</v>
      </c>
    </row>
    <row r="966" spans="1:27" s="6" customFormat="1" ht="24.75" x14ac:dyDescent="0.25">
      <c r="A966" s="22" t="s">
        <v>1254</v>
      </c>
      <c r="B966" s="23" t="s">
        <v>243</v>
      </c>
      <c r="C966" s="23" t="s">
        <v>258</v>
      </c>
      <c r="D966" s="23" t="s">
        <v>2</v>
      </c>
      <c r="E966" s="24">
        <f t="shared" ref="E966:X970" si="274">E967</f>
        <v>100</v>
      </c>
      <c r="F966" s="24">
        <f t="shared" si="274"/>
        <v>0</v>
      </c>
      <c r="G966" s="24">
        <f t="shared" si="246"/>
        <v>100</v>
      </c>
      <c r="H966" s="24">
        <f t="shared" si="274"/>
        <v>0</v>
      </c>
      <c r="I966" s="24">
        <f t="shared" si="247"/>
        <v>100</v>
      </c>
      <c r="J966" s="24">
        <f t="shared" si="274"/>
        <v>133.1</v>
      </c>
      <c r="K966" s="24">
        <f t="shared" si="248"/>
        <v>233.1</v>
      </c>
      <c r="L966" s="24">
        <f t="shared" si="274"/>
        <v>0</v>
      </c>
      <c r="M966" s="24">
        <f t="shared" si="249"/>
        <v>233.1</v>
      </c>
      <c r="N966" s="24">
        <f t="shared" si="274"/>
        <v>783.5</v>
      </c>
      <c r="O966" s="24">
        <f t="shared" si="250"/>
        <v>1016.6</v>
      </c>
      <c r="P966" s="24">
        <f t="shared" si="274"/>
        <v>0</v>
      </c>
      <c r="Q966" s="24">
        <f t="shared" si="242"/>
        <v>1016.6</v>
      </c>
      <c r="R966" s="24">
        <f t="shared" si="274"/>
        <v>0</v>
      </c>
      <c r="S966" s="24">
        <f t="shared" si="237"/>
        <v>1016.6</v>
      </c>
      <c r="T966" s="24">
        <f t="shared" si="274"/>
        <v>-878.1</v>
      </c>
      <c r="U966" s="24">
        <f t="shared" si="238"/>
        <v>138.5</v>
      </c>
      <c r="V966" s="24">
        <f t="shared" si="274"/>
        <v>0</v>
      </c>
      <c r="W966" s="24">
        <f t="shared" si="251"/>
        <v>138.5</v>
      </c>
      <c r="X966" s="24">
        <f t="shared" si="274"/>
        <v>0</v>
      </c>
      <c r="Y966" s="24">
        <f t="shared" si="271"/>
        <v>138.5</v>
      </c>
      <c r="Z966" s="189"/>
    </row>
    <row r="967" spans="1:27" s="6" customFormat="1" x14ac:dyDescent="0.25">
      <c r="A967" s="22" t="s">
        <v>259</v>
      </c>
      <c r="B967" s="23" t="s">
        <v>243</v>
      </c>
      <c r="C967" s="23" t="s">
        <v>260</v>
      </c>
      <c r="D967" s="23" t="s">
        <v>2</v>
      </c>
      <c r="E967" s="24">
        <f>E970</f>
        <v>100</v>
      </c>
      <c r="F967" s="24">
        <f>F970</f>
        <v>0</v>
      </c>
      <c r="G967" s="24">
        <f t="shared" si="246"/>
        <v>100</v>
      </c>
      <c r="H967" s="24">
        <f>H970</f>
        <v>0</v>
      </c>
      <c r="I967" s="24">
        <f t="shared" si="247"/>
        <v>100</v>
      </c>
      <c r="J967" s="24">
        <f>J970+J968</f>
        <v>133.1</v>
      </c>
      <c r="K967" s="24">
        <f t="shared" si="248"/>
        <v>233.1</v>
      </c>
      <c r="L967" s="24">
        <f>L970+L968</f>
        <v>0</v>
      </c>
      <c r="M967" s="24">
        <f t="shared" si="249"/>
        <v>233.1</v>
      </c>
      <c r="N967" s="24">
        <f>N970+N968</f>
        <v>783.5</v>
      </c>
      <c r="O967" s="24">
        <f t="shared" si="250"/>
        <v>1016.6</v>
      </c>
      <c r="P967" s="24">
        <f>P970+P968</f>
        <v>0</v>
      </c>
      <c r="Q967" s="24">
        <f t="shared" si="242"/>
        <v>1016.6</v>
      </c>
      <c r="R967" s="24">
        <f>R970+R968</f>
        <v>0</v>
      </c>
      <c r="S967" s="24">
        <f t="shared" si="237"/>
        <v>1016.6</v>
      </c>
      <c r="T967" s="24">
        <f>T970+T968</f>
        <v>-878.1</v>
      </c>
      <c r="U967" s="24">
        <f t="shared" si="238"/>
        <v>138.5</v>
      </c>
      <c r="V967" s="24">
        <f>V970+V968</f>
        <v>0</v>
      </c>
      <c r="W967" s="24">
        <f t="shared" si="251"/>
        <v>138.5</v>
      </c>
      <c r="X967" s="24">
        <f>X970+X968</f>
        <v>0</v>
      </c>
      <c r="Y967" s="24">
        <f t="shared" si="271"/>
        <v>138.5</v>
      </c>
      <c r="Z967" s="189"/>
    </row>
    <row r="968" spans="1:27" s="6" customFormat="1" ht="36.75" x14ac:dyDescent="0.25">
      <c r="A968" s="16" t="s">
        <v>779</v>
      </c>
      <c r="B968" s="20" t="s">
        <v>243</v>
      </c>
      <c r="C968" s="20" t="s">
        <v>780</v>
      </c>
      <c r="D968" s="20"/>
      <c r="E968" s="24"/>
      <c r="F968" s="24"/>
      <c r="G968" s="24"/>
      <c r="H968" s="24"/>
      <c r="I968" s="24"/>
      <c r="J968" s="18">
        <f>J969</f>
        <v>133.1</v>
      </c>
      <c r="K968" s="24">
        <f t="shared" si="248"/>
        <v>133.1</v>
      </c>
      <c r="L968" s="18">
        <f>L969</f>
        <v>0</v>
      </c>
      <c r="M968" s="24">
        <f t="shared" si="249"/>
        <v>133.1</v>
      </c>
      <c r="N968" s="18">
        <f>N969</f>
        <v>783.5</v>
      </c>
      <c r="O968" s="24">
        <f t="shared" si="250"/>
        <v>916.6</v>
      </c>
      <c r="P968" s="18">
        <f>P969</f>
        <v>0</v>
      </c>
      <c r="Q968" s="24">
        <f t="shared" si="242"/>
        <v>916.6</v>
      </c>
      <c r="R968" s="18">
        <f>R969</f>
        <v>0</v>
      </c>
      <c r="S968" s="24">
        <f t="shared" si="237"/>
        <v>916.6</v>
      </c>
      <c r="T968" s="18">
        <f>T969</f>
        <v>-878.1</v>
      </c>
      <c r="U968" s="24">
        <f t="shared" si="238"/>
        <v>38.5</v>
      </c>
      <c r="V968" s="18">
        <f>V969</f>
        <v>0</v>
      </c>
      <c r="W968" s="24">
        <f t="shared" si="251"/>
        <v>38.5</v>
      </c>
      <c r="X968" s="18">
        <f>X969</f>
        <v>0</v>
      </c>
      <c r="Y968" s="24">
        <f t="shared" si="271"/>
        <v>38.5</v>
      </c>
      <c r="Z968" s="189"/>
    </row>
    <row r="969" spans="1:27" s="6" customFormat="1" x14ac:dyDescent="0.25">
      <c r="A969" s="30" t="s">
        <v>66</v>
      </c>
      <c r="B969" s="21" t="s">
        <v>243</v>
      </c>
      <c r="C969" s="21" t="s">
        <v>780</v>
      </c>
      <c r="D969" s="21" t="s">
        <v>42</v>
      </c>
      <c r="E969" s="24"/>
      <c r="F969" s="24"/>
      <c r="G969" s="24"/>
      <c r="H969" s="24"/>
      <c r="I969" s="24"/>
      <c r="J969" s="43">
        <f>38.5+94.6</f>
        <v>133.1</v>
      </c>
      <c r="K969" s="24">
        <f t="shared" si="248"/>
        <v>133.1</v>
      </c>
      <c r="L969" s="69"/>
      <c r="M969" s="24">
        <f t="shared" si="249"/>
        <v>133.1</v>
      </c>
      <c r="N969" s="43">
        <v>783.5</v>
      </c>
      <c r="O969" s="24">
        <f t="shared" si="250"/>
        <v>916.6</v>
      </c>
      <c r="P969" s="69"/>
      <c r="Q969" s="24">
        <f t="shared" si="242"/>
        <v>916.6</v>
      </c>
      <c r="R969" s="69"/>
      <c r="S969" s="24">
        <f t="shared" si="237"/>
        <v>916.6</v>
      </c>
      <c r="T969" s="125">
        <f>-783.5-94.6</f>
        <v>-878.1</v>
      </c>
      <c r="U969" s="24">
        <f t="shared" si="238"/>
        <v>38.5</v>
      </c>
      <c r="V969" s="69"/>
      <c r="W969" s="24">
        <f t="shared" si="251"/>
        <v>38.5</v>
      </c>
      <c r="X969" s="69"/>
      <c r="Y969" s="24">
        <f t="shared" si="271"/>
        <v>38.5</v>
      </c>
      <c r="Z969" s="189"/>
      <c r="AA969" s="189">
        <f>Y969+Z969</f>
        <v>38.5</v>
      </c>
    </row>
    <row r="970" spans="1:27" s="6" customFormat="1" ht="24.75" x14ac:dyDescent="0.25">
      <c r="A970" s="22" t="s">
        <v>261</v>
      </c>
      <c r="B970" s="23" t="s">
        <v>243</v>
      </c>
      <c r="C970" s="23" t="s">
        <v>262</v>
      </c>
      <c r="D970" s="23" t="s">
        <v>2</v>
      </c>
      <c r="E970" s="24">
        <f t="shared" si="274"/>
        <v>100</v>
      </c>
      <c r="F970" s="24">
        <f t="shared" si="274"/>
        <v>0</v>
      </c>
      <c r="G970" s="24">
        <f t="shared" si="246"/>
        <v>100</v>
      </c>
      <c r="H970" s="24">
        <f t="shared" si="274"/>
        <v>0</v>
      </c>
      <c r="I970" s="24">
        <f t="shared" si="247"/>
        <v>100</v>
      </c>
      <c r="J970" s="24">
        <f t="shared" si="274"/>
        <v>0</v>
      </c>
      <c r="K970" s="24">
        <f t="shared" si="248"/>
        <v>100</v>
      </c>
      <c r="L970" s="24">
        <f t="shared" si="274"/>
        <v>0</v>
      </c>
      <c r="M970" s="24">
        <f t="shared" si="249"/>
        <v>100</v>
      </c>
      <c r="N970" s="24">
        <f t="shared" si="274"/>
        <v>0</v>
      </c>
      <c r="O970" s="24">
        <f t="shared" si="250"/>
        <v>100</v>
      </c>
      <c r="P970" s="24">
        <f t="shared" si="274"/>
        <v>0</v>
      </c>
      <c r="Q970" s="24">
        <f t="shared" si="242"/>
        <v>100</v>
      </c>
      <c r="R970" s="24">
        <f t="shared" si="274"/>
        <v>0</v>
      </c>
      <c r="S970" s="24">
        <f t="shared" si="237"/>
        <v>100</v>
      </c>
      <c r="T970" s="24">
        <f t="shared" si="274"/>
        <v>0</v>
      </c>
      <c r="U970" s="24">
        <f t="shared" si="238"/>
        <v>100</v>
      </c>
      <c r="V970" s="24">
        <f t="shared" si="274"/>
        <v>0</v>
      </c>
      <c r="W970" s="24">
        <f t="shared" si="251"/>
        <v>100</v>
      </c>
      <c r="X970" s="24">
        <f t="shared" si="274"/>
        <v>0</v>
      </c>
      <c r="Y970" s="24">
        <f t="shared" si="271"/>
        <v>100</v>
      </c>
      <c r="Z970" s="189"/>
    </row>
    <row r="971" spans="1:27" s="6" customFormat="1" x14ac:dyDescent="0.25">
      <c r="A971" s="25" t="s">
        <v>66</v>
      </c>
      <c r="B971" s="26" t="s">
        <v>243</v>
      </c>
      <c r="C971" s="26" t="s">
        <v>262</v>
      </c>
      <c r="D971" s="26" t="s">
        <v>42</v>
      </c>
      <c r="E971" s="27">
        <v>100</v>
      </c>
      <c r="F971" s="27"/>
      <c r="G971" s="24">
        <f t="shared" si="246"/>
        <v>100</v>
      </c>
      <c r="H971" s="27"/>
      <c r="I971" s="24">
        <f t="shared" si="247"/>
        <v>100</v>
      </c>
      <c r="J971" s="27"/>
      <c r="K971" s="24">
        <f t="shared" si="248"/>
        <v>100</v>
      </c>
      <c r="L971" s="27"/>
      <c r="M971" s="24">
        <f t="shared" si="249"/>
        <v>100</v>
      </c>
      <c r="N971" s="27"/>
      <c r="O971" s="24">
        <f t="shared" si="250"/>
        <v>100</v>
      </c>
      <c r="P971" s="27"/>
      <c r="Q971" s="24">
        <f t="shared" si="242"/>
        <v>100</v>
      </c>
      <c r="R971" s="27"/>
      <c r="S971" s="24">
        <f t="shared" si="237"/>
        <v>100</v>
      </c>
      <c r="T971" s="69"/>
      <c r="U971" s="24">
        <f t="shared" si="238"/>
        <v>100</v>
      </c>
      <c r="V971" s="69"/>
      <c r="W971" s="24">
        <f t="shared" si="251"/>
        <v>100</v>
      </c>
      <c r="X971" s="69"/>
      <c r="Y971" s="24">
        <f t="shared" si="271"/>
        <v>100</v>
      </c>
      <c r="Z971" s="189"/>
      <c r="AA971" s="189">
        <f>Y971+Z971</f>
        <v>100</v>
      </c>
    </row>
    <row r="972" spans="1:27" s="6" customFormat="1" hidden="1" x14ac:dyDescent="0.25">
      <c r="A972" s="40" t="s">
        <v>8</v>
      </c>
      <c r="B972" s="20" t="s">
        <v>243</v>
      </c>
      <c r="C972" s="54" t="s">
        <v>9</v>
      </c>
      <c r="D972" s="21"/>
      <c r="E972" s="27"/>
      <c r="F972" s="27"/>
      <c r="G972" s="24"/>
      <c r="H972" s="27"/>
      <c r="I972" s="24"/>
      <c r="J972" s="27"/>
      <c r="K972" s="24"/>
      <c r="L972" s="18">
        <f>L973</f>
        <v>64500</v>
      </c>
      <c r="M972" s="24">
        <f t="shared" si="249"/>
        <v>64500</v>
      </c>
      <c r="N972" s="18">
        <f>N973</f>
        <v>0</v>
      </c>
      <c r="O972" s="24">
        <f t="shared" si="250"/>
        <v>64500</v>
      </c>
      <c r="P972" s="18">
        <f>P973</f>
        <v>0</v>
      </c>
      <c r="Q972" s="24">
        <f t="shared" si="242"/>
        <v>64500</v>
      </c>
      <c r="R972" s="18">
        <f>R973</f>
        <v>0</v>
      </c>
      <c r="S972" s="24">
        <f t="shared" si="237"/>
        <v>64500</v>
      </c>
      <c r="T972" s="18">
        <f>T973</f>
        <v>0</v>
      </c>
      <c r="U972" s="24">
        <f t="shared" si="238"/>
        <v>64500</v>
      </c>
      <c r="V972" s="18">
        <f>V973</f>
        <v>0</v>
      </c>
      <c r="W972" s="24">
        <f t="shared" si="251"/>
        <v>64500</v>
      </c>
      <c r="X972" s="18">
        <f>X973</f>
        <v>-64500</v>
      </c>
      <c r="Y972" s="24">
        <f t="shared" si="271"/>
        <v>0</v>
      </c>
      <c r="Z972" s="189"/>
    </row>
    <row r="973" spans="1:27" s="6" customFormat="1" ht="24.75" hidden="1" x14ac:dyDescent="0.25">
      <c r="A973" s="40" t="s">
        <v>796</v>
      </c>
      <c r="B973" s="20" t="s">
        <v>243</v>
      </c>
      <c r="C973" s="20" t="s">
        <v>797</v>
      </c>
      <c r="D973" s="21"/>
      <c r="E973" s="27"/>
      <c r="F973" s="27"/>
      <c r="G973" s="24"/>
      <c r="H973" s="27"/>
      <c r="I973" s="24"/>
      <c r="J973" s="27"/>
      <c r="K973" s="24"/>
      <c r="L973" s="18">
        <f>L974</f>
        <v>64500</v>
      </c>
      <c r="M973" s="24">
        <f t="shared" si="249"/>
        <v>64500</v>
      </c>
      <c r="N973" s="18">
        <f>N974</f>
        <v>0</v>
      </c>
      <c r="O973" s="24">
        <f t="shared" si="250"/>
        <v>64500</v>
      </c>
      <c r="P973" s="18">
        <f>P974</f>
        <v>0</v>
      </c>
      <c r="Q973" s="24">
        <f t="shared" ref="Q973:Q1202" si="275">O973+P973</f>
        <v>64500</v>
      </c>
      <c r="R973" s="18">
        <f>R974</f>
        <v>0</v>
      </c>
      <c r="S973" s="24">
        <f t="shared" si="237"/>
        <v>64500</v>
      </c>
      <c r="T973" s="18">
        <f>T974</f>
        <v>0</v>
      </c>
      <c r="U973" s="24">
        <f t="shared" si="238"/>
        <v>64500</v>
      </c>
      <c r="V973" s="18">
        <f>V974</f>
        <v>0</v>
      </c>
      <c r="W973" s="24">
        <f t="shared" si="251"/>
        <v>64500</v>
      </c>
      <c r="X973" s="18">
        <f>X974</f>
        <v>-64500</v>
      </c>
      <c r="Y973" s="24">
        <f t="shared" si="271"/>
        <v>0</v>
      </c>
      <c r="Z973" s="189"/>
    </row>
    <row r="974" spans="1:27" s="6" customFormat="1" ht="24.75" hidden="1" x14ac:dyDescent="0.25">
      <c r="A974" s="17" t="s">
        <v>572</v>
      </c>
      <c r="B974" s="21" t="s">
        <v>243</v>
      </c>
      <c r="C974" s="21" t="s">
        <v>797</v>
      </c>
      <c r="D974" s="21" t="s">
        <v>241</v>
      </c>
      <c r="E974" s="27"/>
      <c r="F974" s="27"/>
      <c r="G974" s="24"/>
      <c r="H974" s="27"/>
      <c r="I974" s="24"/>
      <c r="J974" s="27"/>
      <c r="K974" s="24"/>
      <c r="L974" s="43">
        <v>64500</v>
      </c>
      <c r="M974" s="24">
        <f t="shared" si="249"/>
        <v>64500</v>
      </c>
      <c r="N974" s="69"/>
      <c r="O974" s="24">
        <f t="shared" si="250"/>
        <v>64500</v>
      </c>
      <c r="P974" s="69"/>
      <c r="Q974" s="24">
        <f t="shared" si="275"/>
        <v>64500</v>
      </c>
      <c r="R974" s="69"/>
      <c r="S974" s="24">
        <f t="shared" si="237"/>
        <v>64500</v>
      </c>
      <c r="T974" s="69"/>
      <c r="U974" s="24">
        <f t="shared" si="238"/>
        <v>64500</v>
      </c>
      <c r="V974" s="69"/>
      <c r="W974" s="24">
        <f t="shared" si="251"/>
        <v>64500</v>
      </c>
      <c r="X974" s="43">
        <v>-64500</v>
      </c>
      <c r="Y974" s="24">
        <f t="shared" si="271"/>
        <v>0</v>
      </c>
      <c r="Z974" s="189"/>
      <c r="AA974" s="189">
        <f>Y974+Z974</f>
        <v>0</v>
      </c>
    </row>
    <row r="975" spans="1:27" s="6" customFormat="1" x14ac:dyDescent="0.25">
      <c r="A975" s="22" t="s">
        <v>263</v>
      </c>
      <c r="B975" s="23" t="s">
        <v>264</v>
      </c>
      <c r="C975" s="23" t="s">
        <v>2</v>
      </c>
      <c r="D975" s="23" t="s">
        <v>2</v>
      </c>
      <c r="E975" s="24">
        <f>E976+E1117+E1165</f>
        <v>90414.8</v>
      </c>
      <c r="F975" s="24">
        <f>F976+F1117+F1165</f>
        <v>-1000</v>
      </c>
      <c r="G975" s="24">
        <f t="shared" si="246"/>
        <v>89414.8</v>
      </c>
      <c r="H975" s="24">
        <f>H976+H1117+H1165+H992</f>
        <v>53525.1</v>
      </c>
      <c r="I975" s="24">
        <f t="shared" si="247"/>
        <v>142939.9</v>
      </c>
      <c r="J975" s="24">
        <f>J976+J1117+J1165+J992</f>
        <v>-431.9</v>
      </c>
      <c r="K975" s="24">
        <f t="shared" si="248"/>
        <v>142508</v>
      </c>
      <c r="L975" s="24">
        <f>L976+L1117+L1165+L992+L1177</f>
        <v>21610.1</v>
      </c>
      <c r="M975" s="24">
        <f t="shared" si="249"/>
        <v>164118.1</v>
      </c>
      <c r="N975" s="24">
        <f>N976+N1117+N1165+N992+N1177</f>
        <v>25993.199999999997</v>
      </c>
      <c r="O975" s="24">
        <f t="shared" si="250"/>
        <v>190111.3</v>
      </c>
      <c r="P975" s="24">
        <f>P976+P1117+P1165+P992+P1177</f>
        <v>25809</v>
      </c>
      <c r="Q975" s="24">
        <f t="shared" si="275"/>
        <v>215920.3</v>
      </c>
      <c r="R975" s="24">
        <f>R976+R1117+R1165+R992+R1177</f>
        <v>1279.5999999999985</v>
      </c>
      <c r="S975" s="24">
        <f t="shared" si="237"/>
        <v>217199.9</v>
      </c>
      <c r="T975" s="24">
        <f>T976+T1117+T1165+T992+T1177+T1172</f>
        <v>3785.4</v>
      </c>
      <c r="U975" s="24">
        <f t="shared" si="238"/>
        <v>220985.3</v>
      </c>
      <c r="V975" s="24">
        <f>V976+V1117+V1165+V992+V1177+V1172</f>
        <v>5778.9</v>
      </c>
      <c r="W975" s="24">
        <f t="shared" si="251"/>
        <v>226764.19999999998</v>
      </c>
      <c r="X975" s="24">
        <f>X976+X1117+X1165+X992+X1177+X1172</f>
        <v>6.5</v>
      </c>
      <c r="Y975" s="24">
        <f t="shared" si="271"/>
        <v>226770.69999999998</v>
      </c>
      <c r="Z975" s="189"/>
    </row>
    <row r="976" spans="1:27" s="6" customFormat="1" ht="24.75" x14ac:dyDescent="0.25">
      <c r="A976" s="22" t="s">
        <v>173</v>
      </c>
      <c r="B976" s="23" t="s">
        <v>264</v>
      </c>
      <c r="C976" s="23" t="s">
        <v>174</v>
      </c>
      <c r="D976" s="23" t="s">
        <v>2</v>
      </c>
      <c r="E976" s="24">
        <f>E977+E981</f>
        <v>5665</v>
      </c>
      <c r="F976" s="24">
        <f>F977+F981</f>
        <v>-1000</v>
      </c>
      <c r="G976" s="24">
        <f t="shared" si="246"/>
        <v>4665</v>
      </c>
      <c r="H976" s="24">
        <f>H977+H981</f>
        <v>0</v>
      </c>
      <c r="I976" s="24">
        <f t="shared" si="247"/>
        <v>4665</v>
      </c>
      <c r="J976" s="24">
        <f>J977+J981</f>
        <v>0</v>
      </c>
      <c r="K976" s="24">
        <f t="shared" si="248"/>
        <v>4665</v>
      </c>
      <c r="L976" s="24">
        <f>L977+L981</f>
        <v>809.2</v>
      </c>
      <c r="M976" s="24">
        <f t="shared" si="249"/>
        <v>5474.2</v>
      </c>
      <c r="N976" s="24">
        <f>N977+N981</f>
        <v>0</v>
      </c>
      <c r="O976" s="24">
        <f t="shared" si="250"/>
        <v>5474.2</v>
      </c>
      <c r="P976" s="24">
        <f>P977+P981</f>
        <v>0</v>
      </c>
      <c r="Q976" s="24">
        <f t="shared" si="275"/>
        <v>5474.2</v>
      </c>
      <c r="R976" s="24">
        <f>R977+R981</f>
        <v>0</v>
      </c>
      <c r="S976" s="24">
        <f t="shared" si="237"/>
        <v>5474.2</v>
      </c>
      <c r="T976" s="24">
        <f>T977+T981</f>
        <v>-905.1</v>
      </c>
      <c r="U976" s="24">
        <f t="shared" si="238"/>
        <v>4569.0999999999995</v>
      </c>
      <c r="V976" s="24">
        <f>V977+V981</f>
        <v>0</v>
      </c>
      <c r="W976" s="24">
        <f t="shared" si="251"/>
        <v>4569.0999999999995</v>
      </c>
      <c r="X976" s="24">
        <f>X977+X981</f>
        <v>0</v>
      </c>
      <c r="Y976" s="24">
        <f t="shared" si="271"/>
        <v>4569.0999999999995</v>
      </c>
      <c r="Z976" s="189"/>
    </row>
    <row r="977" spans="1:27" ht="24.75" x14ac:dyDescent="0.25">
      <c r="A977" s="22" t="s">
        <v>175</v>
      </c>
      <c r="B977" s="23" t="s">
        <v>264</v>
      </c>
      <c r="C977" s="23" t="s">
        <v>176</v>
      </c>
      <c r="D977" s="23" t="s">
        <v>2</v>
      </c>
      <c r="E977" s="24">
        <f t="shared" ref="E977:X979" si="276">E978</f>
        <v>2765</v>
      </c>
      <c r="F977" s="24">
        <f t="shared" si="276"/>
        <v>0</v>
      </c>
      <c r="G977" s="24">
        <f t="shared" si="246"/>
        <v>2765</v>
      </c>
      <c r="H977" s="24">
        <f t="shared" si="276"/>
        <v>0</v>
      </c>
      <c r="I977" s="24">
        <f t="shared" si="247"/>
        <v>2765</v>
      </c>
      <c r="J977" s="24">
        <f t="shared" si="276"/>
        <v>0</v>
      </c>
      <c r="K977" s="24">
        <f t="shared" si="248"/>
        <v>2765</v>
      </c>
      <c r="L977" s="24">
        <f t="shared" si="276"/>
        <v>0</v>
      </c>
      <c r="M977" s="24">
        <f t="shared" si="249"/>
        <v>2765</v>
      </c>
      <c r="N977" s="24">
        <f t="shared" si="276"/>
        <v>0</v>
      </c>
      <c r="O977" s="24">
        <f t="shared" si="250"/>
        <v>2765</v>
      </c>
      <c r="P977" s="24">
        <f t="shared" si="276"/>
        <v>0</v>
      </c>
      <c r="Q977" s="24">
        <f t="shared" si="275"/>
        <v>2765</v>
      </c>
      <c r="R977" s="24">
        <f t="shared" si="276"/>
        <v>0</v>
      </c>
      <c r="S977" s="24">
        <f t="shared" si="237"/>
        <v>2765</v>
      </c>
      <c r="T977" s="24">
        <f t="shared" si="276"/>
        <v>-500</v>
      </c>
      <c r="U977" s="24">
        <f t="shared" si="238"/>
        <v>2265</v>
      </c>
      <c r="V977" s="24">
        <f t="shared" si="276"/>
        <v>0</v>
      </c>
      <c r="W977" s="24">
        <f t="shared" si="251"/>
        <v>2265</v>
      </c>
      <c r="X977" s="24">
        <f t="shared" si="276"/>
        <v>0</v>
      </c>
      <c r="Y977" s="24">
        <f t="shared" si="271"/>
        <v>2265</v>
      </c>
    </row>
    <row r="978" spans="1:27" ht="24.75" x14ac:dyDescent="0.25">
      <c r="A978" s="22" t="s">
        <v>177</v>
      </c>
      <c r="B978" s="23" t="s">
        <v>264</v>
      </c>
      <c r="C978" s="23" t="s">
        <v>178</v>
      </c>
      <c r="D978" s="23" t="s">
        <v>2</v>
      </c>
      <c r="E978" s="24">
        <f t="shared" si="276"/>
        <v>2765</v>
      </c>
      <c r="F978" s="24">
        <f t="shared" si="276"/>
        <v>0</v>
      </c>
      <c r="G978" s="24">
        <f t="shared" si="246"/>
        <v>2765</v>
      </c>
      <c r="H978" s="24">
        <f t="shared" si="276"/>
        <v>0</v>
      </c>
      <c r="I978" s="24">
        <f t="shared" si="247"/>
        <v>2765</v>
      </c>
      <c r="J978" s="24">
        <f t="shared" si="276"/>
        <v>0</v>
      </c>
      <c r="K978" s="24">
        <f t="shared" si="248"/>
        <v>2765</v>
      </c>
      <c r="L978" s="24">
        <f t="shared" si="276"/>
        <v>0</v>
      </c>
      <c r="M978" s="24">
        <f t="shared" si="249"/>
        <v>2765</v>
      </c>
      <c r="N978" s="24">
        <f t="shared" si="276"/>
        <v>0</v>
      </c>
      <c r="O978" s="24">
        <f t="shared" si="250"/>
        <v>2765</v>
      </c>
      <c r="P978" s="24">
        <f t="shared" si="276"/>
        <v>0</v>
      </c>
      <c r="Q978" s="24">
        <f t="shared" si="275"/>
        <v>2765</v>
      </c>
      <c r="R978" s="24">
        <f t="shared" si="276"/>
        <v>0</v>
      </c>
      <c r="S978" s="24">
        <f t="shared" si="237"/>
        <v>2765</v>
      </c>
      <c r="T978" s="24">
        <f t="shared" si="276"/>
        <v>-500</v>
      </c>
      <c r="U978" s="24">
        <f t="shared" si="238"/>
        <v>2265</v>
      </c>
      <c r="V978" s="24">
        <f t="shared" si="276"/>
        <v>0</v>
      </c>
      <c r="W978" s="24">
        <f t="shared" si="251"/>
        <v>2265</v>
      </c>
      <c r="X978" s="24">
        <f t="shared" si="276"/>
        <v>0</v>
      </c>
      <c r="Y978" s="24">
        <f t="shared" si="271"/>
        <v>2265</v>
      </c>
    </row>
    <row r="979" spans="1:27" ht="24.75" x14ac:dyDescent="0.25">
      <c r="A979" s="22" t="s">
        <v>265</v>
      </c>
      <c r="B979" s="23" t="s">
        <v>264</v>
      </c>
      <c r="C979" s="23" t="s">
        <v>266</v>
      </c>
      <c r="D979" s="23" t="s">
        <v>2</v>
      </c>
      <c r="E979" s="24">
        <f t="shared" si="276"/>
        <v>2765</v>
      </c>
      <c r="F979" s="24">
        <f t="shared" si="276"/>
        <v>0</v>
      </c>
      <c r="G979" s="24">
        <f t="shared" si="246"/>
        <v>2765</v>
      </c>
      <c r="H979" s="24">
        <f t="shared" si="276"/>
        <v>0</v>
      </c>
      <c r="I979" s="24">
        <f t="shared" si="247"/>
        <v>2765</v>
      </c>
      <c r="J979" s="24">
        <f t="shared" si="276"/>
        <v>0</v>
      </c>
      <c r="K979" s="24">
        <f t="shared" si="248"/>
        <v>2765</v>
      </c>
      <c r="L979" s="24">
        <f t="shared" si="276"/>
        <v>0</v>
      </c>
      <c r="M979" s="24">
        <f t="shared" si="249"/>
        <v>2765</v>
      </c>
      <c r="N979" s="24">
        <f t="shared" si="276"/>
        <v>0</v>
      </c>
      <c r="O979" s="24">
        <f t="shared" si="250"/>
        <v>2765</v>
      </c>
      <c r="P979" s="24">
        <f t="shared" si="276"/>
        <v>0</v>
      </c>
      <c r="Q979" s="24">
        <f t="shared" si="275"/>
        <v>2765</v>
      </c>
      <c r="R979" s="24">
        <f t="shared" si="276"/>
        <v>0</v>
      </c>
      <c r="S979" s="24">
        <f t="shared" si="237"/>
        <v>2765</v>
      </c>
      <c r="T979" s="24">
        <f t="shared" si="276"/>
        <v>-500</v>
      </c>
      <c r="U979" s="24">
        <f t="shared" si="238"/>
        <v>2265</v>
      </c>
      <c r="V979" s="24">
        <f t="shared" si="276"/>
        <v>0</v>
      </c>
      <c r="W979" s="24">
        <f t="shared" si="251"/>
        <v>2265</v>
      </c>
      <c r="X979" s="24">
        <f t="shared" si="276"/>
        <v>0</v>
      </c>
      <c r="Y979" s="24">
        <f t="shared" si="271"/>
        <v>2265</v>
      </c>
    </row>
    <row r="980" spans="1:27" x14ac:dyDescent="0.25">
      <c r="A980" s="25" t="s">
        <v>66</v>
      </c>
      <c r="B980" s="26" t="s">
        <v>264</v>
      </c>
      <c r="C980" s="26" t="s">
        <v>266</v>
      </c>
      <c r="D980" s="26" t="s">
        <v>42</v>
      </c>
      <c r="E980" s="27">
        <v>2765</v>
      </c>
      <c r="F980" s="27"/>
      <c r="G980" s="24">
        <f t="shared" si="246"/>
        <v>2765</v>
      </c>
      <c r="H980" s="27"/>
      <c r="I980" s="24">
        <f t="shared" si="247"/>
        <v>2765</v>
      </c>
      <c r="J980" s="27"/>
      <c r="K980" s="24">
        <f t="shared" si="248"/>
        <v>2765</v>
      </c>
      <c r="L980" s="27"/>
      <c r="M980" s="24">
        <f t="shared" si="249"/>
        <v>2765</v>
      </c>
      <c r="N980" s="27"/>
      <c r="O980" s="24">
        <f t="shared" si="250"/>
        <v>2765</v>
      </c>
      <c r="P980" s="27"/>
      <c r="Q980" s="24">
        <f t="shared" si="275"/>
        <v>2765</v>
      </c>
      <c r="R980" s="27"/>
      <c r="S980" s="24">
        <f t="shared" si="237"/>
        <v>2765</v>
      </c>
      <c r="T980" s="39">
        <v>-500</v>
      </c>
      <c r="U980" s="24">
        <f t="shared" si="238"/>
        <v>2265</v>
      </c>
      <c r="V980" s="69"/>
      <c r="W980" s="24">
        <f t="shared" si="251"/>
        <v>2265</v>
      </c>
      <c r="X980" s="69"/>
      <c r="Y980" s="24">
        <f t="shared" si="271"/>
        <v>2265</v>
      </c>
      <c r="AA980" s="189">
        <f>Y980+Z980</f>
        <v>2265</v>
      </c>
    </row>
    <row r="981" spans="1:27" s="6" customFormat="1" ht="24.75" x14ac:dyDescent="0.25">
      <c r="A981" s="22" t="s">
        <v>267</v>
      </c>
      <c r="B981" s="23" t="s">
        <v>264</v>
      </c>
      <c r="C981" s="23" t="s">
        <v>268</v>
      </c>
      <c r="D981" s="23" t="s">
        <v>2</v>
      </c>
      <c r="E981" s="24">
        <f>E982</f>
        <v>2900</v>
      </c>
      <c r="F981" s="24">
        <f>F982</f>
        <v>-1000</v>
      </c>
      <c r="G981" s="24">
        <f t="shared" si="246"/>
        <v>1900</v>
      </c>
      <c r="H981" s="24">
        <f>H982</f>
        <v>0</v>
      </c>
      <c r="I981" s="24">
        <f t="shared" si="247"/>
        <v>1900</v>
      </c>
      <c r="J981" s="24">
        <f>J982</f>
        <v>0</v>
      </c>
      <c r="K981" s="24">
        <f t="shared" si="248"/>
        <v>1900</v>
      </c>
      <c r="L981" s="24">
        <f>L982+L987+L989</f>
        <v>809.2</v>
      </c>
      <c r="M981" s="24">
        <f t="shared" si="249"/>
        <v>2709.2</v>
      </c>
      <c r="N981" s="24">
        <f>N982+N987+N989</f>
        <v>0</v>
      </c>
      <c r="O981" s="24">
        <f t="shared" si="250"/>
        <v>2709.2</v>
      </c>
      <c r="P981" s="24">
        <f>P982+P987+P989</f>
        <v>0</v>
      </c>
      <c r="Q981" s="24">
        <f t="shared" si="275"/>
        <v>2709.2</v>
      </c>
      <c r="R981" s="24">
        <f>R982+R987+R989</f>
        <v>0</v>
      </c>
      <c r="S981" s="24">
        <f t="shared" si="237"/>
        <v>2709.2</v>
      </c>
      <c r="T981" s="24">
        <f>T982+T987+T989</f>
        <v>-405.1</v>
      </c>
      <c r="U981" s="24">
        <f t="shared" si="238"/>
        <v>2304.1</v>
      </c>
      <c r="V981" s="24">
        <f>V982+V987+V989</f>
        <v>0</v>
      </c>
      <c r="W981" s="24">
        <f t="shared" si="251"/>
        <v>2304.1</v>
      </c>
      <c r="X981" s="24">
        <f>X982+X987+X989</f>
        <v>0</v>
      </c>
      <c r="Y981" s="24">
        <f t="shared" si="271"/>
        <v>2304.1</v>
      </c>
      <c r="Z981" s="189"/>
    </row>
    <row r="982" spans="1:27" ht="48.75" hidden="1" x14ac:dyDescent="0.25">
      <c r="A982" s="22" t="s">
        <v>639</v>
      </c>
      <c r="B982" s="23" t="s">
        <v>264</v>
      </c>
      <c r="C982" s="23" t="s">
        <v>269</v>
      </c>
      <c r="D982" s="23" t="s">
        <v>2</v>
      </c>
      <c r="E982" s="24">
        <f>E983+E985</f>
        <v>2900</v>
      </c>
      <c r="F982" s="24">
        <f>F983+F985</f>
        <v>-1000</v>
      </c>
      <c r="G982" s="24">
        <f t="shared" si="246"/>
        <v>1900</v>
      </c>
      <c r="H982" s="24">
        <f>H983+H985</f>
        <v>0</v>
      </c>
      <c r="I982" s="24">
        <f t="shared" si="247"/>
        <v>1900</v>
      </c>
      <c r="J982" s="24">
        <f>J983+J985</f>
        <v>0</v>
      </c>
      <c r="K982" s="24">
        <f t="shared" si="248"/>
        <v>1900</v>
      </c>
      <c r="L982" s="24">
        <f>L983+L985</f>
        <v>-1494.9</v>
      </c>
      <c r="M982" s="24">
        <f t="shared" si="249"/>
        <v>405.09999999999991</v>
      </c>
      <c r="N982" s="24">
        <f>N983+N985</f>
        <v>0</v>
      </c>
      <c r="O982" s="24">
        <f t="shared" si="250"/>
        <v>405.09999999999991</v>
      </c>
      <c r="P982" s="24">
        <f>P983+P985</f>
        <v>0</v>
      </c>
      <c r="Q982" s="24">
        <f t="shared" si="275"/>
        <v>405.09999999999991</v>
      </c>
      <c r="R982" s="24">
        <f>R983+R985</f>
        <v>0</v>
      </c>
      <c r="S982" s="24">
        <f t="shared" si="237"/>
        <v>405.09999999999991</v>
      </c>
      <c r="T982" s="24">
        <f>T983+T985</f>
        <v>-405.1</v>
      </c>
      <c r="U982" s="24">
        <f t="shared" si="238"/>
        <v>0</v>
      </c>
      <c r="V982" s="24">
        <f>V983+V985</f>
        <v>0</v>
      </c>
      <c r="W982" s="24">
        <f t="shared" si="251"/>
        <v>0</v>
      </c>
      <c r="X982" s="24">
        <f>X983+X985</f>
        <v>0</v>
      </c>
      <c r="Y982" s="24">
        <f t="shared" si="271"/>
        <v>0</v>
      </c>
    </row>
    <row r="983" spans="1:27" ht="24.75" hidden="1" x14ac:dyDescent="0.25">
      <c r="A983" s="22" t="s">
        <v>270</v>
      </c>
      <c r="B983" s="23" t="s">
        <v>264</v>
      </c>
      <c r="C983" s="23" t="s">
        <v>271</v>
      </c>
      <c r="D983" s="23" t="s">
        <v>2</v>
      </c>
      <c r="E983" s="24">
        <f>E984</f>
        <v>2000</v>
      </c>
      <c r="F983" s="24">
        <f>F984</f>
        <v>-1000</v>
      </c>
      <c r="G983" s="24">
        <f t="shared" si="246"/>
        <v>1000</v>
      </c>
      <c r="H983" s="24">
        <f>H984</f>
        <v>0</v>
      </c>
      <c r="I983" s="24">
        <f t="shared" si="247"/>
        <v>1000</v>
      </c>
      <c r="J983" s="24">
        <f>J984</f>
        <v>0</v>
      </c>
      <c r="K983" s="24">
        <f t="shared" si="248"/>
        <v>1000</v>
      </c>
      <c r="L983" s="24">
        <f>L984</f>
        <v>-594.9</v>
      </c>
      <c r="M983" s="24">
        <f t="shared" si="249"/>
        <v>405.1</v>
      </c>
      <c r="N983" s="24">
        <f>N984</f>
        <v>0</v>
      </c>
      <c r="O983" s="24">
        <f t="shared" si="250"/>
        <v>405.1</v>
      </c>
      <c r="P983" s="24">
        <f>P984</f>
        <v>0</v>
      </c>
      <c r="Q983" s="24">
        <f t="shared" si="275"/>
        <v>405.1</v>
      </c>
      <c r="R983" s="24">
        <f>R984</f>
        <v>0</v>
      </c>
      <c r="S983" s="24">
        <f t="shared" si="237"/>
        <v>405.1</v>
      </c>
      <c r="T983" s="24">
        <f>T984</f>
        <v>-405.1</v>
      </c>
      <c r="U983" s="24">
        <f t="shared" si="238"/>
        <v>0</v>
      </c>
      <c r="V983" s="24">
        <f>V984</f>
        <v>0</v>
      </c>
      <c r="W983" s="24">
        <f t="shared" si="251"/>
        <v>0</v>
      </c>
      <c r="X983" s="24">
        <f>X984</f>
        <v>0</v>
      </c>
      <c r="Y983" s="24">
        <f t="shared" si="271"/>
        <v>0</v>
      </c>
    </row>
    <row r="984" spans="1:27" hidden="1" x14ac:dyDescent="0.25">
      <c r="A984" s="25" t="s">
        <v>66</v>
      </c>
      <c r="B984" s="26" t="s">
        <v>264</v>
      </c>
      <c r="C984" s="26" t="s">
        <v>271</v>
      </c>
      <c r="D984" s="26" t="s">
        <v>42</v>
      </c>
      <c r="E984" s="27">
        <v>2000</v>
      </c>
      <c r="F984" s="63">
        <v>-1000</v>
      </c>
      <c r="G984" s="24">
        <f t="shared" si="246"/>
        <v>1000</v>
      </c>
      <c r="H984" s="69"/>
      <c r="I984" s="24">
        <f t="shared" si="247"/>
        <v>1000</v>
      </c>
      <c r="J984" s="69"/>
      <c r="K984" s="24">
        <f t="shared" si="248"/>
        <v>1000</v>
      </c>
      <c r="L984" s="39">
        <f>-594.9</f>
        <v>-594.9</v>
      </c>
      <c r="M984" s="24">
        <f t="shared" si="249"/>
        <v>405.1</v>
      </c>
      <c r="N984" s="69"/>
      <c r="O984" s="24">
        <f t="shared" si="250"/>
        <v>405.1</v>
      </c>
      <c r="P984" s="69"/>
      <c r="Q984" s="24">
        <f t="shared" si="275"/>
        <v>405.1</v>
      </c>
      <c r="R984" s="69"/>
      <c r="S984" s="24">
        <f t="shared" si="237"/>
        <v>405.1</v>
      </c>
      <c r="T984" s="39">
        <v>-405.1</v>
      </c>
      <c r="U984" s="24">
        <f t="shared" si="238"/>
        <v>0</v>
      </c>
      <c r="V984" s="69"/>
      <c r="W984" s="24">
        <f t="shared" si="251"/>
        <v>0</v>
      </c>
      <c r="X984" s="69"/>
      <c r="Y984" s="24">
        <f t="shared" si="271"/>
        <v>0</v>
      </c>
      <c r="AA984" s="189">
        <f>Y984+Z984</f>
        <v>0</v>
      </c>
    </row>
    <row r="985" spans="1:27" s="6" customFormat="1" hidden="1" x14ac:dyDescent="0.25">
      <c r="A985" s="22" t="s">
        <v>277</v>
      </c>
      <c r="B985" s="23" t="s">
        <v>264</v>
      </c>
      <c r="C985" s="23" t="s">
        <v>620</v>
      </c>
      <c r="D985" s="23" t="s">
        <v>2</v>
      </c>
      <c r="E985" s="24">
        <f>E986</f>
        <v>900</v>
      </c>
      <c r="F985" s="24">
        <f>F986</f>
        <v>0</v>
      </c>
      <c r="G985" s="24">
        <f t="shared" si="246"/>
        <v>900</v>
      </c>
      <c r="H985" s="24">
        <f>H986</f>
        <v>0</v>
      </c>
      <c r="I985" s="24">
        <f t="shared" si="247"/>
        <v>900</v>
      </c>
      <c r="J985" s="24">
        <f>J986</f>
        <v>0</v>
      </c>
      <c r="K985" s="24">
        <f t="shared" si="248"/>
        <v>900</v>
      </c>
      <c r="L985" s="24">
        <f>L986</f>
        <v>-900</v>
      </c>
      <c r="M985" s="24">
        <f t="shared" si="249"/>
        <v>0</v>
      </c>
      <c r="N985" s="24">
        <f>N986</f>
        <v>0</v>
      </c>
      <c r="O985" s="24">
        <f t="shared" si="250"/>
        <v>0</v>
      </c>
      <c r="P985" s="24">
        <f>P986</f>
        <v>0</v>
      </c>
      <c r="Q985" s="24">
        <f t="shared" si="275"/>
        <v>0</v>
      </c>
      <c r="R985" s="24">
        <f>R986</f>
        <v>0</v>
      </c>
      <c r="S985" s="24">
        <f t="shared" si="237"/>
        <v>0</v>
      </c>
      <c r="T985" s="24">
        <f>T986</f>
        <v>0</v>
      </c>
      <c r="U985" s="24">
        <f t="shared" si="238"/>
        <v>0</v>
      </c>
      <c r="V985" s="24">
        <f>V986</f>
        <v>0</v>
      </c>
      <c r="W985" s="24">
        <f t="shared" si="251"/>
        <v>0</v>
      </c>
      <c r="X985" s="24">
        <f>X986</f>
        <v>0</v>
      </c>
      <c r="Y985" s="24">
        <f t="shared" si="271"/>
        <v>0</v>
      </c>
      <c r="Z985" s="189"/>
    </row>
    <row r="986" spans="1:27" hidden="1" x14ac:dyDescent="0.25">
      <c r="A986" s="25" t="s">
        <v>66</v>
      </c>
      <c r="B986" s="26" t="s">
        <v>264</v>
      </c>
      <c r="C986" s="26" t="s">
        <v>620</v>
      </c>
      <c r="D986" s="26" t="s">
        <v>42</v>
      </c>
      <c r="E986" s="27">
        <v>900</v>
      </c>
      <c r="F986" s="27"/>
      <c r="G986" s="24">
        <f t="shared" si="246"/>
        <v>900</v>
      </c>
      <c r="H986" s="27"/>
      <c r="I986" s="24">
        <f t="shared" si="247"/>
        <v>900</v>
      </c>
      <c r="J986" s="27"/>
      <c r="K986" s="24">
        <f t="shared" si="248"/>
        <v>900</v>
      </c>
      <c r="L986" s="39">
        <v>-900</v>
      </c>
      <c r="M986" s="24">
        <f t="shared" si="249"/>
        <v>0</v>
      </c>
      <c r="N986" s="69"/>
      <c r="O986" s="24">
        <f t="shared" si="250"/>
        <v>0</v>
      </c>
      <c r="P986" s="69"/>
      <c r="Q986" s="24">
        <f t="shared" si="275"/>
        <v>0</v>
      </c>
      <c r="R986" s="69"/>
      <c r="S986" s="24">
        <f t="shared" si="237"/>
        <v>0</v>
      </c>
      <c r="T986" s="69"/>
      <c r="U986" s="24">
        <f t="shared" si="238"/>
        <v>0</v>
      </c>
      <c r="V986" s="69"/>
      <c r="W986" s="24">
        <f t="shared" si="251"/>
        <v>0</v>
      </c>
      <c r="X986" s="69"/>
      <c r="Y986" s="24">
        <f t="shared" si="271"/>
        <v>0</v>
      </c>
      <c r="AA986" s="189">
        <f>Y986+Z986</f>
        <v>0</v>
      </c>
    </row>
    <row r="987" spans="1:27" ht="24.75" x14ac:dyDescent="0.25">
      <c r="A987" s="40" t="s">
        <v>806</v>
      </c>
      <c r="B987" s="55" t="s">
        <v>264</v>
      </c>
      <c r="C987" s="55" t="s">
        <v>807</v>
      </c>
      <c r="D987" s="56"/>
      <c r="E987" s="27"/>
      <c r="F987" s="27"/>
      <c r="G987" s="24"/>
      <c r="H987" s="27"/>
      <c r="I987" s="24"/>
      <c r="J987" s="27"/>
      <c r="K987" s="24"/>
      <c r="L987" s="18">
        <f>L988</f>
        <v>109.2</v>
      </c>
      <c r="M987" s="24">
        <f t="shared" si="249"/>
        <v>109.2</v>
      </c>
      <c r="N987" s="18">
        <f>N988</f>
        <v>0</v>
      </c>
      <c r="O987" s="24">
        <f t="shared" si="250"/>
        <v>109.2</v>
      </c>
      <c r="P987" s="18">
        <f>P988</f>
        <v>0</v>
      </c>
      <c r="Q987" s="24">
        <f t="shared" si="275"/>
        <v>109.2</v>
      </c>
      <c r="R987" s="18">
        <f>R988</f>
        <v>0</v>
      </c>
      <c r="S987" s="24">
        <f t="shared" si="237"/>
        <v>109.2</v>
      </c>
      <c r="T987" s="18">
        <f>T988</f>
        <v>0</v>
      </c>
      <c r="U987" s="24">
        <f t="shared" si="238"/>
        <v>109.2</v>
      </c>
      <c r="V987" s="18">
        <f>V988</f>
        <v>0</v>
      </c>
      <c r="W987" s="24">
        <f t="shared" si="251"/>
        <v>109.2</v>
      </c>
      <c r="X987" s="18">
        <f>X988</f>
        <v>0</v>
      </c>
      <c r="Y987" s="24">
        <f t="shared" si="271"/>
        <v>109.2</v>
      </c>
    </row>
    <row r="988" spans="1:27" s="6" customFormat="1" x14ac:dyDescent="0.25">
      <c r="A988" s="30" t="s">
        <v>66</v>
      </c>
      <c r="B988" s="56" t="s">
        <v>264</v>
      </c>
      <c r="C988" s="56" t="s">
        <v>807</v>
      </c>
      <c r="D988" s="56" t="s">
        <v>42</v>
      </c>
      <c r="E988" s="27"/>
      <c r="F988" s="27"/>
      <c r="G988" s="24"/>
      <c r="H988" s="27"/>
      <c r="I988" s="24"/>
      <c r="J988" s="27"/>
      <c r="K988" s="24"/>
      <c r="L988" s="39">
        <v>109.2</v>
      </c>
      <c r="M988" s="24">
        <f t="shared" si="249"/>
        <v>109.2</v>
      </c>
      <c r="N988" s="69"/>
      <c r="O988" s="24">
        <f t="shared" si="250"/>
        <v>109.2</v>
      </c>
      <c r="P988" s="69"/>
      <c r="Q988" s="24">
        <f t="shared" si="275"/>
        <v>109.2</v>
      </c>
      <c r="R988" s="69"/>
      <c r="S988" s="24">
        <f t="shared" si="237"/>
        <v>109.2</v>
      </c>
      <c r="T988" s="69"/>
      <c r="U988" s="24">
        <f t="shared" si="238"/>
        <v>109.2</v>
      </c>
      <c r="V988" s="69"/>
      <c r="W988" s="24">
        <f t="shared" si="251"/>
        <v>109.2</v>
      </c>
      <c r="X988" s="69"/>
      <c r="Y988" s="24">
        <f t="shared" si="271"/>
        <v>109.2</v>
      </c>
      <c r="Z988" s="189"/>
      <c r="AA988" s="189">
        <f>Y988+Z988</f>
        <v>109.2</v>
      </c>
    </row>
    <row r="989" spans="1:27" ht="24.75" x14ac:dyDescent="0.25">
      <c r="A989" s="40" t="s">
        <v>806</v>
      </c>
      <c r="B989" s="55" t="s">
        <v>264</v>
      </c>
      <c r="C989" s="55" t="s">
        <v>808</v>
      </c>
      <c r="D989" s="56"/>
      <c r="E989" s="27"/>
      <c r="F989" s="27"/>
      <c r="G989" s="24"/>
      <c r="H989" s="27"/>
      <c r="I989" s="24"/>
      <c r="J989" s="27"/>
      <c r="K989" s="24"/>
      <c r="L989" s="18">
        <f>L990+L991</f>
        <v>2194.9</v>
      </c>
      <c r="M989" s="24">
        <f t="shared" si="249"/>
        <v>2194.9</v>
      </c>
      <c r="N989" s="18">
        <f>N990+N991</f>
        <v>0</v>
      </c>
      <c r="O989" s="24">
        <f t="shared" si="250"/>
        <v>2194.9</v>
      </c>
      <c r="P989" s="18">
        <f>P990+P991</f>
        <v>0</v>
      </c>
      <c r="Q989" s="24">
        <f t="shared" si="275"/>
        <v>2194.9</v>
      </c>
      <c r="R989" s="18">
        <f>R990+R991</f>
        <v>0</v>
      </c>
      <c r="S989" s="24">
        <f t="shared" si="237"/>
        <v>2194.9</v>
      </c>
      <c r="T989" s="18">
        <f>T990+T991</f>
        <v>0</v>
      </c>
      <c r="U989" s="24">
        <f t="shared" si="238"/>
        <v>2194.9</v>
      </c>
      <c r="V989" s="18">
        <f>V990+V991</f>
        <v>0</v>
      </c>
      <c r="W989" s="24">
        <f t="shared" si="251"/>
        <v>2194.9</v>
      </c>
      <c r="X989" s="18">
        <f>X990+X991</f>
        <v>0</v>
      </c>
      <c r="Y989" s="24">
        <f t="shared" si="271"/>
        <v>2194.9</v>
      </c>
    </row>
    <row r="990" spans="1:27" x14ac:dyDescent="0.25">
      <c r="A990" s="30" t="s">
        <v>66</v>
      </c>
      <c r="B990" s="56" t="s">
        <v>264</v>
      </c>
      <c r="C990" s="56" t="s">
        <v>808</v>
      </c>
      <c r="D990" s="56" t="s">
        <v>42</v>
      </c>
      <c r="E990" s="27"/>
      <c r="F990" s="27"/>
      <c r="G990" s="24"/>
      <c r="H990" s="27"/>
      <c r="I990" s="24"/>
      <c r="J990" s="27"/>
      <c r="K990" s="24"/>
      <c r="L990" s="43">
        <v>1600</v>
      </c>
      <c r="M990" s="24">
        <f t="shared" si="249"/>
        <v>1600</v>
      </c>
      <c r="N990" s="69"/>
      <c r="O990" s="24">
        <f t="shared" si="250"/>
        <v>1600</v>
      </c>
      <c r="P990" s="69"/>
      <c r="Q990" s="24">
        <f t="shared" si="275"/>
        <v>1600</v>
      </c>
      <c r="R990" s="69"/>
      <c r="S990" s="24">
        <f t="shared" si="237"/>
        <v>1600</v>
      </c>
      <c r="T990" s="69"/>
      <c r="U990" s="24">
        <f t="shared" si="238"/>
        <v>1600</v>
      </c>
      <c r="V990" s="69"/>
      <c r="W990" s="24">
        <f t="shared" si="251"/>
        <v>1600</v>
      </c>
      <c r="X990" s="69"/>
      <c r="Y990" s="24">
        <f t="shared" si="271"/>
        <v>1600</v>
      </c>
      <c r="AA990" s="189">
        <f t="shared" ref="AA990:AA991" si="277">Y990+Z990</f>
        <v>1600</v>
      </c>
    </row>
    <row r="991" spans="1:27" x14ac:dyDescent="0.25">
      <c r="A991" s="30" t="s">
        <v>66</v>
      </c>
      <c r="B991" s="56" t="s">
        <v>264</v>
      </c>
      <c r="C991" s="56" t="s">
        <v>808</v>
      </c>
      <c r="D991" s="56" t="s">
        <v>42</v>
      </c>
      <c r="E991" s="27"/>
      <c r="F991" s="27"/>
      <c r="G991" s="24"/>
      <c r="H991" s="27"/>
      <c r="I991" s="24"/>
      <c r="J991" s="27"/>
      <c r="K991" s="24"/>
      <c r="L991" s="39">
        <v>594.9</v>
      </c>
      <c r="M991" s="24">
        <f t="shared" si="249"/>
        <v>594.9</v>
      </c>
      <c r="N991" s="69"/>
      <c r="O991" s="24">
        <f t="shared" si="250"/>
        <v>594.9</v>
      </c>
      <c r="P991" s="69"/>
      <c r="Q991" s="24">
        <f t="shared" si="275"/>
        <v>594.9</v>
      </c>
      <c r="R991" s="69"/>
      <c r="S991" s="24">
        <f t="shared" si="237"/>
        <v>594.9</v>
      </c>
      <c r="T991" s="69"/>
      <c r="U991" s="24">
        <f t="shared" si="238"/>
        <v>594.9</v>
      </c>
      <c r="V991" s="69"/>
      <c r="W991" s="24">
        <f t="shared" si="251"/>
        <v>594.9</v>
      </c>
      <c r="X991" s="69"/>
      <c r="Y991" s="24">
        <f t="shared" si="271"/>
        <v>594.9</v>
      </c>
      <c r="AA991" s="189">
        <f t="shared" si="277"/>
        <v>594.9</v>
      </c>
    </row>
    <row r="992" spans="1:27" ht="24.75" x14ac:dyDescent="0.25">
      <c r="A992" s="45" t="s">
        <v>621</v>
      </c>
      <c r="B992" s="55" t="s">
        <v>264</v>
      </c>
      <c r="C992" s="54" t="s">
        <v>60</v>
      </c>
      <c r="D992" s="56"/>
      <c r="E992" s="27"/>
      <c r="F992" s="27"/>
      <c r="G992" s="24"/>
      <c r="H992" s="18">
        <f>H997</f>
        <v>2241.6999999999998</v>
      </c>
      <c r="I992" s="24">
        <f t="shared" si="247"/>
        <v>2241.6999999999998</v>
      </c>
      <c r="J992" s="18">
        <f>J997</f>
        <v>67.7</v>
      </c>
      <c r="K992" s="24">
        <f t="shared" si="248"/>
        <v>2309.3999999999996</v>
      </c>
      <c r="L992" s="18">
        <f>L997+L993</f>
        <v>2579.0000000000005</v>
      </c>
      <c r="M992" s="24">
        <f t="shared" si="249"/>
        <v>4888.3999999999996</v>
      </c>
      <c r="N992" s="18">
        <f>N997+N993</f>
        <v>10571.7</v>
      </c>
      <c r="O992" s="24">
        <f t="shared" si="250"/>
        <v>15460.1</v>
      </c>
      <c r="P992" s="18">
        <f>P997+P993</f>
        <v>12434.199999999999</v>
      </c>
      <c r="Q992" s="24">
        <f t="shared" si="275"/>
        <v>27894.3</v>
      </c>
      <c r="R992" s="18">
        <f>R997+R993+R995</f>
        <v>89.099999999998545</v>
      </c>
      <c r="S992" s="24">
        <f t="shared" si="237"/>
        <v>27983.399999999998</v>
      </c>
      <c r="T992" s="18">
        <f>T997+T993+T995</f>
        <v>253.00000000000003</v>
      </c>
      <c r="U992" s="24">
        <f t="shared" si="238"/>
        <v>28236.399999999998</v>
      </c>
      <c r="V992" s="18">
        <f>V997+V993+V995</f>
        <v>5727.2</v>
      </c>
      <c r="W992" s="24">
        <f t="shared" si="251"/>
        <v>33963.599999999999</v>
      </c>
      <c r="X992" s="18">
        <f>X997+X993+X995</f>
        <v>1200</v>
      </c>
      <c r="Y992" s="24">
        <f t="shared" si="271"/>
        <v>35163.599999999999</v>
      </c>
    </row>
    <row r="993" spans="1:27" x14ac:dyDescent="0.25">
      <c r="A993" s="22" t="s">
        <v>67</v>
      </c>
      <c r="B993" s="55" t="s">
        <v>264</v>
      </c>
      <c r="C993" s="23" t="s">
        <v>71</v>
      </c>
      <c r="D993" s="23" t="s">
        <v>2</v>
      </c>
      <c r="E993" s="27"/>
      <c r="F993" s="27"/>
      <c r="G993" s="24"/>
      <c r="H993" s="18"/>
      <c r="I993" s="24"/>
      <c r="J993" s="18"/>
      <c r="K993" s="24"/>
      <c r="L993" s="18">
        <f>L994</f>
        <v>43.5</v>
      </c>
      <c r="M993" s="24">
        <f t="shared" si="249"/>
        <v>43.5</v>
      </c>
      <c r="N993" s="18">
        <f>N994</f>
        <v>0</v>
      </c>
      <c r="O993" s="24">
        <f t="shared" si="250"/>
        <v>43.5</v>
      </c>
      <c r="P993" s="18">
        <f>P994</f>
        <v>0</v>
      </c>
      <c r="Q993" s="24">
        <f t="shared" si="275"/>
        <v>43.5</v>
      </c>
      <c r="R993" s="18">
        <f>R994</f>
        <v>0</v>
      </c>
      <c r="S993" s="24">
        <f t="shared" si="237"/>
        <v>43.5</v>
      </c>
      <c r="T993" s="18">
        <f>T994</f>
        <v>0</v>
      </c>
      <c r="U993" s="24">
        <f t="shared" si="238"/>
        <v>43.5</v>
      </c>
      <c r="V993" s="18">
        <f>V994</f>
        <v>0</v>
      </c>
      <c r="W993" s="24">
        <f t="shared" si="251"/>
        <v>43.5</v>
      </c>
      <c r="X993" s="18">
        <f>X994</f>
        <v>0</v>
      </c>
      <c r="Y993" s="24">
        <f t="shared" si="271"/>
        <v>43.5</v>
      </c>
    </row>
    <row r="994" spans="1:27" s="6" customFormat="1" x14ac:dyDescent="0.25">
      <c r="A994" s="30" t="s">
        <v>66</v>
      </c>
      <c r="B994" s="56" t="s">
        <v>264</v>
      </c>
      <c r="C994" s="26" t="s">
        <v>71</v>
      </c>
      <c r="D994" s="26" t="s">
        <v>42</v>
      </c>
      <c r="E994" s="27"/>
      <c r="F994" s="27"/>
      <c r="G994" s="24"/>
      <c r="H994" s="18"/>
      <c r="I994" s="24"/>
      <c r="J994" s="18"/>
      <c r="K994" s="24"/>
      <c r="L994" s="91">
        <v>43.5</v>
      </c>
      <c r="M994" s="24">
        <f t="shared" si="249"/>
        <v>43.5</v>
      </c>
      <c r="N994" s="84"/>
      <c r="O994" s="24">
        <f t="shared" si="250"/>
        <v>43.5</v>
      </c>
      <c r="P994" s="84"/>
      <c r="Q994" s="24">
        <f t="shared" si="275"/>
        <v>43.5</v>
      </c>
      <c r="R994" s="84"/>
      <c r="S994" s="24">
        <f t="shared" si="237"/>
        <v>43.5</v>
      </c>
      <c r="T994" s="84"/>
      <c r="U994" s="24">
        <f t="shared" si="238"/>
        <v>43.5</v>
      </c>
      <c r="V994" s="84"/>
      <c r="W994" s="24">
        <f t="shared" si="251"/>
        <v>43.5</v>
      </c>
      <c r="X994" s="84"/>
      <c r="Y994" s="24">
        <f t="shared" si="271"/>
        <v>43.5</v>
      </c>
      <c r="Z994" s="189"/>
      <c r="AA994" s="189">
        <f>Y994+Z994</f>
        <v>43.5</v>
      </c>
    </row>
    <row r="995" spans="1:27" s="6" customFormat="1" ht="36.75" x14ac:dyDescent="0.25">
      <c r="A995" s="40" t="s">
        <v>857</v>
      </c>
      <c r="B995" s="55" t="s">
        <v>264</v>
      </c>
      <c r="C995" s="23" t="s">
        <v>858</v>
      </c>
      <c r="D995" s="26"/>
      <c r="E995" s="27"/>
      <c r="F995" s="27"/>
      <c r="G995" s="24"/>
      <c r="H995" s="18"/>
      <c r="I995" s="24"/>
      <c r="J995" s="18"/>
      <c r="K995" s="24"/>
      <c r="L995" s="91"/>
      <c r="M995" s="24"/>
      <c r="N995" s="84"/>
      <c r="O995" s="24"/>
      <c r="P995" s="84"/>
      <c r="Q995" s="24"/>
      <c r="R995" s="85">
        <f>R996</f>
        <v>8462.5</v>
      </c>
      <c r="S995" s="24">
        <f t="shared" ref="S995:S996" si="278">Q995+R995</f>
        <v>8462.5</v>
      </c>
      <c r="T995" s="85">
        <f>T996</f>
        <v>0</v>
      </c>
      <c r="U995" s="24">
        <f t="shared" si="238"/>
        <v>8462.5</v>
      </c>
      <c r="V995" s="85">
        <f>V996</f>
        <v>0</v>
      </c>
      <c r="W995" s="24">
        <f t="shared" si="251"/>
        <v>8462.5</v>
      </c>
      <c r="X995" s="85">
        <f>X996</f>
        <v>3550.6</v>
      </c>
      <c r="Y995" s="24">
        <f t="shared" si="271"/>
        <v>12013.1</v>
      </c>
      <c r="Z995" s="189"/>
    </row>
    <row r="996" spans="1:27" s="6" customFormat="1" x14ac:dyDescent="0.25">
      <c r="A996" s="30" t="s">
        <v>66</v>
      </c>
      <c r="B996" s="56" t="s">
        <v>264</v>
      </c>
      <c r="C996" s="26" t="s">
        <v>858</v>
      </c>
      <c r="D996" s="26" t="s">
        <v>42</v>
      </c>
      <c r="E996" s="27"/>
      <c r="F996" s="27"/>
      <c r="G996" s="24"/>
      <c r="H996" s="18"/>
      <c r="I996" s="24"/>
      <c r="J996" s="18"/>
      <c r="K996" s="24"/>
      <c r="L996" s="91"/>
      <c r="M996" s="24"/>
      <c r="N996" s="84"/>
      <c r="O996" s="24"/>
      <c r="P996" s="84"/>
      <c r="Q996" s="24"/>
      <c r="R996" s="51">
        <v>8462.5</v>
      </c>
      <c r="S996" s="24">
        <f t="shared" si="278"/>
        <v>8462.5</v>
      </c>
      <c r="T996" s="84"/>
      <c r="U996" s="24">
        <f t="shared" si="238"/>
        <v>8462.5</v>
      </c>
      <c r="V996" s="84"/>
      <c r="W996" s="24">
        <f t="shared" si="251"/>
        <v>8462.5</v>
      </c>
      <c r="X996" s="51">
        <v>3550.6</v>
      </c>
      <c r="Y996" s="24">
        <f t="shared" si="271"/>
        <v>12013.1</v>
      </c>
      <c r="Z996" s="189"/>
      <c r="AA996" s="189">
        <f>Y996+Z996</f>
        <v>12013.1</v>
      </c>
    </row>
    <row r="997" spans="1:27" ht="24.75" x14ac:dyDescent="0.25">
      <c r="A997" s="22" t="s">
        <v>90</v>
      </c>
      <c r="B997" s="55" t="s">
        <v>264</v>
      </c>
      <c r="C997" s="23" t="s">
        <v>605</v>
      </c>
      <c r="D997" s="56"/>
      <c r="E997" s="27"/>
      <c r="F997" s="27"/>
      <c r="G997" s="24"/>
      <c r="H997" s="18">
        <f>H998</f>
        <v>2241.6999999999998</v>
      </c>
      <c r="I997" s="24">
        <f t="shared" si="247"/>
        <v>2241.6999999999998</v>
      </c>
      <c r="J997" s="18">
        <f>J998</f>
        <v>67.7</v>
      </c>
      <c r="K997" s="24">
        <f t="shared" si="248"/>
        <v>2309.3999999999996</v>
      </c>
      <c r="L997" s="18">
        <f>L998+L1037+L1043</f>
        <v>2535.5000000000005</v>
      </c>
      <c r="M997" s="24">
        <f t="shared" si="249"/>
        <v>4844.8999999999996</v>
      </c>
      <c r="N997" s="18">
        <f>N998+N1037+N1043</f>
        <v>10571.7</v>
      </c>
      <c r="O997" s="24">
        <f t="shared" si="250"/>
        <v>15416.6</v>
      </c>
      <c r="P997" s="18">
        <f>P998+P1037+P1043+P1042</f>
        <v>12434.199999999999</v>
      </c>
      <c r="Q997" s="24">
        <f t="shared" si="275"/>
        <v>27850.799999999999</v>
      </c>
      <c r="R997" s="18">
        <f>R998+R1037+R1043+R1042</f>
        <v>-8373.4000000000015</v>
      </c>
      <c r="S997" s="24">
        <f t="shared" si="237"/>
        <v>19477.399999999998</v>
      </c>
      <c r="T997" s="18">
        <f>T998+T1037+T1043+T1042</f>
        <v>253.00000000000003</v>
      </c>
      <c r="U997" s="24">
        <f t="shared" si="238"/>
        <v>19730.399999999998</v>
      </c>
      <c r="V997" s="18">
        <f>V998+V1037+V1043+V1042</f>
        <v>5727.2</v>
      </c>
      <c r="W997" s="24">
        <f t="shared" si="251"/>
        <v>25457.599999999999</v>
      </c>
      <c r="X997" s="18">
        <f>X998+X1037+X1043+X1042</f>
        <v>-2350.6</v>
      </c>
      <c r="Y997" s="24">
        <f t="shared" si="271"/>
        <v>23107</v>
      </c>
    </row>
    <row r="998" spans="1:27" x14ac:dyDescent="0.25">
      <c r="A998" s="22" t="s">
        <v>718</v>
      </c>
      <c r="B998" s="55" t="s">
        <v>264</v>
      </c>
      <c r="C998" s="23" t="s">
        <v>791</v>
      </c>
      <c r="D998" s="56"/>
      <c r="E998" s="27"/>
      <c r="F998" s="27"/>
      <c r="G998" s="24"/>
      <c r="H998" s="18">
        <f>H1001+H1003+H1005+H1007+H1009+H1011+H1013+H1015+H1017+H1019+H1021+H1023+H1025+H1027+H1029+H1031+H1033+H1035</f>
        <v>2241.6999999999998</v>
      </c>
      <c r="I998" s="24">
        <f t="shared" si="247"/>
        <v>2241.6999999999998</v>
      </c>
      <c r="J998" s="18">
        <f>J1001+J1003+J1005+J1007+J1009+J1011+J1013+J1015+J1017+J1019+J1021+J1023+J1025+J1027+J1029+J1031+J1033+J1035+J1043</f>
        <v>67.7</v>
      </c>
      <c r="K998" s="24">
        <f t="shared" si="248"/>
        <v>2309.3999999999996</v>
      </c>
      <c r="L998" s="18">
        <f>L1001+L1003+L1005+L1007+L1009+L1011+L1013+L1015+L1017+L1019+L1021+L1023+L1025+L1027+L1029+L1031+L1033+L1035+L999</f>
        <v>2515.8000000000002</v>
      </c>
      <c r="M998" s="24">
        <f t="shared" si="249"/>
        <v>4825.2</v>
      </c>
      <c r="N998" s="18">
        <f>N1001+N1003+N1005+N1007+N1009+N1011+N1013+N1015+N1017+N1019+N1021+N1023+N1025+N1027+N1029+N1031+N1033+N1035+N999</f>
        <v>10571.7</v>
      </c>
      <c r="O998" s="24">
        <f t="shared" si="250"/>
        <v>15396.900000000001</v>
      </c>
      <c r="P998" s="18">
        <f>P1001+P1003+P1005+P1007+P1009+P1011+P1013+P1015+P1017+P1019+P1021+P1023+P1025+P1027+P1029+P1031+P1033+P1035+P999</f>
        <v>0</v>
      </c>
      <c r="Q998" s="24">
        <f t="shared" si="275"/>
        <v>15396.900000000001</v>
      </c>
      <c r="R998" s="18">
        <f>R1001+R1003+R1005+R1007+R1009+R1011+R1013+R1015+R1017+R1019+R1021+R1023+R1025+R1027+R1029+R1031+R1033+R1035+R999</f>
        <v>-1580.9</v>
      </c>
      <c r="S998" s="24">
        <f t="shared" si="237"/>
        <v>13816.000000000002</v>
      </c>
      <c r="T998" s="18">
        <f>T1001+T1003+T1005+T1007+T1009+T1011+T1013+T1015+T1017+T1019+T1021+T1023+T1025+T1027+T1029+T1031+T1033+T1035+T999</f>
        <v>0</v>
      </c>
      <c r="U998" s="24">
        <f t="shared" si="238"/>
        <v>13816.000000000002</v>
      </c>
      <c r="V998" s="18">
        <f>V1001+V1003+V1005+V1007+V1009+V1011+V1013+V1015+V1017+V1019+V1021+V1023+V1025+V1027+V1029+V1031+V1033+V1035+V999</f>
        <v>0</v>
      </c>
      <c r="W998" s="24">
        <f t="shared" si="251"/>
        <v>13816.000000000002</v>
      </c>
      <c r="X998" s="18">
        <f>X1001+X1003+X1005+X1007+X1009+X1011+X1013+X1015+X1017+X1019+X1021+X1023+X1025+X1027+X1029+X1031+X1033+X1035+X999</f>
        <v>1200</v>
      </c>
      <c r="Y998" s="24">
        <f t="shared" si="271"/>
        <v>15016.000000000002</v>
      </c>
    </row>
    <row r="999" spans="1:27" x14ac:dyDescent="0.25">
      <c r="A999" s="82" t="s">
        <v>746</v>
      </c>
      <c r="B999" s="55" t="s">
        <v>264</v>
      </c>
      <c r="C999" s="54" t="s">
        <v>878</v>
      </c>
      <c r="D999" s="21"/>
      <c r="E999" s="27"/>
      <c r="F999" s="27"/>
      <c r="G999" s="24"/>
      <c r="H999" s="18"/>
      <c r="I999" s="24"/>
      <c r="J999" s="18"/>
      <c r="K999" s="24"/>
      <c r="L999" s="18">
        <f>L1000</f>
        <v>540</v>
      </c>
      <c r="M999" s="24">
        <f t="shared" si="249"/>
        <v>540</v>
      </c>
      <c r="N999" s="18">
        <f>N1000</f>
        <v>1200</v>
      </c>
      <c r="O999" s="24">
        <f t="shared" si="250"/>
        <v>1740</v>
      </c>
      <c r="P999" s="18">
        <f>P1000</f>
        <v>0</v>
      </c>
      <c r="Q999" s="24">
        <f t="shared" si="275"/>
        <v>1740</v>
      </c>
      <c r="R999" s="18">
        <f>R1000</f>
        <v>0</v>
      </c>
      <c r="S999" s="24">
        <f t="shared" si="237"/>
        <v>1740</v>
      </c>
      <c r="T999" s="18">
        <f>T1000</f>
        <v>0</v>
      </c>
      <c r="U999" s="24">
        <f t="shared" si="238"/>
        <v>1740</v>
      </c>
      <c r="V999" s="18">
        <f>V1000</f>
        <v>0</v>
      </c>
      <c r="W999" s="24">
        <f t="shared" si="251"/>
        <v>1740</v>
      </c>
      <c r="X999" s="18">
        <f>X1000</f>
        <v>0</v>
      </c>
      <c r="Y999" s="24">
        <f t="shared" si="271"/>
        <v>1740</v>
      </c>
    </row>
    <row r="1000" spans="1:27" s="6" customFormat="1" x14ac:dyDescent="0.25">
      <c r="A1000" s="64" t="s">
        <v>574</v>
      </c>
      <c r="B1000" s="56" t="s">
        <v>264</v>
      </c>
      <c r="C1000" s="76" t="s">
        <v>878</v>
      </c>
      <c r="D1000" s="21" t="s">
        <v>42</v>
      </c>
      <c r="E1000" s="27"/>
      <c r="F1000" s="27"/>
      <c r="G1000" s="24"/>
      <c r="H1000" s="18"/>
      <c r="I1000" s="24"/>
      <c r="J1000" s="18"/>
      <c r="K1000" s="24"/>
      <c r="L1000" s="94">
        <f>180+360</f>
        <v>540</v>
      </c>
      <c r="M1000" s="24">
        <f t="shared" si="249"/>
        <v>540</v>
      </c>
      <c r="N1000" s="43">
        <v>1200</v>
      </c>
      <c r="O1000" s="24">
        <f t="shared" si="250"/>
        <v>1740</v>
      </c>
      <c r="P1000" s="69"/>
      <c r="Q1000" s="24">
        <f t="shared" si="275"/>
        <v>1740</v>
      </c>
      <c r="R1000" s="69"/>
      <c r="S1000" s="24">
        <f t="shared" si="237"/>
        <v>1740</v>
      </c>
      <c r="T1000" s="69"/>
      <c r="U1000" s="24">
        <f t="shared" si="238"/>
        <v>1740</v>
      </c>
      <c r="V1000" s="69"/>
      <c r="W1000" s="24">
        <f t="shared" si="251"/>
        <v>1740</v>
      </c>
      <c r="X1000" s="69"/>
      <c r="Y1000" s="24">
        <f t="shared" si="271"/>
        <v>1740</v>
      </c>
      <c r="Z1000" s="189"/>
      <c r="AA1000" s="189">
        <f>Y1000+Z1000</f>
        <v>1740</v>
      </c>
    </row>
    <row r="1001" spans="1:27" s="6" customFormat="1" ht="36" x14ac:dyDescent="0.25">
      <c r="A1001" s="71" t="s">
        <v>719</v>
      </c>
      <c r="B1001" s="55" t="s">
        <v>264</v>
      </c>
      <c r="C1001" s="54" t="s">
        <v>879</v>
      </c>
      <c r="D1001" s="81"/>
      <c r="E1001" s="27"/>
      <c r="F1001" s="27"/>
      <c r="G1001" s="24"/>
      <c r="H1001" s="47">
        <f>H1002</f>
        <v>75</v>
      </c>
      <c r="I1001" s="24">
        <f t="shared" si="247"/>
        <v>75</v>
      </c>
      <c r="J1001" s="47">
        <f>J1002</f>
        <v>0</v>
      </c>
      <c r="K1001" s="24">
        <f t="shared" si="248"/>
        <v>75</v>
      </c>
      <c r="L1001" s="47">
        <f>L1002</f>
        <v>150</v>
      </c>
      <c r="M1001" s="24">
        <f t="shared" si="249"/>
        <v>225</v>
      </c>
      <c r="N1001" s="47">
        <f>N1002</f>
        <v>500</v>
      </c>
      <c r="O1001" s="24">
        <f t="shared" si="250"/>
        <v>725</v>
      </c>
      <c r="P1001" s="47">
        <f>P1002</f>
        <v>0</v>
      </c>
      <c r="Q1001" s="24">
        <f t="shared" si="275"/>
        <v>725</v>
      </c>
      <c r="R1001" s="47">
        <f>R1002</f>
        <v>0</v>
      </c>
      <c r="S1001" s="24">
        <f t="shared" si="237"/>
        <v>725</v>
      </c>
      <c r="T1001" s="47">
        <f>T1002</f>
        <v>0</v>
      </c>
      <c r="U1001" s="24">
        <f t="shared" si="238"/>
        <v>725</v>
      </c>
      <c r="V1001" s="47">
        <f>V1002</f>
        <v>0</v>
      </c>
      <c r="W1001" s="24">
        <f t="shared" si="251"/>
        <v>725</v>
      </c>
      <c r="X1001" s="47">
        <f>X1002</f>
        <v>0</v>
      </c>
      <c r="Y1001" s="24">
        <f t="shared" si="271"/>
        <v>725</v>
      </c>
      <c r="Z1001" s="189"/>
    </row>
    <row r="1002" spans="1:27" s="6" customFormat="1" x14ac:dyDescent="0.25">
      <c r="A1002" s="30" t="s">
        <v>66</v>
      </c>
      <c r="B1002" s="56" t="s">
        <v>264</v>
      </c>
      <c r="C1002" s="76" t="s">
        <v>879</v>
      </c>
      <c r="D1002" s="81" t="s">
        <v>42</v>
      </c>
      <c r="E1002" s="27"/>
      <c r="F1002" s="27"/>
      <c r="G1002" s="24"/>
      <c r="H1002" s="39">
        <v>75</v>
      </c>
      <c r="I1002" s="24">
        <f t="shared" si="247"/>
        <v>75</v>
      </c>
      <c r="J1002" s="69"/>
      <c r="K1002" s="24">
        <f t="shared" si="248"/>
        <v>75</v>
      </c>
      <c r="L1002" s="94">
        <v>150</v>
      </c>
      <c r="M1002" s="24">
        <f t="shared" si="249"/>
        <v>225</v>
      </c>
      <c r="N1002" s="43">
        <v>500</v>
      </c>
      <c r="O1002" s="24">
        <f t="shared" si="250"/>
        <v>725</v>
      </c>
      <c r="P1002" s="69"/>
      <c r="Q1002" s="24">
        <f t="shared" si="275"/>
        <v>725</v>
      </c>
      <c r="R1002" s="69"/>
      <c r="S1002" s="24">
        <f t="shared" si="237"/>
        <v>725</v>
      </c>
      <c r="T1002" s="69"/>
      <c r="U1002" s="24">
        <f t="shared" si="238"/>
        <v>725</v>
      </c>
      <c r="V1002" s="69"/>
      <c r="W1002" s="24">
        <f t="shared" si="251"/>
        <v>725</v>
      </c>
      <c r="X1002" s="69"/>
      <c r="Y1002" s="24">
        <f t="shared" si="271"/>
        <v>725</v>
      </c>
      <c r="Z1002" s="189"/>
      <c r="AA1002" s="189">
        <f>Y1002+Z1002</f>
        <v>725</v>
      </c>
    </row>
    <row r="1003" spans="1:27" hidden="1" x14ac:dyDescent="0.25">
      <c r="A1003" s="71" t="s">
        <v>720</v>
      </c>
      <c r="B1003" s="55" t="s">
        <v>264</v>
      </c>
      <c r="C1003" s="54" t="s">
        <v>737</v>
      </c>
      <c r="D1003" s="81"/>
      <c r="E1003" s="27"/>
      <c r="F1003" s="27"/>
      <c r="G1003" s="24"/>
      <c r="H1003" s="47">
        <f>H1004</f>
        <v>56.8</v>
      </c>
      <c r="I1003" s="24">
        <f t="shared" si="247"/>
        <v>56.8</v>
      </c>
      <c r="J1003" s="47">
        <f>J1004</f>
        <v>0</v>
      </c>
      <c r="K1003" s="24">
        <f t="shared" si="248"/>
        <v>56.8</v>
      </c>
      <c r="L1003" s="47">
        <f>L1004</f>
        <v>-56.8</v>
      </c>
      <c r="M1003" s="24">
        <f t="shared" si="249"/>
        <v>0</v>
      </c>
      <c r="N1003" s="47">
        <f>N1004</f>
        <v>0</v>
      </c>
      <c r="O1003" s="24">
        <f t="shared" si="250"/>
        <v>0</v>
      </c>
      <c r="P1003" s="47">
        <f>P1004</f>
        <v>0</v>
      </c>
      <c r="Q1003" s="24">
        <f t="shared" si="275"/>
        <v>0</v>
      </c>
      <c r="R1003" s="47">
        <f>R1004</f>
        <v>0</v>
      </c>
      <c r="S1003" s="24">
        <f t="shared" si="237"/>
        <v>0</v>
      </c>
      <c r="T1003" s="47">
        <f>T1004</f>
        <v>0</v>
      </c>
      <c r="U1003" s="24">
        <f t="shared" si="238"/>
        <v>0</v>
      </c>
      <c r="V1003" s="47">
        <f>V1004</f>
        <v>0</v>
      </c>
      <c r="W1003" s="24">
        <f t="shared" si="251"/>
        <v>0</v>
      </c>
      <c r="X1003" s="47">
        <f>X1004</f>
        <v>0</v>
      </c>
      <c r="Y1003" s="24">
        <f t="shared" si="271"/>
        <v>0</v>
      </c>
    </row>
    <row r="1004" spans="1:27" s="6" customFormat="1" hidden="1" x14ac:dyDescent="0.25">
      <c r="A1004" s="30" t="s">
        <v>66</v>
      </c>
      <c r="B1004" s="56" t="s">
        <v>264</v>
      </c>
      <c r="C1004" s="76" t="s">
        <v>737</v>
      </c>
      <c r="D1004" s="81" t="s">
        <v>42</v>
      </c>
      <c r="E1004" s="27"/>
      <c r="F1004" s="27"/>
      <c r="G1004" s="24"/>
      <c r="H1004" s="39">
        <v>56.8</v>
      </c>
      <c r="I1004" s="24">
        <f t="shared" si="247"/>
        <v>56.8</v>
      </c>
      <c r="J1004" s="69"/>
      <c r="K1004" s="24">
        <f t="shared" si="248"/>
        <v>56.8</v>
      </c>
      <c r="L1004" s="94">
        <v>-56.8</v>
      </c>
      <c r="M1004" s="24">
        <f t="shared" si="249"/>
        <v>0</v>
      </c>
      <c r="N1004" s="69"/>
      <c r="O1004" s="24">
        <f t="shared" si="250"/>
        <v>0</v>
      </c>
      <c r="P1004" s="69"/>
      <c r="Q1004" s="24">
        <f t="shared" si="275"/>
        <v>0</v>
      </c>
      <c r="R1004" s="69"/>
      <c r="S1004" s="24">
        <f t="shared" si="237"/>
        <v>0</v>
      </c>
      <c r="T1004" s="69"/>
      <c r="U1004" s="24">
        <f t="shared" si="238"/>
        <v>0</v>
      </c>
      <c r="V1004" s="69"/>
      <c r="W1004" s="24">
        <f t="shared" si="251"/>
        <v>0</v>
      </c>
      <c r="X1004" s="69"/>
      <c r="Y1004" s="24">
        <f t="shared" si="271"/>
        <v>0</v>
      </c>
      <c r="Z1004" s="189"/>
      <c r="AA1004" s="189">
        <f>Y1004+Z1004</f>
        <v>0</v>
      </c>
    </row>
    <row r="1005" spans="1:27" s="6" customFormat="1" hidden="1" x14ac:dyDescent="0.25">
      <c r="A1005" s="71" t="s">
        <v>721</v>
      </c>
      <c r="B1005" s="55" t="s">
        <v>264</v>
      </c>
      <c r="C1005" s="54" t="s">
        <v>738</v>
      </c>
      <c r="D1005" s="81"/>
      <c r="E1005" s="27"/>
      <c r="F1005" s="27"/>
      <c r="G1005" s="24"/>
      <c r="H1005" s="47">
        <f>H1006</f>
        <v>180</v>
      </c>
      <c r="I1005" s="24">
        <f t="shared" si="247"/>
        <v>180</v>
      </c>
      <c r="J1005" s="47">
        <f>J1006</f>
        <v>0</v>
      </c>
      <c r="K1005" s="24">
        <f t="shared" si="248"/>
        <v>180</v>
      </c>
      <c r="L1005" s="47">
        <f>L1006</f>
        <v>-180</v>
      </c>
      <c r="M1005" s="24">
        <f t="shared" si="249"/>
        <v>0</v>
      </c>
      <c r="N1005" s="47">
        <f>N1006</f>
        <v>0</v>
      </c>
      <c r="O1005" s="24">
        <f t="shared" si="250"/>
        <v>0</v>
      </c>
      <c r="P1005" s="47">
        <f>P1006</f>
        <v>0</v>
      </c>
      <c r="Q1005" s="24">
        <f t="shared" si="275"/>
        <v>0</v>
      </c>
      <c r="R1005" s="47">
        <f>R1006</f>
        <v>0</v>
      </c>
      <c r="S1005" s="24">
        <f t="shared" si="237"/>
        <v>0</v>
      </c>
      <c r="T1005" s="47">
        <f>T1006</f>
        <v>0</v>
      </c>
      <c r="U1005" s="24">
        <f t="shared" si="238"/>
        <v>0</v>
      </c>
      <c r="V1005" s="47">
        <f>V1006</f>
        <v>0</v>
      </c>
      <c r="W1005" s="24">
        <f t="shared" si="251"/>
        <v>0</v>
      </c>
      <c r="X1005" s="47">
        <f>X1006</f>
        <v>0</v>
      </c>
      <c r="Y1005" s="24">
        <f t="shared" si="271"/>
        <v>0</v>
      </c>
      <c r="Z1005" s="189"/>
    </row>
    <row r="1006" spans="1:27" s="6" customFormat="1" hidden="1" x14ac:dyDescent="0.25">
      <c r="A1006" s="30" t="s">
        <v>66</v>
      </c>
      <c r="B1006" s="56" t="s">
        <v>264</v>
      </c>
      <c r="C1006" s="76" t="s">
        <v>738</v>
      </c>
      <c r="D1006" s="81" t="s">
        <v>42</v>
      </c>
      <c r="E1006" s="27"/>
      <c r="F1006" s="27"/>
      <c r="G1006" s="24"/>
      <c r="H1006" s="39">
        <v>180</v>
      </c>
      <c r="I1006" s="24">
        <f t="shared" si="247"/>
        <v>180</v>
      </c>
      <c r="J1006" s="69"/>
      <c r="K1006" s="24">
        <f t="shared" si="248"/>
        <v>180</v>
      </c>
      <c r="L1006" s="94">
        <v>-180</v>
      </c>
      <c r="M1006" s="24">
        <f t="shared" si="249"/>
        <v>0</v>
      </c>
      <c r="N1006" s="69"/>
      <c r="O1006" s="24">
        <f t="shared" si="250"/>
        <v>0</v>
      </c>
      <c r="P1006" s="69"/>
      <c r="Q1006" s="24">
        <f t="shared" si="275"/>
        <v>0</v>
      </c>
      <c r="R1006" s="69"/>
      <c r="S1006" s="24">
        <f t="shared" si="237"/>
        <v>0</v>
      </c>
      <c r="T1006" s="69"/>
      <c r="U1006" s="24">
        <f t="shared" si="238"/>
        <v>0</v>
      </c>
      <c r="V1006" s="69"/>
      <c r="W1006" s="24">
        <f t="shared" si="251"/>
        <v>0</v>
      </c>
      <c r="X1006" s="69"/>
      <c r="Y1006" s="24">
        <f t="shared" si="271"/>
        <v>0</v>
      </c>
      <c r="Z1006" s="189"/>
      <c r="AA1006" s="189">
        <f>Y1006+Z1006</f>
        <v>0</v>
      </c>
    </row>
    <row r="1007" spans="1:27" s="6" customFormat="1" hidden="1" x14ac:dyDescent="0.25">
      <c r="A1007" s="71" t="s">
        <v>722</v>
      </c>
      <c r="B1007" s="55" t="s">
        <v>264</v>
      </c>
      <c r="C1007" s="54" t="s">
        <v>739</v>
      </c>
      <c r="D1007" s="81"/>
      <c r="E1007" s="27"/>
      <c r="F1007" s="27"/>
      <c r="G1007" s="24"/>
      <c r="H1007" s="47">
        <f>H1008</f>
        <v>68.8</v>
      </c>
      <c r="I1007" s="24">
        <f t="shared" si="247"/>
        <v>68.8</v>
      </c>
      <c r="J1007" s="47">
        <f>J1008</f>
        <v>0</v>
      </c>
      <c r="K1007" s="24">
        <f t="shared" si="248"/>
        <v>68.8</v>
      </c>
      <c r="L1007" s="47">
        <f>L1008</f>
        <v>-68.8</v>
      </c>
      <c r="M1007" s="24">
        <f t="shared" si="249"/>
        <v>0</v>
      </c>
      <c r="N1007" s="47">
        <f>N1008</f>
        <v>0</v>
      </c>
      <c r="O1007" s="24">
        <f t="shared" si="250"/>
        <v>0</v>
      </c>
      <c r="P1007" s="47">
        <f>P1008</f>
        <v>0</v>
      </c>
      <c r="Q1007" s="24">
        <f t="shared" si="275"/>
        <v>0</v>
      </c>
      <c r="R1007" s="47">
        <f>R1008</f>
        <v>0</v>
      </c>
      <c r="S1007" s="24">
        <f t="shared" si="237"/>
        <v>0</v>
      </c>
      <c r="T1007" s="47">
        <f>T1008</f>
        <v>0</v>
      </c>
      <c r="U1007" s="24">
        <f t="shared" si="238"/>
        <v>0</v>
      </c>
      <c r="V1007" s="47">
        <f>V1008</f>
        <v>0</v>
      </c>
      <c r="W1007" s="24">
        <f t="shared" si="251"/>
        <v>0</v>
      </c>
      <c r="X1007" s="47">
        <f>X1008</f>
        <v>0</v>
      </c>
      <c r="Y1007" s="24">
        <f t="shared" si="271"/>
        <v>0</v>
      </c>
      <c r="Z1007" s="189"/>
    </row>
    <row r="1008" spans="1:27" s="6" customFormat="1" hidden="1" x14ac:dyDescent="0.25">
      <c r="A1008" s="30" t="s">
        <v>66</v>
      </c>
      <c r="B1008" s="56" t="s">
        <v>264</v>
      </c>
      <c r="C1008" s="76" t="s">
        <v>739</v>
      </c>
      <c r="D1008" s="81" t="s">
        <v>42</v>
      </c>
      <c r="E1008" s="27"/>
      <c r="F1008" s="27"/>
      <c r="G1008" s="24"/>
      <c r="H1008" s="39">
        <v>68.8</v>
      </c>
      <c r="I1008" s="24">
        <f t="shared" si="247"/>
        <v>68.8</v>
      </c>
      <c r="J1008" s="69"/>
      <c r="K1008" s="24">
        <f t="shared" si="248"/>
        <v>68.8</v>
      </c>
      <c r="L1008" s="94">
        <v>-68.8</v>
      </c>
      <c r="M1008" s="24">
        <f t="shared" si="249"/>
        <v>0</v>
      </c>
      <c r="N1008" s="69"/>
      <c r="O1008" s="24">
        <f t="shared" si="250"/>
        <v>0</v>
      </c>
      <c r="P1008" s="69"/>
      <c r="Q1008" s="24">
        <f t="shared" si="275"/>
        <v>0</v>
      </c>
      <c r="R1008" s="69"/>
      <c r="S1008" s="24">
        <f t="shared" si="237"/>
        <v>0</v>
      </c>
      <c r="T1008" s="69"/>
      <c r="U1008" s="24">
        <f t="shared" si="238"/>
        <v>0</v>
      </c>
      <c r="V1008" s="69"/>
      <c r="W1008" s="24">
        <f t="shared" si="251"/>
        <v>0</v>
      </c>
      <c r="X1008" s="69"/>
      <c r="Y1008" s="24">
        <f t="shared" si="271"/>
        <v>0</v>
      </c>
      <c r="Z1008" s="189"/>
      <c r="AA1008" s="189">
        <f>Y1008+Z1008</f>
        <v>0</v>
      </c>
    </row>
    <row r="1009" spans="1:27" ht="36" hidden="1" x14ac:dyDescent="0.25">
      <c r="A1009" s="71" t="s">
        <v>723</v>
      </c>
      <c r="B1009" s="55" t="s">
        <v>264</v>
      </c>
      <c r="C1009" s="54" t="s">
        <v>740</v>
      </c>
      <c r="D1009" s="81"/>
      <c r="E1009" s="27"/>
      <c r="F1009" s="27"/>
      <c r="G1009" s="24"/>
      <c r="H1009" s="47">
        <f>H1010</f>
        <v>95.7</v>
      </c>
      <c r="I1009" s="24">
        <f t="shared" si="247"/>
        <v>95.7</v>
      </c>
      <c r="J1009" s="47">
        <f>J1010</f>
        <v>0</v>
      </c>
      <c r="K1009" s="24">
        <f t="shared" si="248"/>
        <v>95.7</v>
      </c>
      <c r="L1009" s="47">
        <f>L1010</f>
        <v>-95.7</v>
      </c>
      <c r="M1009" s="24">
        <f t="shared" si="249"/>
        <v>0</v>
      </c>
      <c r="N1009" s="47">
        <f>N1010</f>
        <v>0</v>
      </c>
      <c r="O1009" s="24">
        <f t="shared" si="250"/>
        <v>0</v>
      </c>
      <c r="P1009" s="47">
        <f>P1010</f>
        <v>0</v>
      </c>
      <c r="Q1009" s="24">
        <f t="shared" si="275"/>
        <v>0</v>
      </c>
      <c r="R1009" s="47">
        <f>R1010</f>
        <v>0</v>
      </c>
      <c r="S1009" s="24">
        <f t="shared" si="237"/>
        <v>0</v>
      </c>
      <c r="T1009" s="47">
        <f>T1010</f>
        <v>0</v>
      </c>
      <c r="U1009" s="24">
        <f t="shared" si="238"/>
        <v>0</v>
      </c>
      <c r="V1009" s="47">
        <f>V1010</f>
        <v>0</v>
      </c>
      <c r="W1009" s="24">
        <f t="shared" si="251"/>
        <v>0</v>
      </c>
      <c r="X1009" s="47">
        <f>X1010</f>
        <v>0</v>
      </c>
      <c r="Y1009" s="24">
        <f t="shared" si="271"/>
        <v>0</v>
      </c>
    </row>
    <row r="1010" spans="1:27" s="6" customFormat="1" hidden="1" x14ac:dyDescent="0.25">
      <c r="A1010" s="30" t="s">
        <v>66</v>
      </c>
      <c r="B1010" s="56" t="s">
        <v>264</v>
      </c>
      <c r="C1010" s="76" t="s">
        <v>740</v>
      </c>
      <c r="D1010" s="81" t="s">
        <v>42</v>
      </c>
      <c r="E1010" s="27"/>
      <c r="F1010" s="27"/>
      <c r="G1010" s="24"/>
      <c r="H1010" s="39">
        <v>95.7</v>
      </c>
      <c r="I1010" s="24">
        <f t="shared" si="247"/>
        <v>95.7</v>
      </c>
      <c r="J1010" s="69"/>
      <c r="K1010" s="24">
        <f t="shared" si="248"/>
        <v>95.7</v>
      </c>
      <c r="L1010" s="94">
        <v>-95.7</v>
      </c>
      <c r="M1010" s="24">
        <f t="shared" si="249"/>
        <v>0</v>
      </c>
      <c r="N1010" s="69"/>
      <c r="O1010" s="24">
        <f t="shared" si="250"/>
        <v>0</v>
      </c>
      <c r="P1010" s="69"/>
      <c r="Q1010" s="24">
        <f t="shared" si="275"/>
        <v>0</v>
      </c>
      <c r="R1010" s="69"/>
      <c r="S1010" s="24">
        <f t="shared" si="237"/>
        <v>0</v>
      </c>
      <c r="T1010" s="69"/>
      <c r="U1010" s="24">
        <f t="shared" si="238"/>
        <v>0</v>
      </c>
      <c r="V1010" s="69"/>
      <c r="W1010" s="24">
        <f t="shared" si="251"/>
        <v>0</v>
      </c>
      <c r="X1010" s="69"/>
      <c r="Y1010" s="24">
        <f t="shared" si="271"/>
        <v>0</v>
      </c>
      <c r="Z1010" s="189"/>
      <c r="AA1010" s="189">
        <f>Y1010+Z1010</f>
        <v>0</v>
      </c>
    </row>
    <row r="1011" spans="1:27" s="6" customFormat="1" hidden="1" x14ac:dyDescent="0.25">
      <c r="A1011" s="72" t="s">
        <v>724</v>
      </c>
      <c r="B1011" s="55" t="s">
        <v>264</v>
      </c>
      <c r="C1011" s="54" t="s">
        <v>741</v>
      </c>
      <c r="D1011" s="81"/>
      <c r="E1011" s="27"/>
      <c r="F1011" s="27"/>
      <c r="G1011" s="24"/>
      <c r="H1011" s="47">
        <f>H1012</f>
        <v>35</v>
      </c>
      <c r="I1011" s="24">
        <f t="shared" si="247"/>
        <v>35</v>
      </c>
      <c r="J1011" s="47">
        <f>J1012</f>
        <v>0</v>
      </c>
      <c r="K1011" s="24">
        <f t="shared" si="248"/>
        <v>35</v>
      </c>
      <c r="L1011" s="47">
        <f>L1012</f>
        <v>-35</v>
      </c>
      <c r="M1011" s="24">
        <f t="shared" si="249"/>
        <v>0</v>
      </c>
      <c r="N1011" s="47">
        <f>N1012</f>
        <v>0</v>
      </c>
      <c r="O1011" s="24">
        <f t="shared" si="250"/>
        <v>0</v>
      </c>
      <c r="P1011" s="47">
        <f>P1012</f>
        <v>0</v>
      </c>
      <c r="Q1011" s="24">
        <f t="shared" si="275"/>
        <v>0</v>
      </c>
      <c r="R1011" s="47">
        <f>R1012</f>
        <v>0</v>
      </c>
      <c r="S1011" s="24">
        <f t="shared" si="237"/>
        <v>0</v>
      </c>
      <c r="T1011" s="47">
        <f>T1012</f>
        <v>0</v>
      </c>
      <c r="U1011" s="24">
        <f t="shared" si="238"/>
        <v>0</v>
      </c>
      <c r="V1011" s="47">
        <f>V1012</f>
        <v>0</v>
      </c>
      <c r="W1011" s="24">
        <f t="shared" si="251"/>
        <v>0</v>
      </c>
      <c r="X1011" s="47">
        <f>X1012</f>
        <v>0</v>
      </c>
      <c r="Y1011" s="24">
        <f t="shared" si="271"/>
        <v>0</v>
      </c>
      <c r="Z1011" s="189"/>
    </row>
    <row r="1012" spans="1:27" s="6" customFormat="1" hidden="1" x14ac:dyDescent="0.25">
      <c r="A1012" s="30" t="s">
        <v>66</v>
      </c>
      <c r="B1012" s="56" t="s">
        <v>264</v>
      </c>
      <c r="C1012" s="76" t="s">
        <v>741</v>
      </c>
      <c r="D1012" s="81" t="s">
        <v>42</v>
      </c>
      <c r="E1012" s="27"/>
      <c r="F1012" s="27"/>
      <c r="G1012" s="24"/>
      <c r="H1012" s="39">
        <v>35</v>
      </c>
      <c r="I1012" s="24">
        <f t="shared" si="247"/>
        <v>35</v>
      </c>
      <c r="J1012" s="69"/>
      <c r="K1012" s="24">
        <f t="shared" si="248"/>
        <v>35</v>
      </c>
      <c r="L1012" s="94">
        <v>-35</v>
      </c>
      <c r="M1012" s="24">
        <f t="shared" si="249"/>
        <v>0</v>
      </c>
      <c r="N1012" s="69"/>
      <c r="O1012" s="24">
        <f t="shared" si="250"/>
        <v>0</v>
      </c>
      <c r="P1012" s="69"/>
      <c r="Q1012" s="24">
        <f t="shared" si="275"/>
        <v>0</v>
      </c>
      <c r="R1012" s="69"/>
      <c r="S1012" s="24">
        <f t="shared" si="237"/>
        <v>0</v>
      </c>
      <c r="T1012" s="69"/>
      <c r="U1012" s="24">
        <f t="shared" si="238"/>
        <v>0</v>
      </c>
      <c r="V1012" s="69"/>
      <c r="W1012" s="24">
        <f t="shared" si="251"/>
        <v>0</v>
      </c>
      <c r="X1012" s="69"/>
      <c r="Y1012" s="24">
        <f t="shared" si="271"/>
        <v>0</v>
      </c>
      <c r="Z1012" s="189"/>
      <c r="AA1012" s="189">
        <f>Y1012+Z1012</f>
        <v>0</v>
      </c>
    </row>
    <row r="1013" spans="1:27" s="6" customFormat="1" hidden="1" x14ac:dyDescent="0.25">
      <c r="A1013" s="72" t="s">
        <v>725</v>
      </c>
      <c r="B1013" s="55" t="s">
        <v>264</v>
      </c>
      <c r="C1013" s="54" t="s">
        <v>742</v>
      </c>
      <c r="D1013" s="81"/>
      <c r="E1013" s="27"/>
      <c r="F1013" s="27"/>
      <c r="G1013" s="24"/>
      <c r="H1013" s="47">
        <f>H1014</f>
        <v>63.7</v>
      </c>
      <c r="I1013" s="24">
        <f t="shared" si="247"/>
        <v>63.7</v>
      </c>
      <c r="J1013" s="47">
        <f>J1014</f>
        <v>0</v>
      </c>
      <c r="K1013" s="24">
        <f t="shared" si="248"/>
        <v>63.7</v>
      </c>
      <c r="L1013" s="47">
        <f>L1014</f>
        <v>-63.7</v>
      </c>
      <c r="M1013" s="24">
        <f t="shared" si="249"/>
        <v>0</v>
      </c>
      <c r="N1013" s="47">
        <f>N1014</f>
        <v>0</v>
      </c>
      <c r="O1013" s="24">
        <f t="shared" si="250"/>
        <v>0</v>
      </c>
      <c r="P1013" s="47">
        <f>P1014</f>
        <v>0</v>
      </c>
      <c r="Q1013" s="24">
        <f t="shared" si="275"/>
        <v>0</v>
      </c>
      <c r="R1013" s="47">
        <f>R1014</f>
        <v>0</v>
      </c>
      <c r="S1013" s="24">
        <f t="shared" si="237"/>
        <v>0</v>
      </c>
      <c r="T1013" s="47">
        <f>T1014</f>
        <v>0</v>
      </c>
      <c r="U1013" s="24">
        <f t="shared" si="238"/>
        <v>0</v>
      </c>
      <c r="V1013" s="47">
        <f>V1014</f>
        <v>0</v>
      </c>
      <c r="W1013" s="24">
        <f t="shared" si="251"/>
        <v>0</v>
      </c>
      <c r="X1013" s="47">
        <f>X1014</f>
        <v>0</v>
      </c>
      <c r="Y1013" s="24">
        <f t="shared" si="271"/>
        <v>0</v>
      </c>
      <c r="Z1013" s="189"/>
    </row>
    <row r="1014" spans="1:27" s="6" customFormat="1" hidden="1" x14ac:dyDescent="0.25">
      <c r="A1014" s="30" t="s">
        <v>66</v>
      </c>
      <c r="B1014" s="56" t="s">
        <v>264</v>
      </c>
      <c r="C1014" s="76" t="s">
        <v>742</v>
      </c>
      <c r="D1014" s="81" t="s">
        <v>42</v>
      </c>
      <c r="E1014" s="27"/>
      <c r="F1014" s="27"/>
      <c r="G1014" s="24"/>
      <c r="H1014" s="39">
        <v>63.7</v>
      </c>
      <c r="I1014" s="24">
        <f t="shared" si="247"/>
        <v>63.7</v>
      </c>
      <c r="J1014" s="69"/>
      <c r="K1014" s="24">
        <f t="shared" si="248"/>
        <v>63.7</v>
      </c>
      <c r="L1014" s="94">
        <v>-63.7</v>
      </c>
      <c r="M1014" s="24">
        <f t="shared" si="249"/>
        <v>0</v>
      </c>
      <c r="N1014" s="69"/>
      <c r="O1014" s="24">
        <f t="shared" si="250"/>
        <v>0</v>
      </c>
      <c r="P1014" s="69"/>
      <c r="Q1014" s="24">
        <f t="shared" si="275"/>
        <v>0</v>
      </c>
      <c r="R1014" s="69"/>
      <c r="S1014" s="24">
        <f t="shared" si="237"/>
        <v>0</v>
      </c>
      <c r="T1014" s="69"/>
      <c r="U1014" s="24">
        <f t="shared" si="238"/>
        <v>0</v>
      </c>
      <c r="V1014" s="69"/>
      <c r="W1014" s="24">
        <f t="shared" si="251"/>
        <v>0</v>
      </c>
      <c r="X1014" s="69"/>
      <c r="Y1014" s="24">
        <f t="shared" si="271"/>
        <v>0</v>
      </c>
      <c r="Z1014" s="189"/>
      <c r="AA1014" s="189">
        <f>Y1014+Z1014</f>
        <v>0</v>
      </c>
    </row>
    <row r="1015" spans="1:27" hidden="1" x14ac:dyDescent="0.25">
      <c r="A1015" s="72" t="s">
        <v>726</v>
      </c>
      <c r="B1015" s="55" t="s">
        <v>264</v>
      </c>
      <c r="C1015" s="54" t="s">
        <v>743</v>
      </c>
      <c r="D1015" s="81"/>
      <c r="E1015" s="27"/>
      <c r="F1015" s="27"/>
      <c r="G1015" s="24"/>
      <c r="H1015" s="47">
        <f>H1016</f>
        <v>107.3</v>
      </c>
      <c r="I1015" s="24">
        <f t="shared" si="247"/>
        <v>107.3</v>
      </c>
      <c r="J1015" s="47">
        <f>J1016</f>
        <v>0</v>
      </c>
      <c r="K1015" s="24">
        <f t="shared" si="248"/>
        <v>107.3</v>
      </c>
      <c r="L1015" s="47">
        <f>L1016</f>
        <v>-107.3</v>
      </c>
      <c r="M1015" s="24">
        <f t="shared" si="249"/>
        <v>0</v>
      </c>
      <c r="N1015" s="47">
        <f>N1016</f>
        <v>0</v>
      </c>
      <c r="O1015" s="24">
        <f t="shared" si="250"/>
        <v>0</v>
      </c>
      <c r="P1015" s="47">
        <f>P1016</f>
        <v>0</v>
      </c>
      <c r="Q1015" s="24">
        <f t="shared" si="275"/>
        <v>0</v>
      </c>
      <c r="R1015" s="47">
        <f>R1016</f>
        <v>0</v>
      </c>
      <c r="S1015" s="24">
        <f t="shared" si="237"/>
        <v>0</v>
      </c>
      <c r="T1015" s="47">
        <f>T1016</f>
        <v>0</v>
      </c>
      <c r="U1015" s="24">
        <f t="shared" si="238"/>
        <v>0</v>
      </c>
      <c r="V1015" s="47">
        <f>V1016</f>
        <v>0</v>
      </c>
      <c r="W1015" s="24">
        <f t="shared" si="251"/>
        <v>0</v>
      </c>
      <c r="X1015" s="47">
        <f>X1016</f>
        <v>0</v>
      </c>
      <c r="Y1015" s="24">
        <f t="shared" si="271"/>
        <v>0</v>
      </c>
    </row>
    <row r="1016" spans="1:27" hidden="1" x14ac:dyDescent="0.25">
      <c r="A1016" s="30" t="s">
        <v>66</v>
      </c>
      <c r="B1016" s="56" t="s">
        <v>264</v>
      </c>
      <c r="C1016" s="76" t="s">
        <v>743</v>
      </c>
      <c r="D1016" s="81" t="s">
        <v>42</v>
      </c>
      <c r="E1016" s="27"/>
      <c r="F1016" s="27"/>
      <c r="G1016" s="24"/>
      <c r="H1016" s="39">
        <v>107.3</v>
      </c>
      <c r="I1016" s="24">
        <f t="shared" si="247"/>
        <v>107.3</v>
      </c>
      <c r="J1016" s="69"/>
      <c r="K1016" s="24">
        <f t="shared" si="248"/>
        <v>107.3</v>
      </c>
      <c r="L1016" s="94">
        <v>-107.3</v>
      </c>
      <c r="M1016" s="24">
        <f t="shared" si="249"/>
        <v>0</v>
      </c>
      <c r="N1016" s="69"/>
      <c r="O1016" s="24">
        <f t="shared" si="250"/>
        <v>0</v>
      </c>
      <c r="P1016" s="69"/>
      <c r="Q1016" s="24">
        <f t="shared" si="275"/>
        <v>0</v>
      </c>
      <c r="R1016" s="69"/>
      <c r="S1016" s="24">
        <f t="shared" si="237"/>
        <v>0</v>
      </c>
      <c r="T1016" s="69"/>
      <c r="U1016" s="24">
        <f t="shared" si="238"/>
        <v>0</v>
      </c>
      <c r="V1016" s="69"/>
      <c r="W1016" s="24">
        <f t="shared" si="251"/>
        <v>0</v>
      </c>
      <c r="X1016" s="69"/>
      <c r="Y1016" s="24">
        <f t="shared" si="271"/>
        <v>0</v>
      </c>
      <c r="AA1016" s="189">
        <f>Y1016+Z1016</f>
        <v>0</v>
      </c>
    </row>
    <row r="1017" spans="1:27" x14ac:dyDescent="0.25">
      <c r="A1017" s="72" t="s">
        <v>727</v>
      </c>
      <c r="B1017" s="55" t="s">
        <v>264</v>
      </c>
      <c r="C1017" s="54" t="s">
        <v>899</v>
      </c>
      <c r="D1017" s="81"/>
      <c r="E1017" s="27"/>
      <c r="F1017" s="27"/>
      <c r="G1017" s="24"/>
      <c r="H1017" s="47">
        <f>H1018</f>
        <v>90</v>
      </c>
      <c r="I1017" s="24">
        <f t="shared" si="247"/>
        <v>90</v>
      </c>
      <c r="J1017" s="47">
        <f>J1018</f>
        <v>0</v>
      </c>
      <c r="K1017" s="24">
        <f t="shared" si="248"/>
        <v>90</v>
      </c>
      <c r="L1017" s="47">
        <f>L1018</f>
        <v>180</v>
      </c>
      <c r="M1017" s="24">
        <f t="shared" si="249"/>
        <v>270</v>
      </c>
      <c r="N1017" s="47">
        <f>N1018</f>
        <v>600</v>
      </c>
      <c r="O1017" s="24">
        <f t="shared" si="250"/>
        <v>870</v>
      </c>
      <c r="P1017" s="47">
        <f>P1018</f>
        <v>0</v>
      </c>
      <c r="Q1017" s="24">
        <f t="shared" si="275"/>
        <v>870</v>
      </c>
      <c r="R1017" s="47">
        <f>R1018</f>
        <v>0</v>
      </c>
      <c r="S1017" s="24">
        <f t="shared" si="237"/>
        <v>870</v>
      </c>
      <c r="T1017" s="47">
        <f>T1018</f>
        <v>0</v>
      </c>
      <c r="U1017" s="24">
        <f t="shared" si="238"/>
        <v>870</v>
      </c>
      <c r="V1017" s="47">
        <f>V1018</f>
        <v>0</v>
      </c>
      <c r="W1017" s="24">
        <f t="shared" si="251"/>
        <v>870</v>
      </c>
      <c r="X1017" s="47">
        <f>X1018</f>
        <v>0</v>
      </c>
      <c r="Y1017" s="24">
        <f t="shared" si="271"/>
        <v>870</v>
      </c>
    </row>
    <row r="1018" spans="1:27" x14ac:dyDescent="0.25">
      <c r="A1018" s="30" t="s">
        <v>66</v>
      </c>
      <c r="B1018" s="56" t="s">
        <v>264</v>
      </c>
      <c r="C1018" s="76" t="s">
        <v>899</v>
      </c>
      <c r="D1018" s="81" t="s">
        <v>42</v>
      </c>
      <c r="E1018" s="27"/>
      <c r="F1018" s="27"/>
      <c r="G1018" s="24"/>
      <c r="H1018" s="39">
        <v>90</v>
      </c>
      <c r="I1018" s="24">
        <f t="shared" si="247"/>
        <v>90</v>
      </c>
      <c r="J1018" s="69"/>
      <c r="K1018" s="24">
        <f t="shared" si="248"/>
        <v>90</v>
      </c>
      <c r="L1018" s="94">
        <v>180</v>
      </c>
      <c r="M1018" s="24">
        <f t="shared" si="249"/>
        <v>270</v>
      </c>
      <c r="N1018" s="43">
        <v>600</v>
      </c>
      <c r="O1018" s="24">
        <f t="shared" si="250"/>
        <v>870</v>
      </c>
      <c r="P1018" s="69"/>
      <c r="Q1018" s="24">
        <f t="shared" si="275"/>
        <v>870</v>
      </c>
      <c r="R1018" s="69"/>
      <c r="S1018" s="24">
        <f t="shared" si="237"/>
        <v>870</v>
      </c>
      <c r="T1018" s="69"/>
      <c r="U1018" s="24">
        <f t="shared" si="238"/>
        <v>870</v>
      </c>
      <c r="V1018" s="69"/>
      <c r="W1018" s="24">
        <f t="shared" si="251"/>
        <v>870</v>
      </c>
      <c r="X1018" s="69"/>
      <c r="Y1018" s="24">
        <f t="shared" si="271"/>
        <v>870</v>
      </c>
      <c r="AA1018" s="189">
        <f>Y1018+Z1018</f>
        <v>870</v>
      </c>
    </row>
    <row r="1019" spans="1:27" s="6" customFormat="1" ht="24" x14ac:dyDescent="0.25">
      <c r="A1019" s="72" t="s">
        <v>728</v>
      </c>
      <c r="B1019" s="55" t="s">
        <v>264</v>
      </c>
      <c r="C1019" s="54" t="s">
        <v>900</v>
      </c>
      <c r="D1019" s="81"/>
      <c r="E1019" s="27"/>
      <c r="F1019" s="27"/>
      <c r="G1019" s="24"/>
      <c r="H1019" s="47">
        <f>H1020</f>
        <v>180</v>
      </c>
      <c r="I1019" s="24">
        <f t="shared" si="247"/>
        <v>180</v>
      </c>
      <c r="J1019" s="47">
        <f>J1020</f>
        <v>0</v>
      </c>
      <c r="K1019" s="24">
        <f t="shared" si="248"/>
        <v>180</v>
      </c>
      <c r="L1019" s="47">
        <f>L1020</f>
        <v>360.2</v>
      </c>
      <c r="M1019" s="24">
        <f t="shared" si="249"/>
        <v>540.20000000000005</v>
      </c>
      <c r="N1019" s="47">
        <f>N1020</f>
        <v>1200</v>
      </c>
      <c r="O1019" s="24">
        <f t="shared" si="250"/>
        <v>1740.2</v>
      </c>
      <c r="P1019" s="47">
        <f>P1020</f>
        <v>0</v>
      </c>
      <c r="Q1019" s="24">
        <f t="shared" si="275"/>
        <v>1740.2</v>
      </c>
      <c r="R1019" s="47">
        <f>R1020</f>
        <v>-1740.2</v>
      </c>
      <c r="S1019" s="24">
        <f t="shared" si="237"/>
        <v>0</v>
      </c>
      <c r="T1019" s="47">
        <f>T1020</f>
        <v>0</v>
      </c>
      <c r="U1019" s="24">
        <f t="shared" si="238"/>
        <v>0</v>
      </c>
      <c r="V1019" s="47">
        <f>V1020</f>
        <v>0</v>
      </c>
      <c r="W1019" s="24">
        <f t="shared" si="251"/>
        <v>0</v>
      </c>
      <c r="X1019" s="47">
        <f>X1020</f>
        <v>1200</v>
      </c>
      <c r="Y1019" s="24">
        <f t="shared" ref="Y1019:Y1275" si="279">W1019+X1019</f>
        <v>1200</v>
      </c>
      <c r="Z1019" s="189"/>
    </row>
    <row r="1020" spans="1:27" s="6" customFormat="1" x14ac:dyDescent="0.25">
      <c r="A1020" s="30" t="s">
        <v>66</v>
      </c>
      <c r="B1020" s="56" t="s">
        <v>264</v>
      </c>
      <c r="C1020" s="76" t="s">
        <v>900</v>
      </c>
      <c r="D1020" s="81" t="s">
        <v>42</v>
      </c>
      <c r="E1020" s="27"/>
      <c r="F1020" s="27"/>
      <c r="G1020" s="24"/>
      <c r="H1020" s="39">
        <v>180</v>
      </c>
      <c r="I1020" s="24">
        <f t="shared" si="247"/>
        <v>180</v>
      </c>
      <c r="J1020" s="69"/>
      <c r="K1020" s="24">
        <f t="shared" si="248"/>
        <v>180</v>
      </c>
      <c r="L1020" s="94">
        <v>360.2</v>
      </c>
      <c r="M1020" s="24">
        <f t="shared" si="249"/>
        <v>540.20000000000005</v>
      </c>
      <c r="N1020" s="43">
        <v>1200</v>
      </c>
      <c r="O1020" s="24">
        <f t="shared" si="250"/>
        <v>1740.2</v>
      </c>
      <c r="P1020" s="69"/>
      <c r="Q1020" s="24">
        <f t="shared" si="275"/>
        <v>1740.2</v>
      </c>
      <c r="R1020" s="39">
        <v>-1740.2</v>
      </c>
      <c r="S1020" s="24">
        <f t="shared" si="237"/>
        <v>0</v>
      </c>
      <c r="T1020" s="69"/>
      <c r="U1020" s="24">
        <f t="shared" si="238"/>
        <v>0</v>
      </c>
      <c r="V1020" s="69"/>
      <c r="W1020" s="24">
        <f t="shared" si="251"/>
        <v>0</v>
      </c>
      <c r="X1020" s="43">
        <v>1200</v>
      </c>
      <c r="Y1020" s="24">
        <f t="shared" si="279"/>
        <v>1200</v>
      </c>
      <c r="Z1020" s="189"/>
      <c r="AA1020" s="189">
        <f>Y1020+Z1020</f>
        <v>1200</v>
      </c>
    </row>
    <row r="1021" spans="1:27" s="6" customFormat="1" hidden="1" x14ac:dyDescent="0.25">
      <c r="A1021" s="72" t="s">
        <v>729</v>
      </c>
      <c r="B1021" s="55" t="s">
        <v>264</v>
      </c>
      <c r="C1021" s="54" t="s">
        <v>744</v>
      </c>
      <c r="D1021" s="81"/>
      <c r="E1021" s="27"/>
      <c r="F1021" s="27"/>
      <c r="G1021" s="24"/>
      <c r="H1021" s="47">
        <f>H1022</f>
        <v>48.6</v>
      </c>
      <c r="I1021" s="24">
        <f t="shared" si="247"/>
        <v>48.6</v>
      </c>
      <c r="J1021" s="47">
        <f>J1022</f>
        <v>0</v>
      </c>
      <c r="K1021" s="24">
        <f t="shared" si="248"/>
        <v>48.6</v>
      </c>
      <c r="L1021" s="47">
        <f>L1022</f>
        <v>-48.6</v>
      </c>
      <c r="M1021" s="24">
        <f t="shared" si="249"/>
        <v>0</v>
      </c>
      <c r="N1021" s="47">
        <f>N1022</f>
        <v>0</v>
      </c>
      <c r="O1021" s="24">
        <f t="shared" si="250"/>
        <v>0</v>
      </c>
      <c r="P1021" s="47">
        <f>P1022</f>
        <v>0</v>
      </c>
      <c r="Q1021" s="24">
        <f t="shared" si="275"/>
        <v>0</v>
      </c>
      <c r="R1021" s="47">
        <f>R1022</f>
        <v>0</v>
      </c>
      <c r="S1021" s="24">
        <f t="shared" si="237"/>
        <v>0</v>
      </c>
      <c r="T1021" s="47">
        <f>T1022</f>
        <v>0</v>
      </c>
      <c r="U1021" s="24">
        <f t="shared" si="238"/>
        <v>0</v>
      </c>
      <c r="V1021" s="47">
        <f>V1022</f>
        <v>0</v>
      </c>
      <c r="W1021" s="24">
        <f t="shared" si="251"/>
        <v>0</v>
      </c>
      <c r="X1021" s="47">
        <f>X1022</f>
        <v>0</v>
      </c>
      <c r="Y1021" s="24">
        <f t="shared" si="279"/>
        <v>0</v>
      </c>
      <c r="Z1021" s="189"/>
    </row>
    <row r="1022" spans="1:27" s="6" customFormat="1" hidden="1" x14ac:dyDescent="0.25">
      <c r="A1022" s="30" t="s">
        <v>66</v>
      </c>
      <c r="B1022" s="56" t="s">
        <v>264</v>
      </c>
      <c r="C1022" s="76" t="s">
        <v>744</v>
      </c>
      <c r="D1022" s="81" t="s">
        <v>42</v>
      </c>
      <c r="E1022" s="27"/>
      <c r="F1022" s="27"/>
      <c r="G1022" s="24"/>
      <c r="H1022" s="39">
        <v>48.6</v>
      </c>
      <c r="I1022" s="24">
        <f t="shared" si="247"/>
        <v>48.6</v>
      </c>
      <c r="J1022" s="69"/>
      <c r="K1022" s="24">
        <f t="shared" si="248"/>
        <v>48.6</v>
      </c>
      <c r="L1022" s="94">
        <v>-48.6</v>
      </c>
      <c r="M1022" s="24">
        <f t="shared" si="249"/>
        <v>0</v>
      </c>
      <c r="N1022" s="69"/>
      <c r="O1022" s="24">
        <f t="shared" si="250"/>
        <v>0</v>
      </c>
      <c r="P1022" s="69"/>
      <c r="Q1022" s="24">
        <f t="shared" si="275"/>
        <v>0</v>
      </c>
      <c r="R1022" s="69"/>
      <c r="S1022" s="24">
        <f t="shared" si="237"/>
        <v>0</v>
      </c>
      <c r="T1022" s="69"/>
      <c r="U1022" s="24">
        <f t="shared" si="238"/>
        <v>0</v>
      </c>
      <c r="V1022" s="69"/>
      <c r="W1022" s="24">
        <f t="shared" si="251"/>
        <v>0</v>
      </c>
      <c r="X1022" s="69"/>
      <c r="Y1022" s="24">
        <f t="shared" si="279"/>
        <v>0</v>
      </c>
      <c r="Z1022" s="189"/>
      <c r="AA1022" s="189">
        <f>Y1022+Z1022</f>
        <v>0</v>
      </c>
    </row>
    <row r="1023" spans="1:27" s="6" customFormat="1" x14ac:dyDescent="0.25">
      <c r="A1023" s="72" t="s">
        <v>730</v>
      </c>
      <c r="B1023" s="55" t="s">
        <v>264</v>
      </c>
      <c r="C1023" s="54" t="s">
        <v>880</v>
      </c>
      <c r="D1023" s="81"/>
      <c r="E1023" s="27"/>
      <c r="F1023" s="27"/>
      <c r="G1023" s="24"/>
      <c r="H1023" s="47">
        <f>H1024</f>
        <v>180</v>
      </c>
      <c r="I1023" s="24">
        <f t="shared" si="247"/>
        <v>180</v>
      </c>
      <c r="J1023" s="47">
        <f>J1024</f>
        <v>0</v>
      </c>
      <c r="K1023" s="24">
        <f t="shared" si="248"/>
        <v>180</v>
      </c>
      <c r="L1023" s="47">
        <f>L1024</f>
        <v>360</v>
      </c>
      <c r="M1023" s="24">
        <f t="shared" si="249"/>
        <v>540</v>
      </c>
      <c r="N1023" s="47">
        <f>N1024</f>
        <v>1200</v>
      </c>
      <c r="O1023" s="24">
        <f t="shared" si="250"/>
        <v>1740</v>
      </c>
      <c r="P1023" s="47">
        <f>P1024</f>
        <v>0</v>
      </c>
      <c r="Q1023" s="24">
        <f t="shared" si="275"/>
        <v>1740</v>
      </c>
      <c r="R1023" s="47">
        <f>R1024</f>
        <v>159.30000000000001</v>
      </c>
      <c r="S1023" s="24">
        <f t="shared" si="237"/>
        <v>1899.3</v>
      </c>
      <c r="T1023" s="47">
        <f>T1024</f>
        <v>0</v>
      </c>
      <c r="U1023" s="24">
        <f t="shared" si="238"/>
        <v>1899.3</v>
      </c>
      <c r="V1023" s="47">
        <f>V1024</f>
        <v>0</v>
      </c>
      <c r="W1023" s="24">
        <f t="shared" si="251"/>
        <v>1899.3</v>
      </c>
      <c r="X1023" s="47">
        <f>X1024</f>
        <v>0</v>
      </c>
      <c r="Y1023" s="24">
        <f t="shared" si="279"/>
        <v>1899.3</v>
      </c>
      <c r="Z1023" s="189"/>
    </row>
    <row r="1024" spans="1:27" x14ac:dyDescent="0.25">
      <c r="A1024" s="30" t="s">
        <v>66</v>
      </c>
      <c r="B1024" s="56" t="s">
        <v>264</v>
      </c>
      <c r="C1024" s="76" t="s">
        <v>880</v>
      </c>
      <c r="D1024" s="81" t="s">
        <v>42</v>
      </c>
      <c r="E1024" s="27"/>
      <c r="F1024" s="27"/>
      <c r="G1024" s="24"/>
      <c r="H1024" s="39">
        <v>180</v>
      </c>
      <c r="I1024" s="24">
        <f t="shared" si="247"/>
        <v>180</v>
      </c>
      <c r="J1024" s="69"/>
      <c r="K1024" s="24">
        <f t="shared" si="248"/>
        <v>180</v>
      </c>
      <c r="L1024" s="94">
        <v>360</v>
      </c>
      <c r="M1024" s="24">
        <f t="shared" si="249"/>
        <v>540</v>
      </c>
      <c r="N1024" s="43">
        <v>1200</v>
      </c>
      <c r="O1024" s="24">
        <f t="shared" si="250"/>
        <v>1740</v>
      </c>
      <c r="P1024" s="69"/>
      <c r="Q1024" s="24">
        <f t="shared" si="275"/>
        <v>1740</v>
      </c>
      <c r="R1024" s="39">
        <v>159.30000000000001</v>
      </c>
      <c r="S1024" s="24">
        <f t="shared" si="237"/>
        <v>1899.3</v>
      </c>
      <c r="T1024" s="69"/>
      <c r="U1024" s="24">
        <f t="shared" si="238"/>
        <v>1899.3</v>
      </c>
      <c r="V1024" s="69"/>
      <c r="W1024" s="24">
        <f t="shared" si="251"/>
        <v>1899.3</v>
      </c>
      <c r="X1024" s="69"/>
      <c r="Y1024" s="24">
        <f t="shared" si="279"/>
        <v>1899.3</v>
      </c>
      <c r="AA1024" s="189">
        <f>Y1024+Z1024</f>
        <v>1899.3</v>
      </c>
    </row>
    <row r="1025" spans="1:27" s="6" customFormat="1" x14ac:dyDescent="0.25">
      <c r="A1025" s="72" t="s">
        <v>731</v>
      </c>
      <c r="B1025" s="55" t="s">
        <v>264</v>
      </c>
      <c r="C1025" s="54" t="s">
        <v>881</v>
      </c>
      <c r="D1025" s="81"/>
      <c r="E1025" s="27"/>
      <c r="F1025" s="27"/>
      <c r="G1025" s="24"/>
      <c r="H1025" s="47">
        <f>H1026</f>
        <v>160.80000000000001</v>
      </c>
      <c r="I1025" s="24">
        <f t="shared" si="247"/>
        <v>160.80000000000001</v>
      </c>
      <c r="J1025" s="47">
        <f>J1026</f>
        <v>0</v>
      </c>
      <c r="K1025" s="24">
        <f t="shared" si="248"/>
        <v>160.80000000000001</v>
      </c>
      <c r="L1025" s="47">
        <f>L1026</f>
        <v>321.5</v>
      </c>
      <c r="M1025" s="24">
        <f t="shared" si="249"/>
        <v>482.3</v>
      </c>
      <c r="N1025" s="47">
        <f>N1026</f>
        <v>1071.7</v>
      </c>
      <c r="O1025" s="24">
        <f t="shared" si="250"/>
        <v>1554</v>
      </c>
      <c r="P1025" s="47">
        <f>P1026</f>
        <v>0</v>
      </c>
      <c r="Q1025" s="24">
        <f t="shared" si="275"/>
        <v>1554</v>
      </c>
      <c r="R1025" s="47">
        <f>R1026</f>
        <v>0</v>
      </c>
      <c r="S1025" s="24">
        <f t="shared" si="237"/>
        <v>1554</v>
      </c>
      <c r="T1025" s="47">
        <f>T1026</f>
        <v>0</v>
      </c>
      <c r="U1025" s="24">
        <f t="shared" si="238"/>
        <v>1554</v>
      </c>
      <c r="V1025" s="47">
        <f>V1026</f>
        <v>0</v>
      </c>
      <c r="W1025" s="24">
        <f t="shared" si="251"/>
        <v>1554</v>
      </c>
      <c r="X1025" s="47">
        <f>X1026</f>
        <v>0</v>
      </c>
      <c r="Y1025" s="24">
        <f t="shared" si="279"/>
        <v>1554</v>
      </c>
      <c r="Z1025" s="189"/>
    </row>
    <row r="1026" spans="1:27" s="6" customFormat="1" x14ac:dyDescent="0.25">
      <c r="A1026" s="30" t="s">
        <v>66</v>
      </c>
      <c r="B1026" s="56" t="s">
        <v>264</v>
      </c>
      <c r="C1026" s="76" t="s">
        <v>881</v>
      </c>
      <c r="D1026" s="81" t="s">
        <v>42</v>
      </c>
      <c r="E1026" s="27"/>
      <c r="F1026" s="27"/>
      <c r="G1026" s="24"/>
      <c r="H1026" s="39">
        <v>160.80000000000001</v>
      </c>
      <c r="I1026" s="24">
        <f t="shared" si="247"/>
        <v>160.80000000000001</v>
      </c>
      <c r="J1026" s="69"/>
      <c r="K1026" s="24">
        <f t="shared" si="248"/>
        <v>160.80000000000001</v>
      </c>
      <c r="L1026" s="94">
        <v>321.5</v>
      </c>
      <c r="M1026" s="24">
        <f t="shared" si="249"/>
        <v>482.3</v>
      </c>
      <c r="N1026" s="43">
        <v>1071.7</v>
      </c>
      <c r="O1026" s="24">
        <f t="shared" si="250"/>
        <v>1554</v>
      </c>
      <c r="P1026" s="69"/>
      <c r="Q1026" s="24">
        <f t="shared" si="275"/>
        <v>1554</v>
      </c>
      <c r="R1026" s="69"/>
      <c r="S1026" s="24">
        <f t="shared" si="237"/>
        <v>1554</v>
      </c>
      <c r="T1026" s="69"/>
      <c r="U1026" s="24">
        <f t="shared" si="238"/>
        <v>1554</v>
      </c>
      <c r="V1026" s="69"/>
      <c r="W1026" s="24">
        <f t="shared" si="251"/>
        <v>1554</v>
      </c>
      <c r="X1026" s="69"/>
      <c r="Y1026" s="24">
        <f t="shared" si="279"/>
        <v>1554</v>
      </c>
      <c r="Z1026" s="189"/>
      <c r="AA1026" s="189">
        <f>Y1026+Z1026</f>
        <v>1554</v>
      </c>
    </row>
    <row r="1027" spans="1:27" s="6" customFormat="1" x14ac:dyDescent="0.25">
      <c r="A1027" s="72" t="s">
        <v>732</v>
      </c>
      <c r="B1027" s="55" t="s">
        <v>264</v>
      </c>
      <c r="C1027" s="54" t="s">
        <v>882</v>
      </c>
      <c r="D1027" s="81"/>
      <c r="E1027" s="27"/>
      <c r="F1027" s="27"/>
      <c r="G1027" s="24"/>
      <c r="H1027" s="47">
        <f>H1028</f>
        <v>180</v>
      </c>
      <c r="I1027" s="24">
        <f t="shared" si="247"/>
        <v>180</v>
      </c>
      <c r="J1027" s="47">
        <f>J1028</f>
        <v>0</v>
      </c>
      <c r="K1027" s="24">
        <f t="shared" si="248"/>
        <v>180</v>
      </c>
      <c r="L1027" s="47">
        <f>L1028</f>
        <v>360</v>
      </c>
      <c r="M1027" s="24">
        <f t="shared" si="249"/>
        <v>540</v>
      </c>
      <c r="N1027" s="47">
        <f>N1028</f>
        <v>1200</v>
      </c>
      <c r="O1027" s="24">
        <f t="shared" si="250"/>
        <v>1740</v>
      </c>
      <c r="P1027" s="47">
        <f>P1028</f>
        <v>0</v>
      </c>
      <c r="Q1027" s="24">
        <f t="shared" si="275"/>
        <v>1740</v>
      </c>
      <c r="R1027" s="47">
        <f>R1028</f>
        <v>0</v>
      </c>
      <c r="S1027" s="24">
        <f t="shared" si="237"/>
        <v>1740</v>
      </c>
      <c r="T1027" s="47">
        <f>T1028</f>
        <v>0</v>
      </c>
      <c r="U1027" s="24">
        <f t="shared" si="238"/>
        <v>1740</v>
      </c>
      <c r="V1027" s="47">
        <f>V1028</f>
        <v>0</v>
      </c>
      <c r="W1027" s="24">
        <f t="shared" si="251"/>
        <v>1740</v>
      </c>
      <c r="X1027" s="47">
        <f>X1028</f>
        <v>0</v>
      </c>
      <c r="Y1027" s="24">
        <f t="shared" si="279"/>
        <v>1740</v>
      </c>
      <c r="Z1027" s="189"/>
    </row>
    <row r="1028" spans="1:27" x14ac:dyDescent="0.25">
      <c r="A1028" s="30" t="s">
        <v>66</v>
      </c>
      <c r="B1028" s="56" t="s">
        <v>264</v>
      </c>
      <c r="C1028" s="76" t="s">
        <v>882</v>
      </c>
      <c r="D1028" s="81" t="s">
        <v>42</v>
      </c>
      <c r="E1028" s="27"/>
      <c r="F1028" s="27"/>
      <c r="G1028" s="24"/>
      <c r="H1028" s="39">
        <v>180</v>
      </c>
      <c r="I1028" s="24">
        <f t="shared" si="247"/>
        <v>180</v>
      </c>
      <c r="J1028" s="69"/>
      <c r="K1028" s="24">
        <f t="shared" si="248"/>
        <v>180</v>
      </c>
      <c r="L1028" s="94">
        <v>360</v>
      </c>
      <c r="M1028" s="24">
        <f t="shared" si="249"/>
        <v>540</v>
      </c>
      <c r="N1028" s="43">
        <v>1200</v>
      </c>
      <c r="O1028" s="24">
        <f t="shared" si="250"/>
        <v>1740</v>
      </c>
      <c r="P1028" s="69"/>
      <c r="Q1028" s="24">
        <f t="shared" si="275"/>
        <v>1740</v>
      </c>
      <c r="R1028" s="69"/>
      <c r="S1028" s="24">
        <f t="shared" si="237"/>
        <v>1740</v>
      </c>
      <c r="T1028" s="69"/>
      <c r="U1028" s="24">
        <f t="shared" si="238"/>
        <v>1740</v>
      </c>
      <c r="V1028" s="69"/>
      <c r="W1028" s="24">
        <f t="shared" si="251"/>
        <v>1740</v>
      </c>
      <c r="X1028" s="69"/>
      <c r="Y1028" s="24">
        <f t="shared" si="279"/>
        <v>1740</v>
      </c>
      <c r="AA1028" s="189">
        <f>Y1028+Z1028</f>
        <v>1740</v>
      </c>
    </row>
    <row r="1029" spans="1:27" x14ac:dyDescent="0.25">
      <c r="A1029" s="72" t="s">
        <v>733</v>
      </c>
      <c r="B1029" s="55" t="s">
        <v>264</v>
      </c>
      <c r="C1029" s="54" t="s">
        <v>883</v>
      </c>
      <c r="D1029" s="81"/>
      <c r="E1029" s="27"/>
      <c r="F1029" s="27"/>
      <c r="G1029" s="24"/>
      <c r="H1029" s="47">
        <f>H1030</f>
        <v>180</v>
      </c>
      <c r="I1029" s="24">
        <f t="shared" si="247"/>
        <v>180</v>
      </c>
      <c r="J1029" s="47">
        <f>J1030</f>
        <v>0</v>
      </c>
      <c r="K1029" s="24">
        <f t="shared" si="248"/>
        <v>180</v>
      </c>
      <c r="L1029" s="47">
        <f>L1030</f>
        <v>360</v>
      </c>
      <c r="M1029" s="24">
        <f t="shared" si="249"/>
        <v>540</v>
      </c>
      <c r="N1029" s="47">
        <f>N1030</f>
        <v>1200</v>
      </c>
      <c r="O1029" s="24">
        <f t="shared" si="250"/>
        <v>1740</v>
      </c>
      <c r="P1029" s="47">
        <f>P1030</f>
        <v>0</v>
      </c>
      <c r="Q1029" s="24">
        <f t="shared" si="275"/>
        <v>1740</v>
      </c>
      <c r="R1029" s="47">
        <f>R1030</f>
        <v>0</v>
      </c>
      <c r="S1029" s="24">
        <f t="shared" si="237"/>
        <v>1740</v>
      </c>
      <c r="T1029" s="47">
        <f>T1030</f>
        <v>0</v>
      </c>
      <c r="U1029" s="24">
        <f t="shared" si="238"/>
        <v>1740</v>
      </c>
      <c r="V1029" s="47">
        <f>V1030</f>
        <v>0</v>
      </c>
      <c r="W1029" s="24">
        <f t="shared" si="251"/>
        <v>1740</v>
      </c>
      <c r="X1029" s="47">
        <f>X1030</f>
        <v>0</v>
      </c>
      <c r="Y1029" s="24">
        <f t="shared" si="279"/>
        <v>1740</v>
      </c>
    </row>
    <row r="1030" spans="1:27" x14ac:dyDescent="0.25">
      <c r="A1030" s="30" t="s">
        <v>66</v>
      </c>
      <c r="B1030" s="56" t="s">
        <v>264</v>
      </c>
      <c r="C1030" s="76" t="s">
        <v>883</v>
      </c>
      <c r="D1030" s="81" t="s">
        <v>42</v>
      </c>
      <c r="E1030" s="27"/>
      <c r="F1030" s="27"/>
      <c r="G1030" s="24"/>
      <c r="H1030" s="39">
        <v>180</v>
      </c>
      <c r="I1030" s="24">
        <f t="shared" si="247"/>
        <v>180</v>
      </c>
      <c r="J1030" s="69"/>
      <c r="K1030" s="24">
        <f t="shared" si="248"/>
        <v>180</v>
      </c>
      <c r="L1030" s="94">
        <v>360</v>
      </c>
      <c r="M1030" s="24">
        <f t="shared" si="249"/>
        <v>540</v>
      </c>
      <c r="N1030" s="43">
        <v>1200</v>
      </c>
      <c r="O1030" s="24">
        <f t="shared" si="250"/>
        <v>1740</v>
      </c>
      <c r="P1030" s="69"/>
      <c r="Q1030" s="24">
        <f t="shared" si="275"/>
        <v>1740</v>
      </c>
      <c r="R1030" s="69"/>
      <c r="S1030" s="24">
        <f t="shared" si="237"/>
        <v>1740</v>
      </c>
      <c r="T1030" s="69"/>
      <c r="U1030" s="24">
        <f t="shared" si="238"/>
        <v>1740</v>
      </c>
      <c r="V1030" s="69"/>
      <c r="W1030" s="24">
        <f t="shared" si="251"/>
        <v>1740</v>
      </c>
      <c r="X1030" s="69"/>
      <c r="Y1030" s="24">
        <f t="shared" si="279"/>
        <v>1740</v>
      </c>
      <c r="AA1030" s="189">
        <f>Y1030+Z1030</f>
        <v>1740</v>
      </c>
    </row>
    <row r="1031" spans="1:27" ht="36" x14ac:dyDescent="0.25">
      <c r="A1031" s="72" t="s">
        <v>734</v>
      </c>
      <c r="B1031" s="55" t="s">
        <v>264</v>
      </c>
      <c r="C1031" s="54" t="s">
        <v>884</v>
      </c>
      <c r="D1031" s="81"/>
      <c r="E1031" s="27"/>
      <c r="F1031" s="27"/>
      <c r="G1031" s="24"/>
      <c r="H1031" s="47">
        <f>H1032</f>
        <v>180</v>
      </c>
      <c r="I1031" s="24">
        <f t="shared" si="247"/>
        <v>180</v>
      </c>
      <c r="J1031" s="47">
        <f>J1032</f>
        <v>0</v>
      </c>
      <c r="K1031" s="24">
        <f t="shared" si="248"/>
        <v>180</v>
      </c>
      <c r="L1031" s="47">
        <f>L1032</f>
        <v>360</v>
      </c>
      <c r="M1031" s="24">
        <f t="shared" si="249"/>
        <v>540</v>
      </c>
      <c r="N1031" s="47">
        <f>N1032</f>
        <v>1200</v>
      </c>
      <c r="O1031" s="24">
        <f t="shared" si="250"/>
        <v>1740</v>
      </c>
      <c r="P1031" s="47">
        <f>P1032</f>
        <v>0</v>
      </c>
      <c r="Q1031" s="24">
        <f t="shared" si="275"/>
        <v>1740</v>
      </c>
      <c r="R1031" s="47">
        <f>R1032</f>
        <v>0</v>
      </c>
      <c r="S1031" s="24">
        <f t="shared" si="237"/>
        <v>1740</v>
      </c>
      <c r="T1031" s="47">
        <f>T1032</f>
        <v>0</v>
      </c>
      <c r="U1031" s="24">
        <f t="shared" si="238"/>
        <v>1740</v>
      </c>
      <c r="V1031" s="47">
        <f>V1032</f>
        <v>0</v>
      </c>
      <c r="W1031" s="24">
        <f t="shared" si="251"/>
        <v>1740</v>
      </c>
      <c r="X1031" s="47">
        <f>X1032</f>
        <v>0</v>
      </c>
      <c r="Y1031" s="24">
        <f t="shared" si="279"/>
        <v>1740</v>
      </c>
    </row>
    <row r="1032" spans="1:27" x14ac:dyDescent="0.25">
      <c r="A1032" s="30" t="s">
        <v>66</v>
      </c>
      <c r="B1032" s="56" t="s">
        <v>264</v>
      </c>
      <c r="C1032" s="76" t="s">
        <v>884</v>
      </c>
      <c r="D1032" s="81" t="s">
        <v>42</v>
      </c>
      <c r="E1032" s="27"/>
      <c r="F1032" s="27"/>
      <c r="G1032" s="24"/>
      <c r="H1032" s="39">
        <v>180</v>
      </c>
      <c r="I1032" s="24">
        <f t="shared" si="247"/>
        <v>180</v>
      </c>
      <c r="J1032" s="69"/>
      <c r="K1032" s="24">
        <f t="shared" si="248"/>
        <v>180</v>
      </c>
      <c r="L1032" s="94">
        <v>360</v>
      </c>
      <c r="M1032" s="24">
        <f t="shared" si="249"/>
        <v>540</v>
      </c>
      <c r="N1032" s="43">
        <v>1200</v>
      </c>
      <c r="O1032" s="24">
        <f t="shared" si="250"/>
        <v>1740</v>
      </c>
      <c r="P1032" s="69"/>
      <c r="Q1032" s="24">
        <f t="shared" si="275"/>
        <v>1740</v>
      </c>
      <c r="R1032" s="69"/>
      <c r="S1032" s="24">
        <f t="shared" si="237"/>
        <v>1740</v>
      </c>
      <c r="T1032" s="69"/>
      <c r="U1032" s="24">
        <f t="shared" si="238"/>
        <v>1740</v>
      </c>
      <c r="V1032" s="69"/>
      <c r="W1032" s="24">
        <f t="shared" si="251"/>
        <v>1740</v>
      </c>
      <c r="X1032" s="69"/>
      <c r="Y1032" s="24">
        <f t="shared" si="279"/>
        <v>1740</v>
      </c>
      <c r="AA1032" s="189">
        <f>Y1032+Z1032</f>
        <v>1740</v>
      </c>
    </row>
    <row r="1033" spans="1:27" ht="24" x14ac:dyDescent="0.25">
      <c r="A1033" s="72" t="s">
        <v>735</v>
      </c>
      <c r="B1033" s="55" t="s">
        <v>264</v>
      </c>
      <c r="C1033" s="54" t="s">
        <v>885</v>
      </c>
      <c r="D1033" s="81"/>
      <c r="E1033" s="27"/>
      <c r="F1033" s="27"/>
      <c r="G1033" s="24"/>
      <c r="H1033" s="47">
        <f>H1034</f>
        <v>180</v>
      </c>
      <c r="I1033" s="24">
        <f t="shared" si="247"/>
        <v>180</v>
      </c>
      <c r="J1033" s="47">
        <f>J1034</f>
        <v>0</v>
      </c>
      <c r="K1033" s="24">
        <f t="shared" si="248"/>
        <v>180</v>
      </c>
      <c r="L1033" s="47">
        <f>L1034</f>
        <v>360</v>
      </c>
      <c r="M1033" s="24">
        <f t="shared" si="249"/>
        <v>540</v>
      </c>
      <c r="N1033" s="47">
        <f>N1034</f>
        <v>1200</v>
      </c>
      <c r="O1033" s="24">
        <f t="shared" si="250"/>
        <v>1740</v>
      </c>
      <c r="P1033" s="47">
        <f>P1034</f>
        <v>0</v>
      </c>
      <c r="Q1033" s="24">
        <f t="shared" si="275"/>
        <v>1740</v>
      </c>
      <c r="R1033" s="47">
        <f>R1034</f>
        <v>0</v>
      </c>
      <c r="S1033" s="24">
        <f t="shared" si="237"/>
        <v>1740</v>
      </c>
      <c r="T1033" s="47">
        <f>T1034</f>
        <v>0</v>
      </c>
      <c r="U1033" s="24">
        <f t="shared" si="238"/>
        <v>1740</v>
      </c>
      <c r="V1033" s="47">
        <f>V1034</f>
        <v>0</v>
      </c>
      <c r="W1033" s="24">
        <f t="shared" si="251"/>
        <v>1740</v>
      </c>
      <c r="X1033" s="47">
        <f>X1034</f>
        <v>0</v>
      </c>
      <c r="Y1033" s="24">
        <f t="shared" si="279"/>
        <v>1740</v>
      </c>
    </row>
    <row r="1034" spans="1:27" x14ac:dyDescent="0.25">
      <c r="A1034" s="30" t="s">
        <v>66</v>
      </c>
      <c r="B1034" s="56" t="s">
        <v>264</v>
      </c>
      <c r="C1034" s="76" t="s">
        <v>885</v>
      </c>
      <c r="D1034" s="81" t="s">
        <v>42</v>
      </c>
      <c r="E1034" s="27"/>
      <c r="F1034" s="27"/>
      <c r="G1034" s="24"/>
      <c r="H1034" s="39">
        <v>180</v>
      </c>
      <c r="I1034" s="24">
        <f t="shared" si="247"/>
        <v>180</v>
      </c>
      <c r="J1034" s="69"/>
      <c r="K1034" s="24">
        <f t="shared" si="248"/>
        <v>180</v>
      </c>
      <c r="L1034" s="94">
        <v>360</v>
      </c>
      <c r="M1034" s="24">
        <f t="shared" si="249"/>
        <v>540</v>
      </c>
      <c r="N1034" s="43">
        <v>1200</v>
      </c>
      <c r="O1034" s="24">
        <f t="shared" si="250"/>
        <v>1740</v>
      </c>
      <c r="P1034" s="69"/>
      <c r="Q1034" s="24">
        <f t="shared" si="275"/>
        <v>1740</v>
      </c>
      <c r="R1034" s="69"/>
      <c r="S1034" s="24">
        <f t="shared" si="237"/>
        <v>1740</v>
      </c>
      <c r="T1034" s="69"/>
      <c r="U1034" s="24">
        <f t="shared" si="238"/>
        <v>1740</v>
      </c>
      <c r="V1034" s="69"/>
      <c r="W1034" s="24">
        <f t="shared" si="251"/>
        <v>1740</v>
      </c>
      <c r="X1034" s="69"/>
      <c r="Y1034" s="24">
        <f t="shared" si="279"/>
        <v>1740</v>
      </c>
      <c r="AA1034" s="189">
        <f>Y1034+Z1034</f>
        <v>1740</v>
      </c>
    </row>
    <row r="1035" spans="1:27" hidden="1" x14ac:dyDescent="0.25">
      <c r="A1035" s="72" t="s">
        <v>736</v>
      </c>
      <c r="B1035" s="55" t="s">
        <v>264</v>
      </c>
      <c r="C1035" s="54" t="s">
        <v>745</v>
      </c>
      <c r="D1035" s="81"/>
      <c r="E1035" s="27"/>
      <c r="F1035" s="27"/>
      <c r="G1035" s="24"/>
      <c r="H1035" s="47">
        <f>H1036</f>
        <v>180</v>
      </c>
      <c r="I1035" s="24">
        <f t="shared" si="247"/>
        <v>180</v>
      </c>
      <c r="J1035" s="47">
        <f>J1036</f>
        <v>0</v>
      </c>
      <c r="K1035" s="24">
        <f t="shared" si="248"/>
        <v>180</v>
      </c>
      <c r="L1035" s="47">
        <f>L1036</f>
        <v>-180</v>
      </c>
      <c r="M1035" s="24">
        <f t="shared" si="249"/>
        <v>0</v>
      </c>
      <c r="N1035" s="47">
        <f>N1036</f>
        <v>0</v>
      </c>
      <c r="O1035" s="24">
        <f t="shared" si="250"/>
        <v>0</v>
      </c>
      <c r="P1035" s="47">
        <f>P1036</f>
        <v>0</v>
      </c>
      <c r="Q1035" s="24">
        <f t="shared" si="275"/>
        <v>0</v>
      </c>
      <c r="R1035" s="47">
        <f>R1036</f>
        <v>0</v>
      </c>
      <c r="S1035" s="24">
        <f t="shared" si="237"/>
        <v>0</v>
      </c>
      <c r="T1035" s="47">
        <f>T1036</f>
        <v>0</v>
      </c>
      <c r="U1035" s="24">
        <f t="shared" si="238"/>
        <v>0</v>
      </c>
      <c r="V1035" s="47">
        <f>V1036</f>
        <v>0</v>
      </c>
      <c r="W1035" s="24">
        <f t="shared" si="251"/>
        <v>0</v>
      </c>
      <c r="X1035" s="47">
        <f>X1036</f>
        <v>0</v>
      </c>
      <c r="Y1035" s="24">
        <f t="shared" si="279"/>
        <v>0</v>
      </c>
    </row>
    <row r="1036" spans="1:27" hidden="1" x14ac:dyDescent="0.25">
      <c r="A1036" s="30" t="s">
        <v>66</v>
      </c>
      <c r="B1036" s="56" t="s">
        <v>264</v>
      </c>
      <c r="C1036" s="76" t="s">
        <v>745</v>
      </c>
      <c r="D1036" s="81" t="s">
        <v>42</v>
      </c>
      <c r="E1036" s="27"/>
      <c r="F1036" s="27"/>
      <c r="G1036" s="24"/>
      <c r="H1036" s="39">
        <v>180</v>
      </c>
      <c r="I1036" s="24">
        <f t="shared" si="247"/>
        <v>180</v>
      </c>
      <c r="J1036" s="69"/>
      <c r="K1036" s="24">
        <f t="shared" si="248"/>
        <v>180</v>
      </c>
      <c r="L1036" s="94">
        <v>-180</v>
      </c>
      <c r="M1036" s="24">
        <f t="shared" si="249"/>
        <v>0</v>
      </c>
      <c r="N1036" s="69"/>
      <c r="O1036" s="24">
        <f t="shared" si="250"/>
        <v>0</v>
      </c>
      <c r="P1036" s="69"/>
      <c r="Q1036" s="24">
        <f t="shared" si="275"/>
        <v>0</v>
      </c>
      <c r="R1036" s="69"/>
      <c r="S1036" s="24">
        <f t="shared" si="237"/>
        <v>0</v>
      </c>
      <c r="T1036" s="69"/>
      <c r="U1036" s="24">
        <f t="shared" si="238"/>
        <v>0</v>
      </c>
      <c r="V1036" s="69"/>
      <c r="W1036" s="24">
        <f t="shared" si="251"/>
        <v>0</v>
      </c>
      <c r="X1036" s="69"/>
      <c r="Y1036" s="24">
        <f t="shared" si="279"/>
        <v>0</v>
      </c>
      <c r="AA1036" s="189">
        <f>Y1036+Z1036</f>
        <v>0</v>
      </c>
    </row>
    <row r="1037" spans="1:27" ht="24.75" x14ac:dyDescent="0.25">
      <c r="A1037" s="40" t="s">
        <v>826</v>
      </c>
      <c r="B1037" s="55" t="s">
        <v>264</v>
      </c>
      <c r="C1037" s="54" t="s">
        <v>825</v>
      </c>
      <c r="D1037" s="81"/>
      <c r="E1037" s="27"/>
      <c r="F1037" s="27"/>
      <c r="G1037" s="24"/>
      <c r="H1037" s="39"/>
      <c r="I1037" s="24"/>
      <c r="J1037" s="69"/>
      <c r="K1037" s="24"/>
      <c r="L1037" s="47">
        <f>L1038+L1040</f>
        <v>87.4</v>
      </c>
      <c r="M1037" s="24">
        <f t="shared" si="249"/>
        <v>87.4</v>
      </c>
      <c r="N1037" s="47">
        <f>N1038+N1040</f>
        <v>0</v>
      </c>
      <c r="O1037" s="24">
        <f t="shared" si="250"/>
        <v>87.4</v>
      </c>
      <c r="P1037" s="47">
        <f>P1038+P1040</f>
        <v>0</v>
      </c>
      <c r="Q1037" s="24">
        <f t="shared" si="275"/>
        <v>87.4</v>
      </c>
      <c r="R1037" s="47">
        <f>R1038+R1040</f>
        <v>0</v>
      </c>
      <c r="S1037" s="24">
        <f t="shared" si="237"/>
        <v>87.4</v>
      </c>
      <c r="T1037" s="47">
        <f>T1038+T1040</f>
        <v>253.00000000000003</v>
      </c>
      <c r="U1037" s="24">
        <f t="shared" si="238"/>
        <v>340.40000000000003</v>
      </c>
      <c r="V1037" s="47">
        <f>V1038+V1040</f>
        <v>0</v>
      </c>
      <c r="W1037" s="24">
        <f t="shared" si="251"/>
        <v>340.40000000000003</v>
      </c>
      <c r="X1037" s="47">
        <f>X1038+X1040</f>
        <v>0</v>
      </c>
      <c r="Y1037" s="24">
        <f t="shared" si="279"/>
        <v>340.40000000000003</v>
      </c>
    </row>
    <row r="1038" spans="1:27" s="141" customFormat="1" x14ac:dyDescent="0.25">
      <c r="A1038" s="140" t="s">
        <v>823</v>
      </c>
      <c r="B1038" s="55" t="s">
        <v>264</v>
      </c>
      <c r="C1038" s="75" t="s">
        <v>1228</v>
      </c>
      <c r="D1038" s="49"/>
      <c r="E1038" s="106"/>
      <c r="F1038" s="106"/>
      <c r="G1038" s="104"/>
      <c r="H1038" s="91"/>
      <c r="I1038" s="104"/>
      <c r="J1038" s="84"/>
      <c r="K1038" s="104"/>
      <c r="L1038" s="85">
        <f>L1039</f>
        <v>49</v>
      </c>
      <c r="M1038" s="104">
        <f t="shared" si="249"/>
        <v>49</v>
      </c>
      <c r="N1038" s="85">
        <f>N1039</f>
        <v>0</v>
      </c>
      <c r="O1038" s="104">
        <f t="shared" si="250"/>
        <v>49</v>
      </c>
      <c r="P1038" s="85">
        <f>P1039</f>
        <v>0</v>
      </c>
      <c r="Q1038" s="104">
        <f t="shared" si="275"/>
        <v>49</v>
      </c>
      <c r="R1038" s="85">
        <f>R1039</f>
        <v>0</v>
      </c>
      <c r="S1038" s="104">
        <f t="shared" si="237"/>
        <v>49</v>
      </c>
      <c r="T1038" s="85">
        <f>T1039</f>
        <v>291.40000000000003</v>
      </c>
      <c r="U1038" s="104">
        <f t="shared" si="238"/>
        <v>340.40000000000003</v>
      </c>
      <c r="V1038" s="85">
        <f>V1039</f>
        <v>0</v>
      </c>
      <c r="W1038" s="104">
        <f t="shared" si="251"/>
        <v>340.40000000000003</v>
      </c>
      <c r="X1038" s="85">
        <f>X1039</f>
        <v>0</v>
      </c>
      <c r="Y1038" s="104">
        <f t="shared" si="279"/>
        <v>340.40000000000003</v>
      </c>
      <c r="Z1038" s="194"/>
    </row>
    <row r="1039" spans="1:27" s="141" customFormat="1" x14ac:dyDescent="0.25">
      <c r="A1039" s="30" t="s">
        <v>66</v>
      </c>
      <c r="B1039" s="56" t="s">
        <v>264</v>
      </c>
      <c r="C1039" s="81" t="s">
        <v>1228</v>
      </c>
      <c r="D1039" s="49" t="s">
        <v>42</v>
      </c>
      <c r="E1039" s="106"/>
      <c r="F1039" s="106"/>
      <c r="G1039" s="104"/>
      <c r="H1039" s="91"/>
      <c r="I1039" s="104"/>
      <c r="J1039" s="84"/>
      <c r="K1039" s="104"/>
      <c r="L1039" s="102">
        <f>49</f>
        <v>49</v>
      </c>
      <c r="M1039" s="104">
        <f t="shared" si="249"/>
        <v>49</v>
      </c>
      <c r="N1039" s="84"/>
      <c r="O1039" s="104">
        <f t="shared" si="250"/>
        <v>49</v>
      </c>
      <c r="P1039" s="84"/>
      <c r="Q1039" s="104">
        <f t="shared" si="275"/>
        <v>49</v>
      </c>
      <c r="R1039" s="84"/>
      <c r="S1039" s="104">
        <f t="shared" si="237"/>
        <v>49</v>
      </c>
      <c r="T1039" s="149">
        <f>277.1+14.3</f>
        <v>291.40000000000003</v>
      </c>
      <c r="U1039" s="104">
        <f t="shared" si="238"/>
        <v>340.40000000000003</v>
      </c>
      <c r="V1039" s="84"/>
      <c r="W1039" s="104">
        <f t="shared" si="251"/>
        <v>340.40000000000003</v>
      </c>
      <c r="X1039" s="84"/>
      <c r="Y1039" s="104">
        <f t="shared" si="279"/>
        <v>340.40000000000003</v>
      </c>
      <c r="Z1039" s="194"/>
      <c r="AA1039" s="189">
        <f>Y1039+Z1039</f>
        <v>340.40000000000003</v>
      </c>
    </row>
    <row r="1040" spans="1:27" s="141" customFormat="1" hidden="1" x14ac:dyDescent="0.25">
      <c r="A1040" s="140" t="s">
        <v>824</v>
      </c>
      <c r="B1040" s="55" t="s">
        <v>264</v>
      </c>
      <c r="C1040" s="75" t="s">
        <v>1229</v>
      </c>
      <c r="D1040" s="49"/>
      <c r="E1040" s="106"/>
      <c r="F1040" s="106"/>
      <c r="G1040" s="104"/>
      <c r="H1040" s="91"/>
      <c r="I1040" s="104"/>
      <c r="J1040" s="84"/>
      <c r="K1040" s="104"/>
      <c r="L1040" s="85">
        <f>L1041</f>
        <v>38.4</v>
      </c>
      <c r="M1040" s="104">
        <f t="shared" si="249"/>
        <v>38.4</v>
      </c>
      <c r="N1040" s="85">
        <f>N1041</f>
        <v>0</v>
      </c>
      <c r="O1040" s="104">
        <f t="shared" si="250"/>
        <v>38.4</v>
      </c>
      <c r="P1040" s="85">
        <f>P1041</f>
        <v>0</v>
      </c>
      <c r="Q1040" s="104">
        <f t="shared" si="275"/>
        <v>38.4</v>
      </c>
      <c r="R1040" s="85">
        <f>R1041</f>
        <v>0</v>
      </c>
      <c r="S1040" s="104">
        <f t="shared" si="237"/>
        <v>38.4</v>
      </c>
      <c r="T1040" s="85">
        <f>T1041</f>
        <v>-38.400000000000006</v>
      </c>
      <c r="U1040" s="104">
        <f t="shared" si="238"/>
        <v>0</v>
      </c>
      <c r="V1040" s="85">
        <f>V1041</f>
        <v>0</v>
      </c>
      <c r="W1040" s="104">
        <f t="shared" si="251"/>
        <v>0</v>
      </c>
      <c r="X1040" s="85">
        <f>X1041</f>
        <v>0</v>
      </c>
      <c r="Y1040" s="104">
        <f t="shared" si="279"/>
        <v>0</v>
      </c>
      <c r="Z1040" s="194"/>
    </row>
    <row r="1041" spans="1:27" s="141" customFormat="1" hidden="1" x14ac:dyDescent="0.25">
      <c r="A1041" s="30" t="s">
        <v>66</v>
      </c>
      <c r="B1041" s="56" t="s">
        <v>264</v>
      </c>
      <c r="C1041" s="81" t="s">
        <v>1229</v>
      </c>
      <c r="D1041" s="49" t="s">
        <v>42</v>
      </c>
      <c r="E1041" s="106"/>
      <c r="F1041" s="106"/>
      <c r="G1041" s="104"/>
      <c r="H1041" s="91"/>
      <c r="I1041" s="104"/>
      <c r="J1041" s="84"/>
      <c r="K1041" s="104"/>
      <c r="L1041" s="102">
        <f>38.4</f>
        <v>38.4</v>
      </c>
      <c r="M1041" s="104">
        <f t="shared" si="249"/>
        <v>38.4</v>
      </c>
      <c r="N1041" s="84"/>
      <c r="O1041" s="104">
        <f t="shared" si="250"/>
        <v>38.4</v>
      </c>
      <c r="P1041" s="84"/>
      <c r="Q1041" s="104">
        <f t="shared" si="275"/>
        <v>38.4</v>
      </c>
      <c r="R1041" s="84"/>
      <c r="S1041" s="104">
        <f t="shared" si="237"/>
        <v>38.4</v>
      </c>
      <c r="T1041" s="149">
        <f>217.5-38.4-217.5</f>
        <v>-38.400000000000006</v>
      </c>
      <c r="U1041" s="104">
        <f t="shared" si="238"/>
        <v>0</v>
      </c>
      <c r="V1041" s="84"/>
      <c r="W1041" s="104">
        <f t="shared" si="251"/>
        <v>0</v>
      </c>
      <c r="X1041" s="84"/>
      <c r="Y1041" s="104">
        <f t="shared" si="279"/>
        <v>0</v>
      </c>
      <c r="Z1041" s="194"/>
      <c r="AA1041" s="189">
        <f>Y1041+Z1041</f>
        <v>0</v>
      </c>
    </row>
    <row r="1042" spans="1:27" s="141" customFormat="1" x14ac:dyDescent="0.25">
      <c r="A1042" s="22" t="s">
        <v>1225</v>
      </c>
      <c r="B1042" s="55" t="s">
        <v>264</v>
      </c>
      <c r="C1042" s="41" t="s">
        <v>819</v>
      </c>
      <c r="D1042" s="49"/>
      <c r="E1042" s="106"/>
      <c r="F1042" s="106"/>
      <c r="G1042" s="104"/>
      <c r="H1042" s="91"/>
      <c r="I1042" s="104"/>
      <c r="J1042" s="84"/>
      <c r="K1042" s="104"/>
      <c r="L1042" s="102"/>
      <c r="M1042" s="104"/>
      <c r="N1042" s="84"/>
      <c r="O1042" s="104"/>
      <c r="P1042" s="85">
        <f>P1043+P1045+P1047+P1049+P1051+P1053+P1055+P1057+P1059+P1061+P1063+P1065+P1067+P1069+P1071+P1073+P1075+P1077+P1079+P1081</f>
        <v>12434.199999999999</v>
      </c>
      <c r="Q1042" s="104">
        <f t="shared" si="275"/>
        <v>12434.199999999999</v>
      </c>
      <c r="R1042" s="85">
        <f>R1043+R1045+R1047+R1049+R1051+R1053+R1055+R1057+R1059+R1061+R1063+R1065+R1067+R1069+R1071+R1073+R1075+R1077+R1079+R1081</f>
        <v>-6792.5000000000009</v>
      </c>
      <c r="S1042" s="104">
        <f t="shared" si="237"/>
        <v>5641.699999999998</v>
      </c>
      <c r="T1042" s="85">
        <f>T1043+T1045+T1047+T1049+T1051+T1053+T1055+T1057+T1059+T1061+T1063+T1065+T1067+T1069+T1071+T1073+T1075+T1077+T1079+T1081+T1083+T1085+T1087+T1089+T1091+T1093+T1095+T1097+T1099+T1101+T1103+T1105+T1109+T1111+T1113+T1115</f>
        <v>0</v>
      </c>
      <c r="U1042" s="104">
        <f t="shared" si="238"/>
        <v>5641.699999999998</v>
      </c>
      <c r="V1042" s="85">
        <f>V1043+V1045+V1047+V1049+V1051+V1053+V1055+V1057+V1059+V1061+V1063+V1065+V1067+V1069+V1071+V1073+V1075+V1077+V1079+V1081+V1083+V1085+V1087+V1089+V1091+V1093+V1095+V1097+V1099+V1101+V1103+V1105+V1109+V1111+V1113+V1115+V1107</f>
        <v>5727.2</v>
      </c>
      <c r="W1042" s="104">
        <f t="shared" si="251"/>
        <v>11368.899999999998</v>
      </c>
      <c r="X1042" s="85">
        <f>X1043+X1045+X1047+X1049+X1051+X1053+X1055+X1057+X1059+X1061+X1063+X1065+X1067+X1069+X1071+X1073+X1075+X1077+X1079+X1081+X1083+X1085+X1087+X1089+X1091+X1093+X1095+X1097+X1099+X1101+X1103+X1105+X1109+X1111+X1113+X1115+X1107</f>
        <v>-3550.6</v>
      </c>
      <c r="Y1042" s="104">
        <f t="shared" si="279"/>
        <v>7818.2999999999975</v>
      </c>
      <c r="Z1042" s="194"/>
    </row>
    <row r="1043" spans="1:27" s="141" customFormat="1" hidden="1" x14ac:dyDescent="0.25">
      <c r="A1043" s="40" t="s">
        <v>775</v>
      </c>
      <c r="B1043" s="55" t="s">
        <v>264</v>
      </c>
      <c r="C1043" s="75" t="s">
        <v>776</v>
      </c>
      <c r="D1043" s="81"/>
      <c r="E1043" s="106"/>
      <c r="F1043" s="106"/>
      <c r="G1043" s="104"/>
      <c r="H1043" s="91"/>
      <c r="I1043" s="104"/>
      <c r="J1043" s="85">
        <f>J1044</f>
        <v>67.7</v>
      </c>
      <c r="K1043" s="104">
        <f t="shared" si="248"/>
        <v>67.7</v>
      </c>
      <c r="L1043" s="85">
        <f>L1044</f>
        <v>-67.7</v>
      </c>
      <c r="M1043" s="104">
        <f t="shared" si="249"/>
        <v>0</v>
      </c>
      <c r="N1043" s="85">
        <f>N1044</f>
        <v>0</v>
      </c>
      <c r="O1043" s="104">
        <f t="shared" si="250"/>
        <v>0</v>
      </c>
      <c r="P1043" s="85">
        <f>P1044</f>
        <v>0</v>
      </c>
      <c r="Q1043" s="104">
        <f t="shared" si="275"/>
        <v>0</v>
      </c>
      <c r="R1043" s="85">
        <f>R1044</f>
        <v>0</v>
      </c>
      <c r="S1043" s="104">
        <f t="shared" si="237"/>
        <v>0</v>
      </c>
      <c r="T1043" s="85">
        <f>T1044</f>
        <v>0</v>
      </c>
      <c r="U1043" s="104">
        <f t="shared" si="238"/>
        <v>0</v>
      </c>
      <c r="V1043" s="85">
        <f>V1044</f>
        <v>0</v>
      </c>
      <c r="W1043" s="104">
        <f t="shared" si="251"/>
        <v>0</v>
      </c>
      <c r="X1043" s="85">
        <f>X1044</f>
        <v>0</v>
      </c>
      <c r="Y1043" s="104">
        <f t="shared" si="279"/>
        <v>0</v>
      </c>
      <c r="Z1043" s="194"/>
    </row>
    <row r="1044" spans="1:27" s="141" customFormat="1" hidden="1" x14ac:dyDescent="0.25">
      <c r="A1044" s="30" t="s">
        <v>66</v>
      </c>
      <c r="B1044" s="56" t="s">
        <v>264</v>
      </c>
      <c r="C1044" s="81" t="s">
        <v>776</v>
      </c>
      <c r="D1044" s="81" t="s">
        <v>42</v>
      </c>
      <c r="E1044" s="106"/>
      <c r="F1044" s="106"/>
      <c r="G1044" s="104"/>
      <c r="H1044" s="91"/>
      <c r="I1044" s="104"/>
      <c r="J1044" s="91">
        <v>67.7</v>
      </c>
      <c r="K1044" s="104">
        <f t="shared" si="248"/>
        <v>67.7</v>
      </c>
      <c r="L1044" s="102">
        <v>-67.7</v>
      </c>
      <c r="M1044" s="104">
        <f t="shared" si="249"/>
        <v>0</v>
      </c>
      <c r="N1044" s="84"/>
      <c r="O1044" s="104">
        <f t="shared" si="250"/>
        <v>0</v>
      </c>
      <c r="P1044" s="84"/>
      <c r="Q1044" s="104">
        <f t="shared" si="275"/>
        <v>0</v>
      </c>
      <c r="R1044" s="84"/>
      <c r="S1044" s="104">
        <f t="shared" si="237"/>
        <v>0</v>
      </c>
      <c r="T1044" s="84"/>
      <c r="U1044" s="104">
        <f t="shared" si="238"/>
        <v>0</v>
      </c>
      <c r="V1044" s="84"/>
      <c r="W1044" s="104">
        <f t="shared" si="251"/>
        <v>0</v>
      </c>
      <c r="X1044" s="84"/>
      <c r="Y1044" s="104">
        <f t="shared" si="279"/>
        <v>0</v>
      </c>
      <c r="Z1044" s="194"/>
      <c r="AA1044" s="189">
        <f>Y1044+Z1044</f>
        <v>0</v>
      </c>
    </row>
    <row r="1045" spans="1:27" x14ac:dyDescent="0.25">
      <c r="A1045" s="133" t="s">
        <v>913</v>
      </c>
      <c r="B1045" s="75" t="s">
        <v>264</v>
      </c>
      <c r="C1045" s="134" t="s">
        <v>1069</v>
      </c>
      <c r="D1045" s="76"/>
      <c r="E1045" s="47"/>
      <c r="F1045" s="47"/>
      <c r="G1045" s="47"/>
      <c r="H1045" s="83"/>
      <c r="I1045" s="47"/>
      <c r="J1045" s="83"/>
      <c r="K1045" s="47"/>
      <c r="L1045" s="83"/>
      <c r="M1045" s="47"/>
      <c r="N1045" s="83"/>
      <c r="O1045" s="47"/>
      <c r="P1045" s="79">
        <f>P1046</f>
        <v>250</v>
      </c>
      <c r="Q1045" s="47">
        <f t="shared" ref="Q1045:Q1082" si="280">O1045+P1045</f>
        <v>250</v>
      </c>
      <c r="R1045" s="79">
        <f>R1046</f>
        <v>-150</v>
      </c>
      <c r="S1045" s="47">
        <f t="shared" si="237"/>
        <v>100</v>
      </c>
      <c r="T1045" s="79">
        <f>T1046</f>
        <v>0</v>
      </c>
      <c r="U1045" s="47">
        <f t="shared" si="238"/>
        <v>100</v>
      </c>
      <c r="V1045" s="79">
        <f>V1046</f>
        <v>0</v>
      </c>
      <c r="W1045" s="47">
        <f t="shared" si="251"/>
        <v>100</v>
      </c>
      <c r="X1045" s="79">
        <f>X1046</f>
        <v>0</v>
      </c>
      <c r="Y1045" s="47">
        <f t="shared" si="279"/>
        <v>100</v>
      </c>
    </row>
    <row r="1046" spans="1:27" x14ac:dyDescent="0.25">
      <c r="A1046" s="135" t="s">
        <v>66</v>
      </c>
      <c r="B1046" s="81" t="s">
        <v>264</v>
      </c>
      <c r="C1046" s="136" t="s">
        <v>1069</v>
      </c>
      <c r="D1046" s="81" t="s">
        <v>42</v>
      </c>
      <c r="E1046" s="47"/>
      <c r="F1046" s="47"/>
      <c r="G1046" s="47"/>
      <c r="H1046" s="83"/>
      <c r="I1046" s="47"/>
      <c r="J1046" s="83"/>
      <c r="K1046" s="47"/>
      <c r="L1046" s="83"/>
      <c r="M1046" s="47"/>
      <c r="N1046" s="83"/>
      <c r="O1046" s="47"/>
      <c r="P1046" s="95">
        <v>250</v>
      </c>
      <c r="Q1046" s="47">
        <f t="shared" si="280"/>
        <v>250</v>
      </c>
      <c r="R1046" s="80">
        <v>-150</v>
      </c>
      <c r="S1046" s="47">
        <f t="shared" si="237"/>
        <v>100</v>
      </c>
      <c r="T1046" s="83"/>
      <c r="U1046" s="47">
        <f t="shared" si="238"/>
        <v>100</v>
      </c>
      <c r="V1046" s="83"/>
      <c r="W1046" s="47">
        <f t="shared" si="251"/>
        <v>100</v>
      </c>
      <c r="X1046" s="83"/>
      <c r="Y1046" s="47">
        <f t="shared" si="279"/>
        <v>100</v>
      </c>
      <c r="AA1046" s="189">
        <f>Y1046+Z1046</f>
        <v>100</v>
      </c>
    </row>
    <row r="1047" spans="1:27" x14ac:dyDescent="0.25">
      <c r="A1047" s="137" t="s">
        <v>914</v>
      </c>
      <c r="B1047" s="75" t="s">
        <v>264</v>
      </c>
      <c r="C1047" s="134" t="s">
        <v>1070</v>
      </c>
      <c r="D1047" s="76"/>
      <c r="E1047" s="47"/>
      <c r="F1047" s="47"/>
      <c r="G1047" s="47"/>
      <c r="H1047" s="83"/>
      <c r="I1047" s="47"/>
      <c r="J1047" s="83"/>
      <c r="K1047" s="47"/>
      <c r="L1047" s="83"/>
      <c r="M1047" s="47"/>
      <c r="N1047" s="83"/>
      <c r="O1047" s="47"/>
      <c r="P1047" s="79">
        <f t="shared" ref="P1047:X1047" si="281">P1048</f>
        <v>250</v>
      </c>
      <c r="Q1047" s="47">
        <f t="shared" si="280"/>
        <v>250</v>
      </c>
      <c r="R1047" s="79">
        <f t="shared" si="281"/>
        <v>-150</v>
      </c>
      <c r="S1047" s="47">
        <f t="shared" si="237"/>
        <v>100</v>
      </c>
      <c r="T1047" s="79">
        <f t="shared" si="281"/>
        <v>0</v>
      </c>
      <c r="U1047" s="47">
        <f t="shared" si="238"/>
        <v>100</v>
      </c>
      <c r="V1047" s="79">
        <f t="shared" si="281"/>
        <v>0</v>
      </c>
      <c r="W1047" s="47">
        <f t="shared" si="251"/>
        <v>100</v>
      </c>
      <c r="X1047" s="79">
        <f t="shared" si="281"/>
        <v>0</v>
      </c>
      <c r="Y1047" s="47">
        <f t="shared" si="279"/>
        <v>100</v>
      </c>
    </row>
    <row r="1048" spans="1:27" x14ac:dyDescent="0.25">
      <c r="A1048" s="135" t="s">
        <v>66</v>
      </c>
      <c r="B1048" s="81" t="s">
        <v>264</v>
      </c>
      <c r="C1048" s="136" t="s">
        <v>1070</v>
      </c>
      <c r="D1048" s="81" t="s">
        <v>42</v>
      </c>
      <c r="E1048" s="47"/>
      <c r="F1048" s="47"/>
      <c r="G1048" s="47"/>
      <c r="H1048" s="83"/>
      <c r="I1048" s="47"/>
      <c r="J1048" s="83"/>
      <c r="K1048" s="47"/>
      <c r="L1048" s="83"/>
      <c r="M1048" s="47"/>
      <c r="N1048" s="83"/>
      <c r="O1048" s="47"/>
      <c r="P1048" s="95">
        <v>250</v>
      </c>
      <c r="Q1048" s="47">
        <f t="shared" si="280"/>
        <v>250</v>
      </c>
      <c r="R1048" s="80">
        <v>-150</v>
      </c>
      <c r="S1048" s="47">
        <f t="shared" si="237"/>
        <v>100</v>
      </c>
      <c r="T1048" s="83"/>
      <c r="U1048" s="47">
        <f t="shared" si="238"/>
        <v>100</v>
      </c>
      <c r="V1048" s="83"/>
      <c r="W1048" s="47">
        <f t="shared" si="251"/>
        <v>100</v>
      </c>
      <c r="X1048" s="83"/>
      <c r="Y1048" s="47">
        <f t="shared" si="279"/>
        <v>100</v>
      </c>
      <c r="AA1048" s="189">
        <f>Y1048+Z1048</f>
        <v>100</v>
      </c>
    </row>
    <row r="1049" spans="1:27" ht="17.25" customHeight="1" x14ac:dyDescent="0.25">
      <c r="A1049" s="137" t="s">
        <v>915</v>
      </c>
      <c r="B1049" s="75" t="s">
        <v>264</v>
      </c>
      <c r="C1049" s="134" t="s">
        <v>1071</v>
      </c>
      <c r="D1049" s="76"/>
      <c r="E1049" s="47"/>
      <c r="F1049" s="47"/>
      <c r="G1049" s="47"/>
      <c r="H1049" s="83"/>
      <c r="I1049" s="47"/>
      <c r="J1049" s="83"/>
      <c r="K1049" s="47"/>
      <c r="L1049" s="83"/>
      <c r="M1049" s="47"/>
      <c r="N1049" s="83"/>
      <c r="O1049" s="47"/>
      <c r="P1049" s="79">
        <f t="shared" ref="P1049:X1049" si="282">P1050</f>
        <v>127.6</v>
      </c>
      <c r="Q1049" s="47">
        <f t="shared" si="280"/>
        <v>127.6</v>
      </c>
      <c r="R1049" s="79">
        <f t="shared" si="282"/>
        <v>-76.599999999999994</v>
      </c>
      <c r="S1049" s="47">
        <f t="shared" si="237"/>
        <v>51</v>
      </c>
      <c r="T1049" s="79">
        <f t="shared" si="282"/>
        <v>0</v>
      </c>
      <c r="U1049" s="47">
        <f t="shared" si="238"/>
        <v>51</v>
      </c>
      <c r="V1049" s="79">
        <f t="shared" si="282"/>
        <v>0</v>
      </c>
      <c r="W1049" s="47">
        <f t="shared" si="251"/>
        <v>51</v>
      </c>
      <c r="X1049" s="79">
        <f t="shared" si="282"/>
        <v>0</v>
      </c>
      <c r="Y1049" s="47">
        <f t="shared" si="279"/>
        <v>51</v>
      </c>
    </row>
    <row r="1050" spans="1:27" x14ac:dyDescent="0.25">
      <c r="A1050" s="135" t="s">
        <v>66</v>
      </c>
      <c r="B1050" s="81" t="s">
        <v>264</v>
      </c>
      <c r="C1050" s="136" t="s">
        <v>1071</v>
      </c>
      <c r="D1050" s="81" t="s">
        <v>42</v>
      </c>
      <c r="E1050" s="47"/>
      <c r="F1050" s="47"/>
      <c r="G1050" s="47"/>
      <c r="H1050" s="83"/>
      <c r="I1050" s="47"/>
      <c r="J1050" s="83"/>
      <c r="K1050" s="47"/>
      <c r="L1050" s="83"/>
      <c r="M1050" s="47"/>
      <c r="N1050" s="83"/>
      <c r="O1050" s="47"/>
      <c r="P1050" s="95">
        <v>127.6</v>
      </c>
      <c r="Q1050" s="47">
        <f t="shared" si="280"/>
        <v>127.6</v>
      </c>
      <c r="R1050" s="80">
        <v>-76.599999999999994</v>
      </c>
      <c r="S1050" s="47">
        <f t="shared" si="237"/>
        <v>51</v>
      </c>
      <c r="T1050" s="83"/>
      <c r="U1050" s="47">
        <f t="shared" si="238"/>
        <v>51</v>
      </c>
      <c r="V1050" s="83"/>
      <c r="W1050" s="47">
        <f t="shared" si="251"/>
        <v>51</v>
      </c>
      <c r="X1050" s="83"/>
      <c r="Y1050" s="47">
        <f t="shared" si="279"/>
        <v>51</v>
      </c>
      <c r="AA1050" s="189">
        <f>Y1050+Z1050</f>
        <v>51</v>
      </c>
    </row>
    <row r="1051" spans="1:27" x14ac:dyDescent="0.25">
      <c r="A1051" s="137" t="s">
        <v>917</v>
      </c>
      <c r="B1051" s="75" t="s">
        <v>264</v>
      </c>
      <c r="C1051" s="134" t="s">
        <v>1073</v>
      </c>
      <c r="D1051" s="76"/>
      <c r="E1051" s="47"/>
      <c r="F1051" s="47"/>
      <c r="G1051" s="47"/>
      <c r="H1051" s="83"/>
      <c r="I1051" s="47"/>
      <c r="J1051" s="83"/>
      <c r="K1051" s="47"/>
      <c r="L1051" s="83"/>
      <c r="M1051" s="47"/>
      <c r="N1051" s="83"/>
      <c r="O1051" s="47"/>
      <c r="P1051" s="79">
        <f t="shared" ref="P1051:X1051" si="283">P1052</f>
        <v>250.1</v>
      </c>
      <c r="Q1051" s="47">
        <f t="shared" si="280"/>
        <v>250.1</v>
      </c>
      <c r="R1051" s="79">
        <f t="shared" si="283"/>
        <v>-150</v>
      </c>
      <c r="S1051" s="47">
        <f t="shared" si="237"/>
        <v>100.1</v>
      </c>
      <c r="T1051" s="79">
        <f t="shared" si="283"/>
        <v>0</v>
      </c>
      <c r="U1051" s="47">
        <f t="shared" si="238"/>
        <v>100.1</v>
      </c>
      <c r="V1051" s="79">
        <f t="shared" si="283"/>
        <v>0</v>
      </c>
      <c r="W1051" s="47">
        <f t="shared" si="251"/>
        <v>100.1</v>
      </c>
      <c r="X1051" s="79">
        <f t="shared" si="283"/>
        <v>0</v>
      </c>
      <c r="Y1051" s="47">
        <f t="shared" si="279"/>
        <v>100.1</v>
      </c>
    </row>
    <row r="1052" spans="1:27" x14ac:dyDescent="0.25">
      <c r="A1052" s="135" t="s">
        <v>66</v>
      </c>
      <c r="B1052" s="81" t="s">
        <v>264</v>
      </c>
      <c r="C1052" s="136" t="s">
        <v>1073</v>
      </c>
      <c r="D1052" s="81" t="s">
        <v>42</v>
      </c>
      <c r="E1052" s="47"/>
      <c r="F1052" s="47"/>
      <c r="G1052" s="47"/>
      <c r="H1052" s="83"/>
      <c r="I1052" s="47"/>
      <c r="J1052" s="83"/>
      <c r="K1052" s="47"/>
      <c r="L1052" s="83"/>
      <c r="M1052" s="47"/>
      <c r="N1052" s="83"/>
      <c r="O1052" s="47"/>
      <c r="P1052" s="95">
        <v>250.1</v>
      </c>
      <c r="Q1052" s="47">
        <f t="shared" si="280"/>
        <v>250.1</v>
      </c>
      <c r="R1052" s="80">
        <v>-150</v>
      </c>
      <c r="S1052" s="47">
        <f t="shared" si="237"/>
        <v>100.1</v>
      </c>
      <c r="T1052" s="83"/>
      <c r="U1052" s="47">
        <f t="shared" si="238"/>
        <v>100.1</v>
      </c>
      <c r="V1052" s="83"/>
      <c r="W1052" s="47">
        <f t="shared" si="251"/>
        <v>100.1</v>
      </c>
      <c r="X1052" s="83"/>
      <c r="Y1052" s="47">
        <f t="shared" si="279"/>
        <v>100.1</v>
      </c>
      <c r="AA1052" s="189">
        <f>Y1052+Z1052</f>
        <v>100.1</v>
      </c>
    </row>
    <row r="1053" spans="1:27" ht="24" x14ac:dyDescent="0.25">
      <c r="A1053" s="133" t="s">
        <v>929</v>
      </c>
      <c r="B1053" s="75" t="s">
        <v>264</v>
      </c>
      <c r="C1053" s="134" t="s">
        <v>1085</v>
      </c>
      <c r="D1053" s="76"/>
      <c r="E1053" s="47"/>
      <c r="F1053" s="47"/>
      <c r="G1053" s="47"/>
      <c r="H1053" s="83"/>
      <c r="I1053" s="47"/>
      <c r="J1053" s="83"/>
      <c r="K1053" s="47"/>
      <c r="L1053" s="83"/>
      <c r="M1053" s="47"/>
      <c r="N1053" s="83"/>
      <c r="O1053" s="47"/>
      <c r="P1053" s="79">
        <f t="shared" ref="P1053:X1053" si="284">P1054</f>
        <v>108</v>
      </c>
      <c r="Q1053" s="47">
        <f t="shared" si="280"/>
        <v>108</v>
      </c>
      <c r="R1053" s="79">
        <f t="shared" si="284"/>
        <v>-64.8</v>
      </c>
      <c r="S1053" s="47">
        <f t="shared" si="237"/>
        <v>43.2</v>
      </c>
      <c r="T1053" s="79">
        <f t="shared" si="284"/>
        <v>0</v>
      </c>
      <c r="U1053" s="47">
        <f t="shared" si="238"/>
        <v>43.2</v>
      </c>
      <c r="V1053" s="79">
        <f t="shared" si="284"/>
        <v>0</v>
      </c>
      <c r="W1053" s="47">
        <f t="shared" si="251"/>
        <v>43.2</v>
      </c>
      <c r="X1053" s="79">
        <f t="shared" si="284"/>
        <v>0</v>
      </c>
      <c r="Y1053" s="47">
        <f t="shared" si="279"/>
        <v>43.2</v>
      </c>
    </row>
    <row r="1054" spans="1:27" x14ac:dyDescent="0.25">
      <c r="A1054" s="135" t="s">
        <v>66</v>
      </c>
      <c r="B1054" s="81" t="s">
        <v>264</v>
      </c>
      <c r="C1054" s="136" t="s">
        <v>1085</v>
      </c>
      <c r="D1054" s="81" t="s">
        <v>42</v>
      </c>
      <c r="E1054" s="47"/>
      <c r="F1054" s="47"/>
      <c r="G1054" s="47"/>
      <c r="H1054" s="83"/>
      <c r="I1054" s="47"/>
      <c r="J1054" s="83"/>
      <c r="K1054" s="47"/>
      <c r="L1054" s="83"/>
      <c r="M1054" s="47"/>
      <c r="N1054" s="83"/>
      <c r="O1054" s="47"/>
      <c r="P1054" s="95">
        <v>108</v>
      </c>
      <c r="Q1054" s="47">
        <f t="shared" si="280"/>
        <v>108</v>
      </c>
      <c r="R1054" s="80">
        <v>-64.8</v>
      </c>
      <c r="S1054" s="47">
        <f t="shared" si="237"/>
        <v>43.2</v>
      </c>
      <c r="T1054" s="83"/>
      <c r="U1054" s="47">
        <f t="shared" si="238"/>
        <v>43.2</v>
      </c>
      <c r="V1054" s="83"/>
      <c r="W1054" s="47">
        <f t="shared" si="251"/>
        <v>43.2</v>
      </c>
      <c r="X1054" s="83"/>
      <c r="Y1054" s="47">
        <f t="shared" si="279"/>
        <v>43.2</v>
      </c>
      <c r="AA1054" s="189">
        <f>Y1054+Z1054</f>
        <v>43.2</v>
      </c>
    </row>
    <row r="1055" spans="1:27" x14ac:dyDescent="0.25">
      <c r="A1055" s="133" t="s">
        <v>934</v>
      </c>
      <c r="B1055" s="75" t="s">
        <v>264</v>
      </c>
      <c r="C1055" s="134" t="s">
        <v>1090</v>
      </c>
      <c r="D1055" s="76"/>
      <c r="E1055" s="47"/>
      <c r="F1055" s="47"/>
      <c r="G1055" s="47"/>
      <c r="H1055" s="83"/>
      <c r="I1055" s="47"/>
      <c r="J1055" s="83"/>
      <c r="K1055" s="47"/>
      <c r="L1055" s="83"/>
      <c r="M1055" s="47"/>
      <c r="N1055" s="83"/>
      <c r="O1055" s="47"/>
      <c r="P1055" s="79">
        <f t="shared" ref="P1055:X1055" si="285">P1056</f>
        <v>900</v>
      </c>
      <c r="Q1055" s="47">
        <f t="shared" si="280"/>
        <v>900</v>
      </c>
      <c r="R1055" s="79">
        <f t="shared" si="285"/>
        <v>-540</v>
      </c>
      <c r="S1055" s="47">
        <f t="shared" si="237"/>
        <v>360</v>
      </c>
      <c r="T1055" s="79">
        <f t="shared" si="285"/>
        <v>0</v>
      </c>
      <c r="U1055" s="47">
        <f t="shared" si="238"/>
        <v>360</v>
      </c>
      <c r="V1055" s="79">
        <f t="shared" si="285"/>
        <v>0</v>
      </c>
      <c r="W1055" s="47">
        <f t="shared" si="251"/>
        <v>360</v>
      </c>
      <c r="X1055" s="79">
        <f t="shared" si="285"/>
        <v>0</v>
      </c>
      <c r="Y1055" s="47">
        <f t="shared" si="279"/>
        <v>360</v>
      </c>
    </row>
    <row r="1056" spans="1:27" x14ac:dyDescent="0.25">
      <c r="A1056" s="135" t="s">
        <v>66</v>
      </c>
      <c r="B1056" s="81" t="s">
        <v>264</v>
      </c>
      <c r="C1056" s="136" t="s">
        <v>1090</v>
      </c>
      <c r="D1056" s="81" t="s">
        <v>42</v>
      </c>
      <c r="E1056" s="47"/>
      <c r="F1056" s="47"/>
      <c r="G1056" s="47"/>
      <c r="H1056" s="83"/>
      <c r="I1056" s="47"/>
      <c r="J1056" s="83"/>
      <c r="K1056" s="47"/>
      <c r="L1056" s="83"/>
      <c r="M1056" s="47"/>
      <c r="N1056" s="83"/>
      <c r="O1056" s="47"/>
      <c r="P1056" s="95">
        <v>900</v>
      </c>
      <c r="Q1056" s="47">
        <f t="shared" si="280"/>
        <v>900</v>
      </c>
      <c r="R1056" s="80">
        <v>-540</v>
      </c>
      <c r="S1056" s="47">
        <f t="shared" si="237"/>
        <v>360</v>
      </c>
      <c r="T1056" s="83"/>
      <c r="U1056" s="47">
        <f t="shared" si="238"/>
        <v>360</v>
      </c>
      <c r="V1056" s="83"/>
      <c r="W1056" s="47">
        <f t="shared" si="251"/>
        <v>360</v>
      </c>
      <c r="X1056" s="83"/>
      <c r="Y1056" s="47">
        <f t="shared" si="279"/>
        <v>360</v>
      </c>
      <c r="AA1056" s="189">
        <f>Y1056+Z1056</f>
        <v>360</v>
      </c>
    </row>
    <row r="1057" spans="1:27" ht="24" x14ac:dyDescent="0.25">
      <c r="A1057" s="133" t="s">
        <v>945</v>
      </c>
      <c r="B1057" s="75" t="s">
        <v>264</v>
      </c>
      <c r="C1057" s="134" t="s">
        <v>1101</v>
      </c>
      <c r="D1057" s="76"/>
      <c r="E1057" s="47"/>
      <c r="F1057" s="47"/>
      <c r="G1057" s="47"/>
      <c r="H1057" s="83"/>
      <c r="I1057" s="47"/>
      <c r="J1057" s="83"/>
      <c r="K1057" s="47"/>
      <c r="L1057" s="83"/>
      <c r="M1057" s="47"/>
      <c r="N1057" s="83"/>
      <c r="O1057" s="47"/>
      <c r="P1057" s="79">
        <f t="shared" ref="P1057:X1057" si="286">P1058</f>
        <v>180</v>
      </c>
      <c r="Q1057" s="47">
        <f t="shared" si="280"/>
        <v>180</v>
      </c>
      <c r="R1057" s="79">
        <f t="shared" si="286"/>
        <v>-108</v>
      </c>
      <c r="S1057" s="47">
        <f t="shared" si="237"/>
        <v>72</v>
      </c>
      <c r="T1057" s="79">
        <f t="shared" si="286"/>
        <v>0</v>
      </c>
      <c r="U1057" s="47">
        <f t="shared" si="238"/>
        <v>72</v>
      </c>
      <c r="V1057" s="79">
        <f t="shared" si="286"/>
        <v>0</v>
      </c>
      <c r="W1057" s="47">
        <f t="shared" si="251"/>
        <v>72</v>
      </c>
      <c r="X1057" s="79">
        <f t="shared" si="286"/>
        <v>0</v>
      </c>
      <c r="Y1057" s="47">
        <f t="shared" si="279"/>
        <v>72</v>
      </c>
    </row>
    <row r="1058" spans="1:27" x14ac:dyDescent="0.25">
      <c r="A1058" s="135" t="s">
        <v>66</v>
      </c>
      <c r="B1058" s="81" t="s">
        <v>264</v>
      </c>
      <c r="C1058" s="136" t="s">
        <v>1101</v>
      </c>
      <c r="D1058" s="81" t="s">
        <v>42</v>
      </c>
      <c r="E1058" s="47"/>
      <c r="F1058" s="47"/>
      <c r="G1058" s="47"/>
      <c r="H1058" s="83"/>
      <c r="I1058" s="47"/>
      <c r="J1058" s="83"/>
      <c r="K1058" s="47"/>
      <c r="L1058" s="83"/>
      <c r="M1058" s="47"/>
      <c r="N1058" s="83"/>
      <c r="O1058" s="47"/>
      <c r="P1058" s="95">
        <v>180</v>
      </c>
      <c r="Q1058" s="47">
        <f t="shared" si="280"/>
        <v>180</v>
      </c>
      <c r="R1058" s="80">
        <v>-108</v>
      </c>
      <c r="S1058" s="47">
        <f t="shared" si="237"/>
        <v>72</v>
      </c>
      <c r="T1058" s="83"/>
      <c r="U1058" s="47">
        <f t="shared" si="238"/>
        <v>72</v>
      </c>
      <c r="V1058" s="83"/>
      <c r="W1058" s="47">
        <f t="shared" si="251"/>
        <v>72</v>
      </c>
      <c r="X1058" s="83"/>
      <c r="Y1058" s="47">
        <f t="shared" si="279"/>
        <v>72</v>
      </c>
      <c r="AA1058" s="189">
        <f>Y1058+Z1058</f>
        <v>72</v>
      </c>
    </row>
    <row r="1059" spans="1:27" ht="24" x14ac:dyDescent="0.25">
      <c r="A1059" s="133" t="s">
        <v>948</v>
      </c>
      <c r="B1059" s="75" t="s">
        <v>264</v>
      </c>
      <c r="C1059" s="134" t="s">
        <v>1104</v>
      </c>
      <c r="D1059" s="76"/>
      <c r="E1059" s="47"/>
      <c r="F1059" s="47"/>
      <c r="G1059" s="47"/>
      <c r="H1059" s="83"/>
      <c r="I1059" s="47"/>
      <c r="J1059" s="83"/>
      <c r="K1059" s="47"/>
      <c r="L1059" s="83"/>
      <c r="M1059" s="47"/>
      <c r="N1059" s="83"/>
      <c r="O1059" s="47"/>
      <c r="P1059" s="79">
        <f t="shared" ref="P1059:X1059" si="287">P1060</f>
        <v>1577</v>
      </c>
      <c r="Q1059" s="47">
        <f t="shared" si="280"/>
        <v>1577</v>
      </c>
      <c r="R1059" s="79">
        <f t="shared" si="287"/>
        <v>-946.2</v>
      </c>
      <c r="S1059" s="47">
        <f t="shared" si="237"/>
        <v>630.79999999999995</v>
      </c>
      <c r="T1059" s="79">
        <f t="shared" si="287"/>
        <v>0</v>
      </c>
      <c r="U1059" s="47">
        <f t="shared" si="238"/>
        <v>630.79999999999995</v>
      </c>
      <c r="V1059" s="79">
        <f t="shared" si="287"/>
        <v>-104.1</v>
      </c>
      <c r="W1059" s="47">
        <f t="shared" si="251"/>
        <v>526.69999999999993</v>
      </c>
      <c r="X1059" s="79">
        <f t="shared" si="287"/>
        <v>0</v>
      </c>
      <c r="Y1059" s="47">
        <f t="shared" si="279"/>
        <v>526.69999999999993</v>
      </c>
    </row>
    <row r="1060" spans="1:27" x14ac:dyDescent="0.25">
      <c r="A1060" s="135" t="s">
        <v>66</v>
      </c>
      <c r="B1060" s="81" t="s">
        <v>264</v>
      </c>
      <c r="C1060" s="136" t="s">
        <v>1104</v>
      </c>
      <c r="D1060" s="81" t="s">
        <v>42</v>
      </c>
      <c r="E1060" s="47"/>
      <c r="F1060" s="47"/>
      <c r="G1060" s="47"/>
      <c r="H1060" s="83"/>
      <c r="I1060" s="47"/>
      <c r="J1060" s="83"/>
      <c r="K1060" s="47"/>
      <c r="L1060" s="83"/>
      <c r="M1060" s="47"/>
      <c r="N1060" s="83"/>
      <c r="O1060" s="47"/>
      <c r="P1060" s="95">
        <v>1577</v>
      </c>
      <c r="Q1060" s="47">
        <f t="shared" si="280"/>
        <v>1577</v>
      </c>
      <c r="R1060" s="80">
        <v>-946.2</v>
      </c>
      <c r="S1060" s="47">
        <f t="shared" si="237"/>
        <v>630.79999999999995</v>
      </c>
      <c r="T1060" s="83"/>
      <c r="U1060" s="47">
        <f t="shared" si="238"/>
        <v>630.79999999999995</v>
      </c>
      <c r="V1060" s="80">
        <v>-104.1</v>
      </c>
      <c r="W1060" s="47">
        <f t="shared" si="251"/>
        <v>526.69999999999993</v>
      </c>
      <c r="X1060" s="83"/>
      <c r="Y1060" s="47">
        <f t="shared" si="279"/>
        <v>526.69999999999993</v>
      </c>
      <c r="AA1060" s="189">
        <f>Y1060+Z1060</f>
        <v>526.69999999999993</v>
      </c>
    </row>
    <row r="1061" spans="1:27" ht="24" x14ac:dyDescent="0.25">
      <c r="A1061" s="133" t="s">
        <v>949</v>
      </c>
      <c r="B1061" s="75" t="s">
        <v>264</v>
      </c>
      <c r="C1061" s="134" t="s">
        <v>1105</v>
      </c>
      <c r="D1061" s="76"/>
      <c r="E1061" s="47"/>
      <c r="F1061" s="47"/>
      <c r="G1061" s="47"/>
      <c r="H1061" s="83"/>
      <c r="I1061" s="47"/>
      <c r="J1061" s="83"/>
      <c r="K1061" s="47"/>
      <c r="L1061" s="83"/>
      <c r="M1061" s="47"/>
      <c r="N1061" s="83"/>
      <c r="O1061" s="47"/>
      <c r="P1061" s="79">
        <f t="shared" ref="P1061:X1061" si="288">P1062</f>
        <v>3980</v>
      </c>
      <c r="Q1061" s="47">
        <f t="shared" si="280"/>
        <v>3980</v>
      </c>
      <c r="R1061" s="79">
        <f t="shared" si="288"/>
        <v>-2388</v>
      </c>
      <c r="S1061" s="47">
        <f t="shared" si="237"/>
        <v>1592</v>
      </c>
      <c r="T1061" s="79">
        <f t="shared" si="288"/>
        <v>0</v>
      </c>
      <c r="U1061" s="47">
        <f t="shared" si="238"/>
        <v>1592</v>
      </c>
      <c r="V1061" s="79">
        <f t="shared" si="288"/>
        <v>-86.4</v>
      </c>
      <c r="W1061" s="47">
        <f t="shared" si="251"/>
        <v>1505.6</v>
      </c>
      <c r="X1061" s="79">
        <f t="shared" si="288"/>
        <v>0</v>
      </c>
      <c r="Y1061" s="47">
        <f t="shared" si="279"/>
        <v>1505.6</v>
      </c>
    </row>
    <row r="1062" spans="1:27" x14ac:dyDescent="0.25">
      <c r="A1062" s="135" t="s">
        <v>66</v>
      </c>
      <c r="B1062" s="81" t="s">
        <v>264</v>
      </c>
      <c r="C1062" s="136" t="s">
        <v>1105</v>
      </c>
      <c r="D1062" s="81" t="s">
        <v>42</v>
      </c>
      <c r="E1062" s="47"/>
      <c r="F1062" s="47"/>
      <c r="G1062" s="47"/>
      <c r="H1062" s="83"/>
      <c r="I1062" s="47"/>
      <c r="J1062" s="83"/>
      <c r="K1062" s="47"/>
      <c r="L1062" s="83"/>
      <c r="M1062" s="47"/>
      <c r="N1062" s="83"/>
      <c r="O1062" s="47"/>
      <c r="P1062" s="95">
        <v>3980</v>
      </c>
      <c r="Q1062" s="47">
        <f t="shared" si="280"/>
        <v>3980</v>
      </c>
      <c r="R1062" s="80">
        <v>-2388</v>
      </c>
      <c r="S1062" s="47">
        <f t="shared" si="237"/>
        <v>1592</v>
      </c>
      <c r="T1062" s="83"/>
      <c r="U1062" s="47">
        <f t="shared" si="238"/>
        <v>1592</v>
      </c>
      <c r="V1062" s="80">
        <v>-86.4</v>
      </c>
      <c r="W1062" s="47">
        <f t="shared" si="251"/>
        <v>1505.6</v>
      </c>
      <c r="X1062" s="83"/>
      <c r="Y1062" s="47">
        <f t="shared" si="279"/>
        <v>1505.6</v>
      </c>
      <c r="AA1062" s="189">
        <f>Y1062+Z1062</f>
        <v>1505.6</v>
      </c>
    </row>
    <row r="1063" spans="1:27" ht="24" x14ac:dyDescent="0.25">
      <c r="A1063" s="133" t="s">
        <v>950</v>
      </c>
      <c r="B1063" s="75" t="s">
        <v>264</v>
      </c>
      <c r="C1063" s="134" t="s">
        <v>1106</v>
      </c>
      <c r="D1063" s="76"/>
      <c r="E1063" s="47"/>
      <c r="F1063" s="47"/>
      <c r="G1063" s="47"/>
      <c r="H1063" s="83"/>
      <c r="I1063" s="47"/>
      <c r="J1063" s="83"/>
      <c r="K1063" s="47"/>
      <c r="L1063" s="83"/>
      <c r="M1063" s="47"/>
      <c r="N1063" s="83"/>
      <c r="O1063" s="47"/>
      <c r="P1063" s="79">
        <f t="shared" ref="P1063:X1063" si="289">P1064</f>
        <v>160</v>
      </c>
      <c r="Q1063" s="47">
        <f t="shared" si="280"/>
        <v>160</v>
      </c>
      <c r="R1063" s="79">
        <f t="shared" si="289"/>
        <v>-96</v>
      </c>
      <c r="S1063" s="47">
        <f t="shared" si="237"/>
        <v>64</v>
      </c>
      <c r="T1063" s="79">
        <f t="shared" si="289"/>
        <v>0</v>
      </c>
      <c r="U1063" s="47">
        <f t="shared" si="238"/>
        <v>64</v>
      </c>
      <c r="V1063" s="79">
        <f t="shared" si="289"/>
        <v>0</v>
      </c>
      <c r="W1063" s="47">
        <f t="shared" si="251"/>
        <v>64</v>
      </c>
      <c r="X1063" s="79">
        <f t="shared" si="289"/>
        <v>0</v>
      </c>
      <c r="Y1063" s="47">
        <f t="shared" si="279"/>
        <v>64</v>
      </c>
    </row>
    <row r="1064" spans="1:27" x14ac:dyDescent="0.25">
      <c r="A1064" s="135" t="s">
        <v>66</v>
      </c>
      <c r="B1064" s="81" t="s">
        <v>264</v>
      </c>
      <c r="C1064" s="136" t="s">
        <v>1106</v>
      </c>
      <c r="D1064" s="81" t="s">
        <v>42</v>
      </c>
      <c r="E1064" s="47"/>
      <c r="F1064" s="47"/>
      <c r="G1064" s="47"/>
      <c r="H1064" s="83"/>
      <c r="I1064" s="47"/>
      <c r="J1064" s="83"/>
      <c r="K1064" s="47"/>
      <c r="L1064" s="83"/>
      <c r="M1064" s="47"/>
      <c r="N1064" s="83"/>
      <c r="O1064" s="47"/>
      <c r="P1064" s="95">
        <v>160</v>
      </c>
      <c r="Q1064" s="47">
        <f t="shared" si="280"/>
        <v>160</v>
      </c>
      <c r="R1064" s="80">
        <v>-96</v>
      </c>
      <c r="S1064" s="47">
        <f t="shared" si="237"/>
        <v>64</v>
      </c>
      <c r="T1064" s="83"/>
      <c r="U1064" s="47">
        <f t="shared" si="238"/>
        <v>64</v>
      </c>
      <c r="V1064" s="83"/>
      <c r="W1064" s="47">
        <f t="shared" si="251"/>
        <v>64</v>
      </c>
      <c r="X1064" s="83"/>
      <c r="Y1064" s="47">
        <f t="shared" si="279"/>
        <v>64</v>
      </c>
      <c r="AA1064" s="189">
        <f>Y1064+Z1064</f>
        <v>64</v>
      </c>
    </row>
    <row r="1065" spans="1:27" x14ac:dyDescent="0.25">
      <c r="A1065" s="133" t="s">
        <v>952</v>
      </c>
      <c r="B1065" s="75" t="s">
        <v>264</v>
      </c>
      <c r="C1065" s="134" t="s">
        <v>1108</v>
      </c>
      <c r="D1065" s="76"/>
      <c r="E1065" s="47"/>
      <c r="F1065" s="47"/>
      <c r="G1065" s="47"/>
      <c r="H1065" s="83"/>
      <c r="I1065" s="47"/>
      <c r="J1065" s="83"/>
      <c r="K1065" s="47"/>
      <c r="L1065" s="83"/>
      <c r="M1065" s="47"/>
      <c r="N1065" s="83"/>
      <c r="O1065" s="47"/>
      <c r="P1065" s="79">
        <f t="shared" ref="P1065:X1065" si="290">P1066</f>
        <v>201.3</v>
      </c>
      <c r="Q1065" s="47">
        <f t="shared" si="280"/>
        <v>201.3</v>
      </c>
      <c r="R1065" s="79">
        <f t="shared" si="290"/>
        <v>-120.8</v>
      </c>
      <c r="S1065" s="47">
        <f t="shared" si="237"/>
        <v>80.500000000000014</v>
      </c>
      <c r="T1065" s="79">
        <f t="shared" si="290"/>
        <v>0</v>
      </c>
      <c r="U1065" s="47">
        <f t="shared" si="238"/>
        <v>80.500000000000014</v>
      </c>
      <c r="V1065" s="79">
        <f t="shared" si="290"/>
        <v>0</v>
      </c>
      <c r="W1065" s="47">
        <f t="shared" si="251"/>
        <v>80.500000000000014</v>
      </c>
      <c r="X1065" s="79">
        <f t="shared" si="290"/>
        <v>0</v>
      </c>
      <c r="Y1065" s="47">
        <f t="shared" si="279"/>
        <v>80.500000000000014</v>
      </c>
    </row>
    <row r="1066" spans="1:27" x14ac:dyDescent="0.25">
      <c r="A1066" s="135" t="s">
        <v>66</v>
      </c>
      <c r="B1066" s="81" t="s">
        <v>264</v>
      </c>
      <c r="C1066" s="136" t="s">
        <v>1108</v>
      </c>
      <c r="D1066" s="81" t="s">
        <v>42</v>
      </c>
      <c r="E1066" s="47"/>
      <c r="F1066" s="47"/>
      <c r="G1066" s="47"/>
      <c r="H1066" s="83"/>
      <c r="I1066" s="47"/>
      <c r="J1066" s="83"/>
      <c r="K1066" s="47"/>
      <c r="L1066" s="83"/>
      <c r="M1066" s="47"/>
      <c r="N1066" s="83"/>
      <c r="O1066" s="47"/>
      <c r="P1066" s="95">
        <v>201.3</v>
      </c>
      <c r="Q1066" s="47">
        <f t="shared" si="280"/>
        <v>201.3</v>
      </c>
      <c r="R1066" s="80">
        <v>-120.8</v>
      </c>
      <c r="S1066" s="47">
        <f t="shared" si="237"/>
        <v>80.500000000000014</v>
      </c>
      <c r="T1066" s="83"/>
      <c r="U1066" s="47">
        <f t="shared" si="238"/>
        <v>80.500000000000014</v>
      </c>
      <c r="V1066" s="83"/>
      <c r="W1066" s="47">
        <f t="shared" si="251"/>
        <v>80.500000000000014</v>
      </c>
      <c r="X1066" s="83"/>
      <c r="Y1066" s="47">
        <f t="shared" si="279"/>
        <v>80.500000000000014</v>
      </c>
      <c r="AA1066" s="189">
        <f>Y1066+Z1066</f>
        <v>80.500000000000014</v>
      </c>
    </row>
    <row r="1067" spans="1:27" ht="24" x14ac:dyDescent="0.25">
      <c r="A1067" s="133" t="s">
        <v>953</v>
      </c>
      <c r="B1067" s="75" t="s">
        <v>264</v>
      </c>
      <c r="C1067" s="134" t="s">
        <v>1109</v>
      </c>
      <c r="D1067" s="76"/>
      <c r="E1067" s="47"/>
      <c r="F1067" s="47"/>
      <c r="G1067" s="47"/>
      <c r="H1067" s="83"/>
      <c r="I1067" s="47"/>
      <c r="J1067" s="83"/>
      <c r="K1067" s="47"/>
      <c r="L1067" s="83"/>
      <c r="M1067" s="47"/>
      <c r="N1067" s="83"/>
      <c r="O1067" s="47"/>
      <c r="P1067" s="79">
        <f t="shared" ref="P1067:X1067" si="291">P1068</f>
        <v>342.5</v>
      </c>
      <c r="Q1067" s="47">
        <f t="shared" si="280"/>
        <v>342.5</v>
      </c>
      <c r="R1067" s="79">
        <f t="shared" si="291"/>
        <v>-205.5</v>
      </c>
      <c r="S1067" s="47">
        <f t="shared" si="237"/>
        <v>137</v>
      </c>
      <c r="T1067" s="79">
        <f t="shared" si="291"/>
        <v>0</v>
      </c>
      <c r="U1067" s="47">
        <f t="shared" si="238"/>
        <v>137</v>
      </c>
      <c r="V1067" s="79">
        <f t="shared" si="291"/>
        <v>0</v>
      </c>
      <c r="W1067" s="47">
        <f t="shared" si="251"/>
        <v>137</v>
      </c>
      <c r="X1067" s="79">
        <f t="shared" si="291"/>
        <v>0</v>
      </c>
      <c r="Y1067" s="47">
        <f t="shared" si="279"/>
        <v>137</v>
      </c>
    </row>
    <row r="1068" spans="1:27" x14ac:dyDescent="0.25">
      <c r="A1068" s="135" t="s">
        <v>66</v>
      </c>
      <c r="B1068" s="81" t="s">
        <v>264</v>
      </c>
      <c r="C1068" s="136" t="s">
        <v>1109</v>
      </c>
      <c r="D1068" s="81" t="s">
        <v>42</v>
      </c>
      <c r="E1068" s="47"/>
      <c r="F1068" s="47"/>
      <c r="G1068" s="47"/>
      <c r="H1068" s="83"/>
      <c r="I1068" s="47"/>
      <c r="J1068" s="83"/>
      <c r="K1068" s="47"/>
      <c r="L1068" s="83"/>
      <c r="M1068" s="47"/>
      <c r="N1068" s="83"/>
      <c r="O1068" s="47"/>
      <c r="P1068" s="95">
        <v>342.5</v>
      </c>
      <c r="Q1068" s="47">
        <f t="shared" si="280"/>
        <v>342.5</v>
      </c>
      <c r="R1068" s="80">
        <v>-205.5</v>
      </c>
      <c r="S1068" s="47">
        <f t="shared" si="237"/>
        <v>137</v>
      </c>
      <c r="T1068" s="83"/>
      <c r="U1068" s="47">
        <f t="shared" si="238"/>
        <v>137</v>
      </c>
      <c r="V1068" s="83"/>
      <c r="W1068" s="47">
        <f t="shared" si="251"/>
        <v>137</v>
      </c>
      <c r="X1068" s="83"/>
      <c r="Y1068" s="47">
        <f t="shared" si="279"/>
        <v>137</v>
      </c>
      <c r="AA1068" s="189">
        <f>Y1068+Z1068</f>
        <v>137</v>
      </c>
    </row>
    <row r="1069" spans="1:27" x14ac:dyDescent="0.25">
      <c r="A1069" s="133" t="s">
        <v>957</v>
      </c>
      <c r="B1069" s="75" t="s">
        <v>264</v>
      </c>
      <c r="C1069" s="134" t="s">
        <v>1113</v>
      </c>
      <c r="D1069" s="76"/>
      <c r="E1069" s="47"/>
      <c r="F1069" s="47"/>
      <c r="G1069" s="47"/>
      <c r="H1069" s="83"/>
      <c r="I1069" s="47"/>
      <c r="J1069" s="83"/>
      <c r="K1069" s="47"/>
      <c r="L1069" s="83"/>
      <c r="M1069" s="47"/>
      <c r="N1069" s="83"/>
      <c r="O1069" s="47"/>
      <c r="P1069" s="79">
        <f t="shared" ref="P1069:X1069" si="292">P1070</f>
        <v>500</v>
      </c>
      <c r="Q1069" s="47">
        <f t="shared" si="280"/>
        <v>500</v>
      </c>
      <c r="R1069" s="79">
        <f t="shared" si="292"/>
        <v>-300</v>
      </c>
      <c r="S1069" s="47">
        <f t="shared" si="237"/>
        <v>200</v>
      </c>
      <c r="T1069" s="79">
        <f t="shared" si="292"/>
        <v>0</v>
      </c>
      <c r="U1069" s="47">
        <f t="shared" si="238"/>
        <v>200</v>
      </c>
      <c r="V1069" s="79">
        <f t="shared" si="292"/>
        <v>0</v>
      </c>
      <c r="W1069" s="47">
        <f t="shared" si="251"/>
        <v>200</v>
      </c>
      <c r="X1069" s="79">
        <f t="shared" si="292"/>
        <v>0</v>
      </c>
      <c r="Y1069" s="47">
        <f t="shared" si="279"/>
        <v>200</v>
      </c>
    </row>
    <row r="1070" spans="1:27" x14ac:dyDescent="0.25">
      <c r="A1070" s="135" t="s">
        <v>66</v>
      </c>
      <c r="B1070" s="81" t="s">
        <v>264</v>
      </c>
      <c r="C1070" s="136" t="s">
        <v>1113</v>
      </c>
      <c r="D1070" s="81" t="s">
        <v>42</v>
      </c>
      <c r="E1070" s="47"/>
      <c r="F1070" s="47"/>
      <c r="G1070" s="47"/>
      <c r="H1070" s="83"/>
      <c r="I1070" s="47"/>
      <c r="J1070" s="83"/>
      <c r="K1070" s="47"/>
      <c r="L1070" s="83"/>
      <c r="M1070" s="47"/>
      <c r="N1070" s="83"/>
      <c r="O1070" s="47"/>
      <c r="P1070" s="95">
        <v>500</v>
      </c>
      <c r="Q1070" s="47">
        <f t="shared" si="280"/>
        <v>500</v>
      </c>
      <c r="R1070" s="80">
        <v>-300</v>
      </c>
      <c r="S1070" s="47">
        <f t="shared" si="237"/>
        <v>200</v>
      </c>
      <c r="T1070" s="83"/>
      <c r="U1070" s="47">
        <f t="shared" si="238"/>
        <v>200</v>
      </c>
      <c r="V1070" s="83"/>
      <c r="W1070" s="47">
        <f t="shared" si="251"/>
        <v>200</v>
      </c>
      <c r="X1070" s="83"/>
      <c r="Y1070" s="47">
        <f t="shared" si="279"/>
        <v>200</v>
      </c>
      <c r="AA1070" s="189">
        <f>Y1070+Z1070</f>
        <v>200</v>
      </c>
    </row>
    <row r="1071" spans="1:27" ht="36" x14ac:dyDescent="0.25">
      <c r="A1071" s="133" t="s">
        <v>960</v>
      </c>
      <c r="B1071" s="75" t="s">
        <v>264</v>
      </c>
      <c r="C1071" s="134" t="s">
        <v>1116</v>
      </c>
      <c r="D1071" s="76"/>
      <c r="E1071" s="47"/>
      <c r="F1071" s="47"/>
      <c r="G1071" s="47"/>
      <c r="H1071" s="83"/>
      <c r="I1071" s="47"/>
      <c r="J1071" s="83"/>
      <c r="K1071" s="47"/>
      <c r="L1071" s="83"/>
      <c r="M1071" s="47"/>
      <c r="N1071" s="83"/>
      <c r="O1071" s="47"/>
      <c r="P1071" s="79">
        <f t="shared" ref="P1071:X1071" si="293">P1072</f>
        <v>133</v>
      </c>
      <c r="Q1071" s="47">
        <f t="shared" si="280"/>
        <v>133</v>
      </c>
      <c r="R1071" s="79">
        <f t="shared" si="293"/>
        <v>-79.8</v>
      </c>
      <c r="S1071" s="47">
        <f t="shared" si="237"/>
        <v>53.2</v>
      </c>
      <c r="T1071" s="79">
        <f t="shared" si="293"/>
        <v>0</v>
      </c>
      <c r="U1071" s="47">
        <f t="shared" si="238"/>
        <v>53.2</v>
      </c>
      <c r="V1071" s="79">
        <f t="shared" si="293"/>
        <v>0</v>
      </c>
      <c r="W1071" s="47">
        <f t="shared" si="251"/>
        <v>53.2</v>
      </c>
      <c r="X1071" s="79">
        <f t="shared" si="293"/>
        <v>0</v>
      </c>
      <c r="Y1071" s="47">
        <f t="shared" si="279"/>
        <v>53.2</v>
      </c>
    </row>
    <row r="1072" spans="1:27" x14ac:dyDescent="0.25">
      <c r="A1072" s="135" t="s">
        <v>66</v>
      </c>
      <c r="B1072" s="81" t="s">
        <v>264</v>
      </c>
      <c r="C1072" s="136" t="s">
        <v>1116</v>
      </c>
      <c r="D1072" s="81" t="s">
        <v>42</v>
      </c>
      <c r="E1072" s="47"/>
      <c r="F1072" s="47"/>
      <c r="G1072" s="47"/>
      <c r="H1072" s="83"/>
      <c r="I1072" s="47"/>
      <c r="J1072" s="83"/>
      <c r="K1072" s="47"/>
      <c r="L1072" s="83"/>
      <c r="M1072" s="47"/>
      <c r="N1072" s="83"/>
      <c r="O1072" s="47"/>
      <c r="P1072" s="95">
        <v>133</v>
      </c>
      <c r="Q1072" s="47">
        <f t="shared" si="280"/>
        <v>133</v>
      </c>
      <c r="R1072" s="80">
        <v>-79.8</v>
      </c>
      <c r="S1072" s="47">
        <f t="shared" si="237"/>
        <v>53.2</v>
      </c>
      <c r="T1072" s="83"/>
      <c r="U1072" s="47">
        <f t="shared" si="238"/>
        <v>53.2</v>
      </c>
      <c r="V1072" s="83"/>
      <c r="W1072" s="47">
        <f t="shared" si="251"/>
        <v>53.2</v>
      </c>
      <c r="X1072" s="83"/>
      <c r="Y1072" s="47">
        <f t="shared" si="279"/>
        <v>53.2</v>
      </c>
      <c r="AA1072" s="189">
        <f>Y1072+Z1072</f>
        <v>53.2</v>
      </c>
    </row>
    <row r="1073" spans="1:27" ht="24" x14ac:dyDescent="0.25">
      <c r="A1073" s="133" t="s">
        <v>972</v>
      </c>
      <c r="B1073" s="75" t="s">
        <v>264</v>
      </c>
      <c r="C1073" s="134" t="s">
        <v>1128</v>
      </c>
      <c r="D1073" s="76"/>
      <c r="E1073" s="47"/>
      <c r="F1073" s="47"/>
      <c r="G1073" s="47"/>
      <c r="H1073" s="83"/>
      <c r="I1073" s="47"/>
      <c r="J1073" s="83"/>
      <c r="K1073" s="47"/>
      <c r="L1073" s="83"/>
      <c r="M1073" s="47"/>
      <c r="N1073" s="83"/>
      <c r="O1073" s="47"/>
      <c r="P1073" s="79">
        <f t="shared" ref="P1073:X1073" si="294">P1074</f>
        <v>2500</v>
      </c>
      <c r="Q1073" s="47">
        <f t="shared" si="280"/>
        <v>2500</v>
      </c>
      <c r="R1073" s="79">
        <f t="shared" si="294"/>
        <v>-1500</v>
      </c>
      <c r="S1073" s="47">
        <f t="shared" si="237"/>
        <v>1000</v>
      </c>
      <c r="T1073" s="79">
        <f t="shared" si="294"/>
        <v>0</v>
      </c>
      <c r="U1073" s="47">
        <f t="shared" si="238"/>
        <v>1000</v>
      </c>
      <c r="V1073" s="79">
        <f t="shared" si="294"/>
        <v>0</v>
      </c>
      <c r="W1073" s="47">
        <f t="shared" si="251"/>
        <v>1000</v>
      </c>
      <c r="X1073" s="79">
        <f t="shared" si="294"/>
        <v>0</v>
      </c>
      <c r="Y1073" s="47">
        <f t="shared" si="279"/>
        <v>1000</v>
      </c>
    </row>
    <row r="1074" spans="1:27" x14ac:dyDescent="0.25">
      <c r="A1074" s="135" t="s">
        <v>66</v>
      </c>
      <c r="B1074" s="81" t="s">
        <v>264</v>
      </c>
      <c r="C1074" s="136" t="s">
        <v>1128</v>
      </c>
      <c r="D1074" s="81" t="s">
        <v>42</v>
      </c>
      <c r="E1074" s="47"/>
      <c r="F1074" s="47"/>
      <c r="G1074" s="47"/>
      <c r="H1074" s="83"/>
      <c r="I1074" s="47"/>
      <c r="J1074" s="83"/>
      <c r="K1074" s="47"/>
      <c r="L1074" s="83"/>
      <c r="M1074" s="47"/>
      <c r="N1074" s="83"/>
      <c r="O1074" s="47"/>
      <c r="P1074" s="95">
        <v>2500</v>
      </c>
      <c r="Q1074" s="47">
        <f t="shared" si="280"/>
        <v>2500</v>
      </c>
      <c r="R1074" s="80">
        <v>-1500</v>
      </c>
      <c r="S1074" s="47">
        <f t="shared" si="237"/>
        <v>1000</v>
      </c>
      <c r="T1074" s="83"/>
      <c r="U1074" s="47">
        <f t="shared" si="238"/>
        <v>1000</v>
      </c>
      <c r="V1074" s="83"/>
      <c r="W1074" s="47">
        <f t="shared" si="251"/>
        <v>1000</v>
      </c>
      <c r="X1074" s="83"/>
      <c r="Y1074" s="47">
        <f t="shared" si="279"/>
        <v>1000</v>
      </c>
      <c r="AA1074" s="189">
        <f>Y1074+Z1074</f>
        <v>1000</v>
      </c>
    </row>
    <row r="1075" spans="1:27" ht="60.75" x14ac:dyDescent="0.25">
      <c r="A1075" s="117" t="s">
        <v>974</v>
      </c>
      <c r="B1075" s="75" t="s">
        <v>264</v>
      </c>
      <c r="C1075" s="134" t="s">
        <v>1130</v>
      </c>
      <c r="D1075" s="81"/>
      <c r="E1075" s="47"/>
      <c r="F1075" s="47"/>
      <c r="G1075" s="47"/>
      <c r="H1075" s="83"/>
      <c r="I1075" s="47"/>
      <c r="J1075" s="83"/>
      <c r="K1075" s="47"/>
      <c r="L1075" s="83"/>
      <c r="M1075" s="47"/>
      <c r="N1075" s="83"/>
      <c r="O1075" s="47"/>
      <c r="P1075" s="79">
        <f>P1076</f>
        <v>0</v>
      </c>
      <c r="Q1075" s="47">
        <f t="shared" si="280"/>
        <v>0</v>
      </c>
      <c r="R1075" s="79">
        <f>R1076</f>
        <v>668</v>
      </c>
      <c r="S1075" s="47">
        <f t="shared" si="237"/>
        <v>668</v>
      </c>
      <c r="T1075" s="79">
        <f>T1076</f>
        <v>0</v>
      </c>
      <c r="U1075" s="47">
        <f t="shared" si="238"/>
        <v>668</v>
      </c>
      <c r="V1075" s="79">
        <f>V1076</f>
        <v>0</v>
      </c>
      <c r="W1075" s="47">
        <f t="shared" si="251"/>
        <v>668</v>
      </c>
      <c r="X1075" s="79">
        <f>X1076</f>
        <v>0</v>
      </c>
      <c r="Y1075" s="47">
        <f t="shared" si="279"/>
        <v>668</v>
      </c>
    </row>
    <row r="1076" spans="1:27" x14ac:dyDescent="0.25">
      <c r="A1076" s="135" t="s">
        <v>66</v>
      </c>
      <c r="B1076" s="81" t="s">
        <v>264</v>
      </c>
      <c r="C1076" s="136" t="s">
        <v>1130</v>
      </c>
      <c r="D1076" s="81" t="s">
        <v>42</v>
      </c>
      <c r="E1076" s="47"/>
      <c r="F1076" s="47"/>
      <c r="G1076" s="47"/>
      <c r="H1076" s="83"/>
      <c r="I1076" s="47"/>
      <c r="J1076" s="83"/>
      <c r="K1076" s="47"/>
      <c r="L1076" s="83"/>
      <c r="M1076" s="47"/>
      <c r="N1076" s="83"/>
      <c r="O1076" s="47"/>
      <c r="P1076" s="95"/>
      <c r="Q1076" s="47">
        <f t="shared" si="280"/>
        <v>0</v>
      </c>
      <c r="R1076" s="80">
        <v>668</v>
      </c>
      <c r="S1076" s="47">
        <f t="shared" si="237"/>
        <v>668</v>
      </c>
      <c r="T1076" s="83"/>
      <c r="U1076" s="47">
        <f t="shared" si="238"/>
        <v>668</v>
      </c>
      <c r="V1076" s="83"/>
      <c r="W1076" s="47">
        <f t="shared" si="251"/>
        <v>668</v>
      </c>
      <c r="X1076" s="83"/>
      <c r="Y1076" s="47">
        <f t="shared" si="279"/>
        <v>668</v>
      </c>
      <c r="AA1076" s="189">
        <f>Y1076+Z1076</f>
        <v>668</v>
      </c>
    </row>
    <row r="1077" spans="1:27" x14ac:dyDescent="0.25">
      <c r="A1077" s="133" t="s">
        <v>980</v>
      </c>
      <c r="B1077" s="75" t="s">
        <v>264</v>
      </c>
      <c r="C1077" s="134" t="s">
        <v>1136</v>
      </c>
      <c r="D1077" s="76"/>
      <c r="E1077" s="47"/>
      <c r="F1077" s="47"/>
      <c r="G1077" s="47"/>
      <c r="H1077" s="83"/>
      <c r="I1077" s="47"/>
      <c r="J1077" s="83"/>
      <c r="K1077" s="47"/>
      <c r="L1077" s="83"/>
      <c r="M1077" s="47"/>
      <c r="N1077" s="83"/>
      <c r="O1077" s="47"/>
      <c r="P1077" s="79">
        <f>P1078</f>
        <v>682.5</v>
      </c>
      <c r="Q1077" s="47">
        <f t="shared" si="280"/>
        <v>682.5</v>
      </c>
      <c r="R1077" s="79">
        <f>R1078</f>
        <v>-409.5</v>
      </c>
      <c r="S1077" s="47">
        <f t="shared" si="237"/>
        <v>273</v>
      </c>
      <c r="T1077" s="79">
        <f>T1078</f>
        <v>0</v>
      </c>
      <c r="U1077" s="47">
        <f t="shared" si="238"/>
        <v>273</v>
      </c>
      <c r="V1077" s="79">
        <f>V1078</f>
        <v>0</v>
      </c>
      <c r="W1077" s="47">
        <f t="shared" si="251"/>
        <v>273</v>
      </c>
      <c r="X1077" s="79">
        <f>X1078</f>
        <v>0</v>
      </c>
      <c r="Y1077" s="47">
        <f t="shared" si="279"/>
        <v>273</v>
      </c>
    </row>
    <row r="1078" spans="1:27" x14ac:dyDescent="0.25">
      <c r="A1078" s="135" t="s">
        <v>66</v>
      </c>
      <c r="B1078" s="81" t="s">
        <v>264</v>
      </c>
      <c r="C1078" s="136" t="s">
        <v>1136</v>
      </c>
      <c r="D1078" s="81" t="s">
        <v>42</v>
      </c>
      <c r="E1078" s="47"/>
      <c r="F1078" s="47"/>
      <c r="G1078" s="47"/>
      <c r="H1078" s="83"/>
      <c r="I1078" s="47"/>
      <c r="J1078" s="83"/>
      <c r="K1078" s="47"/>
      <c r="L1078" s="83"/>
      <c r="M1078" s="47"/>
      <c r="N1078" s="83"/>
      <c r="O1078" s="47"/>
      <c r="P1078" s="95">
        <v>682.5</v>
      </c>
      <c r="Q1078" s="47">
        <f t="shared" si="280"/>
        <v>682.5</v>
      </c>
      <c r="R1078" s="80">
        <v>-409.5</v>
      </c>
      <c r="S1078" s="47">
        <f t="shared" si="237"/>
        <v>273</v>
      </c>
      <c r="T1078" s="83"/>
      <c r="U1078" s="47">
        <f t="shared" si="238"/>
        <v>273</v>
      </c>
      <c r="V1078" s="83"/>
      <c r="W1078" s="47">
        <f t="shared" si="251"/>
        <v>273</v>
      </c>
      <c r="X1078" s="83"/>
      <c r="Y1078" s="47">
        <f t="shared" si="279"/>
        <v>273</v>
      </c>
      <c r="AA1078" s="189">
        <f>Y1078+Z1078</f>
        <v>273</v>
      </c>
    </row>
    <row r="1079" spans="1:27" x14ac:dyDescent="0.25">
      <c r="A1079" s="133" t="s">
        <v>995</v>
      </c>
      <c r="B1079" s="75" t="s">
        <v>264</v>
      </c>
      <c r="C1079" s="134" t="s">
        <v>1151</v>
      </c>
      <c r="D1079" s="76"/>
      <c r="E1079" s="47"/>
      <c r="F1079" s="47"/>
      <c r="G1079" s="47"/>
      <c r="H1079" s="83"/>
      <c r="I1079" s="47"/>
      <c r="J1079" s="83"/>
      <c r="K1079" s="47"/>
      <c r="L1079" s="83"/>
      <c r="M1079" s="47"/>
      <c r="N1079" s="83"/>
      <c r="O1079" s="47"/>
      <c r="P1079" s="79">
        <f>P1080</f>
        <v>152.80000000000001</v>
      </c>
      <c r="Q1079" s="47">
        <f t="shared" si="280"/>
        <v>152.80000000000001</v>
      </c>
      <c r="R1079" s="79">
        <f>R1080</f>
        <v>-91.7</v>
      </c>
      <c r="S1079" s="47">
        <f t="shared" si="237"/>
        <v>61.100000000000009</v>
      </c>
      <c r="T1079" s="79">
        <f>T1080</f>
        <v>0</v>
      </c>
      <c r="U1079" s="47">
        <f t="shared" si="238"/>
        <v>61.100000000000009</v>
      </c>
      <c r="V1079" s="79">
        <f>V1080</f>
        <v>0</v>
      </c>
      <c r="W1079" s="47">
        <f t="shared" si="251"/>
        <v>61.100000000000009</v>
      </c>
      <c r="X1079" s="79">
        <f>X1080</f>
        <v>0</v>
      </c>
      <c r="Y1079" s="47">
        <f t="shared" si="279"/>
        <v>61.100000000000009</v>
      </c>
    </row>
    <row r="1080" spans="1:27" x14ac:dyDescent="0.25">
      <c r="A1080" s="135" t="s">
        <v>66</v>
      </c>
      <c r="B1080" s="81" t="s">
        <v>264</v>
      </c>
      <c r="C1080" s="136" t="s">
        <v>1151</v>
      </c>
      <c r="D1080" s="81" t="s">
        <v>42</v>
      </c>
      <c r="E1080" s="47"/>
      <c r="F1080" s="47"/>
      <c r="G1080" s="47"/>
      <c r="H1080" s="83"/>
      <c r="I1080" s="47"/>
      <c r="J1080" s="83"/>
      <c r="K1080" s="47"/>
      <c r="L1080" s="83"/>
      <c r="M1080" s="47"/>
      <c r="N1080" s="83"/>
      <c r="O1080" s="47"/>
      <c r="P1080" s="95">
        <v>152.80000000000001</v>
      </c>
      <c r="Q1080" s="47">
        <f t="shared" si="280"/>
        <v>152.80000000000001</v>
      </c>
      <c r="R1080" s="80">
        <v>-91.7</v>
      </c>
      <c r="S1080" s="47">
        <f t="shared" si="237"/>
        <v>61.100000000000009</v>
      </c>
      <c r="T1080" s="83"/>
      <c r="U1080" s="47">
        <f t="shared" si="238"/>
        <v>61.100000000000009</v>
      </c>
      <c r="V1080" s="83"/>
      <c r="W1080" s="47">
        <f t="shared" si="251"/>
        <v>61.100000000000009</v>
      </c>
      <c r="X1080" s="83"/>
      <c r="Y1080" s="47">
        <f t="shared" si="279"/>
        <v>61.100000000000009</v>
      </c>
      <c r="AA1080" s="189">
        <f>Y1080+Z1080</f>
        <v>61.100000000000009</v>
      </c>
    </row>
    <row r="1081" spans="1:27" ht="17.25" customHeight="1" x14ac:dyDescent="0.25">
      <c r="A1081" s="133" t="s">
        <v>1062</v>
      </c>
      <c r="B1081" s="75" t="s">
        <v>264</v>
      </c>
      <c r="C1081" s="134" t="s">
        <v>1218</v>
      </c>
      <c r="D1081" s="76"/>
      <c r="E1081" s="47"/>
      <c r="F1081" s="47"/>
      <c r="G1081" s="47"/>
      <c r="H1081" s="83"/>
      <c r="I1081" s="47"/>
      <c r="J1081" s="83"/>
      <c r="K1081" s="47"/>
      <c r="L1081" s="83"/>
      <c r="M1081" s="47"/>
      <c r="N1081" s="83"/>
      <c r="O1081" s="47"/>
      <c r="P1081" s="79">
        <f>P1082</f>
        <v>139.4</v>
      </c>
      <c r="Q1081" s="47">
        <f t="shared" si="280"/>
        <v>139.4</v>
      </c>
      <c r="R1081" s="79">
        <f>R1082</f>
        <v>-83.6</v>
      </c>
      <c r="S1081" s="47">
        <f t="shared" si="237"/>
        <v>55.800000000000011</v>
      </c>
      <c r="T1081" s="79">
        <f>T1082</f>
        <v>0</v>
      </c>
      <c r="U1081" s="47">
        <f t="shared" si="238"/>
        <v>55.800000000000011</v>
      </c>
      <c r="V1081" s="79">
        <f>V1082</f>
        <v>0</v>
      </c>
      <c r="W1081" s="47">
        <f t="shared" si="251"/>
        <v>55.800000000000011</v>
      </c>
      <c r="X1081" s="79">
        <f>X1082</f>
        <v>0</v>
      </c>
      <c r="Y1081" s="47">
        <f t="shared" si="279"/>
        <v>55.800000000000011</v>
      </c>
    </row>
    <row r="1082" spans="1:27" x14ac:dyDescent="0.25">
      <c r="A1082" s="135" t="s">
        <v>66</v>
      </c>
      <c r="B1082" s="81" t="s">
        <v>264</v>
      </c>
      <c r="C1082" s="136" t="s">
        <v>1218</v>
      </c>
      <c r="D1082" s="81" t="s">
        <v>42</v>
      </c>
      <c r="E1082" s="47"/>
      <c r="F1082" s="47"/>
      <c r="G1082" s="47"/>
      <c r="H1082" s="83"/>
      <c r="I1082" s="47"/>
      <c r="J1082" s="83"/>
      <c r="K1082" s="47"/>
      <c r="L1082" s="83"/>
      <c r="M1082" s="47"/>
      <c r="N1082" s="83"/>
      <c r="O1082" s="47"/>
      <c r="P1082" s="95">
        <v>139.4</v>
      </c>
      <c r="Q1082" s="47">
        <f t="shared" si="280"/>
        <v>139.4</v>
      </c>
      <c r="R1082" s="80">
        <v>-83.6</v>
      </c>
      <c r="S1082" s="47">
        <f t="shared" si="237"/>
        <v>55.800000000000011</v>
      </c>
      <c r="T1082" s="83"/>
      <c r="U1082" s="47">
        <f t="shared" si="238"/>
        <v>55.800000000000011</v>
      </c>
      <c r="V1082" s="83"/>
      <c r="W1082" s="47">
        <f t="shared" si="251"/>
        <v>55.800000000000011</v>
      </c>
      <c r="X1082" s="83"/>
      <c r="Y1082" s="47">
        <f t="shared" si="279"/>
        <v>55.800000000000011</v>
      </c>
      <c r="AA1082" s="189">
        <f>Y1082+Z1082</f>
        <v>55.800000000000011</v>
      </c>
    </row>
    <row r="1083" spans="1:27" ht="48" x14ac:dyDescent="0.25">
      <c r="A1083" s="137" t="s">
        <v>1350</v>
      </c>
      <c r="B1083" s="164" t="s">
        <v>264</v>
      </c>
      <c r="C1083" s="165" t="s">
        <v>1367</v>
      </c>
      <c r="D1083" s="166"/>
      <c r="E1083" s="47"/>
      <c r="F1083" s="47"/>
      <c r="G1083" s="47"/>
      <c r="H1083" s="83"/>
      <c r="I1083" s="47"/>
      <c r="J1083" s="83"/>
      <c r="K1083" s="47"/>
      <c r="L1083" s="83"/>
      <c r="M1083" s="47"/>
      <c r="N1083" s="83"/>
      <c r="O1083" s="47"/>
      <c r="P1083" s="95"/>
      <c r="Q1083" s="47"/>
      <c r="R1083" s="80"/>
      <c r="S1083" s="47"/>
      <c r="T1083" s="79">
        <f>T1084</f>
        <v>0</v>
      </c>
      <c r="U1083" s="47">
        <f t="shared" ref="U1083:U1116" si="295">S1083+T1083</f>
        <v>0</v>
      </c>
      <c r="V1083" s="79">
        <f>V1084</f>
        <v>300</v>
      </c>
      <c r="W1083" s="47">
        <f t="shared" si="251"/>
        <v>300</v>
      </c>
      <c r="X1083" s="79">
        <f>X1084</f>
        <v>-180</v>
      </c>
      <c r="Y1083" s="47">
        <f t="shared" si="279"/>
        <v>120</v>
      </c>
    </row>
    <row r="1084" spans="1:27" x14ac:dyDescent="0.25">
      <c r="A1084" s="135" t="s">
        <v>66</v>
      </c>
      <c r="B1084" s="167" t="s">
        <v>264</v>
      </c>
      <c r="C1084" s="166" t="s">
        <v>1367</v>
      </c>
      <c r="D1084" s="166">
        <v>244</v>
      </c>
      <c r="E1084" s="47"/>
      <c r="F1084" s="47"/>
      <c r="G1084" s="47"/>
      <c r="H1084" s="83"/>
      <c r="I1084" s="47"/>
      <c r="J1084" s="83"/>
      <c r="K1084" s="47"/>
      <c r="L1084" s="83"/>
      <c r="M1084" s="47"/>
      <c r="N1084" s="83"/>
      <c r="O1084" s="47"/>
      <c r="P1084" s="95"/>
      <c r="Q1084" s="47"/>
      <c r="R1084" s="80"/>
      <c r="S1084" s="47"/>
      <c r="T1084" s="83"/>
      <c r="U1084" s="47">
        <f t="shared" si="295"/>
        <v>0</v>
      </c>
      <c r="V1084" s="39">
        <v>300</v>
      </c>
      <c r="W1084" s="47">
        <f t="shared" si="251"/>
        <v>300</v>
      </c>
      <c r="X1084" s="109">
        <v>-180</v>
      </c>
      <c r="Y1084" s="47">
        <f t="shared" si="279"/>
        <v>120</v>
      </c>
      <c r="AA1084" s="189">
        <f>Y1084+Z1084</f>
        <v>120</v>
      </c>
    </row>
    <row r="1085" spans="1:27" ht="24" x14ac:dyDescent="0.25">
      <c r="A1085" s="133" t="s">
        <v>1352</v>
      </c>
      <c r="B1085" s="168" t="s">
        <v>264</v>
      </c>
      <c r="C1085" s="168" t="s">
        <v>1369</v>
      </c>
      <c r="D1085" s="169"/>
      <c r="E1085" s="47"/>
      <c r="F1085" s="47"/>
      <c r="G1085" s="47"/>
      <c r="H1085" s="83"/>
      <c r="I1085" s="47"/>
      <c r="J1085" s="83"/>
      <c r="K1085" s="47"/>
      <c r="L1085" s="83"/>
      <c r="M1085" s="47"/>
      <c r="N1085" s="83"/>
      <c r="O1085" s="47"/>
      <c r="P1085" s="95"/>
      <c r="Q1085" s="47"/>
      <c r="R1085" s="80"/>
      <c r="S1085" s="47"/>
      <c r="T1085" s="79">
        <f>T1086</f>
        <v>0</v>
      </c>
      <c r="U1085" s="47">
        <f t="shared" si="295"/>
        <v>0</v>
      </c>
      <c r="V1085" s="79">
        <f>V1086</f>
        <v>660</v>
      </c>
      <c r="W1085" s="47">
        <f t="shared" si="251"/>
        <v>660</v>
      </c>
      <c r="X1085" s="79">
        <f>X1086</f>
        <v>-396</v>
      </c>
      <c r="Y1085" s="47">
        <f t="shared" si="279"/>
        <v>264</v>
      </c>
    </row>
    <row r="1086" spans="1:27" x14ac:dyDescent="0.25">
      <c r="A1086" s="135" t="s">
        <v>66</v>
      </c>
      <c r="B1086" s="169" t="s">
        <v>264</v>
      </c>
      <c r="C1086" s="169" t="s">
        <v>1369</v>
      </c>
      <c r="D1086" s="166">
        <v>244</v>
      </c>
      <c r="E1086" s="47"/>
      <c r="F1086" s="47"/>
      <c r="G1086" s="47"/>
      <c r="H1086" s="83"/>
      <c r="I1086" s="47"/>
      <c r="J1086" s="83"/>
      <c r="K1086" s="47"/>
      <c r="L1086" s="83"/>
      <c r="M1086" s="47"/>
      <c r="N1086" s="83"/>
      <c r="O1086" s="47"/>
      <c r="P1086" s="95"/>
      <c r="Q1086" s="47"/>
      <c r="R1086" s="80"/>
      <c r="S1086" s="47"/>
      <c r="T1086" s="83"/>
      <c r="U1086" s="47">
        <f t="shared" si="295"/>
        <v>0</v>
      </c>
      <c r="V1086" s="39">
        <v>660</v>
      </c>
      <c r="W1086" s="47">
        <f t="shared" si="251"/>
        <v>660</v>
      </c>
      <c r="X1086" s="109">
        <v>-396</v>
      </c>
      <c r="Y1086" s="47">
        <f t="shared" si="279"/>
        <v>264</v>
      </c>
      <c r="AA1086" s="189">
        <f>Y1086+Z1086</f>
        <v>264</v>
      </c>
    </row>
    <row r="1087" spans="1:27" ht="36" x14ac:dyDescent="0.25">
      <c r="A1087" s="133" t="s">
        <v>1353</v>
      </c>
      <c r="B1087" s="168" t="s">
        <v>264</v>
      </c>
      <c r="C1087" s="168" t="s">
        <v>1370</v>
      </c>
      <c r="D1087" s="169"/>
      <c r="E1087" s="47"/>
      <c r="F1087" s="47"/>
      <c r="G1087" s="47"/>
      <c r="H1087" s="83"/>
      <c r="I1087" s="47"/>
      <c r="J1087" s="83"/>
      <c r="K1087" s="47"/>
      <c r="L1087" s="83"/>
      <c r="M1087" s="47"/>
      <c r="N1087" s="83"/>
      <c r="O1087" s="47"/>
      <c r="P1087" s="95"/>
      <c r="Q1087" s="47"/>
      <c r="R1087" s="80"/>
      <c r="S1087" s="47"/>
      <c r="T1087" s="79">
        <f>T1088</f>
        <v>0</v>
      </c>
      <c r="U1087" s="47">
        <f t="shared" si="295"/>
        <v>0</v>
      </c>
      <c r="V1087" s="79">
        <f>V1088</f>
        <v>851</v>
      </c>
      <c r="W1087" s="47">
        <f t="shared" si="251"/>
        <v>851</v>
      </c>
      <c r="X1087" s="79">
        <f>X1088</f>
        <v>-510.6</v>
      </c>
      <c r="Y1087" s="47">
        <f t="shared" si="279"/>
        <v>340.4</v>
      </c>
    </row>
    <row r="1088" spans="1:27" x14ac:dyDescent="0.25">
      <c r="A1088" s="135" t="s">
        <v>66</v>
      </c>
      <c r="B1088" s="169" t="s">
        <v>264</v>
      </c>
      <c r="C1088" s="169" t="s">
        <v>1370</v>
      </c>
      <c r="D1088" s="166">
        <v>244</v>
      </c>
      <c r="E1088" s="47"/>
      <c r="F1088" s="47"/>
      <c r="G1088" s="47"/>
      <c r="H1088" s="83"/>
      <c r="I1088" s="47"/>
      <c r="J1088" s="83"/>
      <c r="K1088" s="47"/>
      <c r="L1088" s="83"/>
      <c r="M1088" s="47"/>
      <c r="N1088" s="83"/>
      <c r="O1088" s="47"/>
      <c r="P1088" s="95"/>
      <c r="Q1088" s="47"/>
      <c r="R1088" s="80"/>
      <c r="S1088" s="47"/>
      <c r="T1088" s="83"/>
      <c r="U1088" s="47">
        <f t="shared" si="295"/>
        <v>0</v>
      </c>
      <c r="V1088" s="39">
        <v>851</v>
      </c>
      <c r="W1088" s="47">
        <f t="shared" si="251"/>
        <v>851</v>
      </c>
      <c r="X1088" s="109">
        <v>-510.6</v>
      </c>
      <c r="Y1088" s="47">
        <f t="shared" si="279"/>
        <v>340.4</v>
      </c>
      <c r="AA1088" s="189">
        <f>Y1088+Z1088</f>
        <v>340.4</v>
      </c>
    </row>
    <row r="1089" spans="1:27" ht="36" x14ac:dyDescent="0.25">
      <c r="A1089" s="133" t="s">
        <v>1354</v>
      </c>
      <c r="B1089" s="168" t="s">
        <v>264</v>
      </c>
      <c r="C1089" s="168" t="s">
        <v>1371</v>
      </c>
      <c r="D1089" s="166"/>
      <c r="E1089" s="47"/>
      <c r="F1089" s="47"/>
      <c r="G1089" s="47"/>
      <c r="H1089" s="83"/>
      <c r="I1089" s="47"/>
      <c r="J1089" s="83"/>
      <c r="K1089" s="47"/>
      <c r="L1089" s="83"/>
      <c r="M1089" s="47"/>
      <c r="N1089" s="83"/>
      <c r="O1089" s="47"/>
      <c r="P1089" s="95"/>
      <c r="Q1089" s="47"/>
      <c r="R1089" s="80"/>
      <c r="S1089" s="47"/>
      <c r="T1089" s="79">
        <f>T1090</f>
        <v>0</v>
      </c>
      <c r="U1089" s="47">
        <f t="shared" si="295"/>
        <v>0</v>
      </c>
      <c r="V1089" s="79">
        <f>V1090</f>
        <v>193</v>
      </c>
      <c r="W1089" s="47">
        <f t="shared" si="251"/>
        <v>193</v>
      </c>
      <c r="X1089" s="79">
        <f>X1090</f>
        <v>-115.8</v>
      </c>
      <c r="Y1089" s="47">
        <f t="shared" si="279"/>
        <v>77.2</v>
      </c>
    </row>
    <row r="1090" spans="1:27" x14ac:dyDescent="0.25">
      <c r="A1090" s="135" t="s">
        <v>66</v>
      </c>
      <c r="B1090" s="169" t="s">
        <v>264</v>
      </c>
      <c r="C1090" s="169" t="s">
        <v>1371</v>
      </c>
      <c r="D1090" s="166">
        <v>244</v>
      </c>
      <c r="E1090" s="47"/>
      <c r="F1090" s="47"/>
      <c r="G1090" s="47"/>
      <c r="H1090" s="83"/>
      <c r="I1090" s="47"/>
      <c r="J1090" s="83"/>
      <c r="K1090" s="47"/>
      <c r="L1090" s="83"/>
      <c r="M1090" s="47"/>
      <c r="N1090" s="83"/>
      <c r="O1090" s="47"/>
      <c r="P1090" s="95"/>
      <c r="Q1090" s="47"/>
      <c r="R1090" s="80"/>
      <c r="S1090" s="47"/>
      <c r="T1090" s="83"/>
      <c r="U1090" s="47">
        <f t="shared" si="295"/>
        <v>0</v>
      </c>
      <c r="V1090" s="39">
        <v>193</v>
      </c>
      <c r="W1090" s="47">
        <f t="shared" si="251"/>
        <v>193</v>
      </c>
      <c r="X1090" s="109">
        <v>-115.8</v>
      </c>
      <c r="Y1090" s="47">
        <f t="shared" si="279"/>
        <v>77.2</v>
      </c>
      <c r="AA1090" s="189">
        <f>Y1090+Z1090</f>
        <v>77.2</v>
      </c>
    </row>
    <row r="1091" spans="1:27" ht="36" x14ac:dyDescent="0.25">
      <c r="A1091" s="133" t="s">
        <v>1355</v>
      </c>
      <c r="B1091" s="168" t="s">
        <v>264</v>
      </c>
      <c r="C1091" s="168" t="s">
        <v>1372</v>
      </c>
      <c r="D1091" s="169"/>
      <c r="E1091" s="47"/>
      <c r="F1091" s="47"/>
      <c r="G1091" s="47"/>
      <c r="H1091" s="83"/>
      <c r="I1091" s="47"/>
      <c r="J1091" s="83"/>
      <c r="K1091" s="47"/>
      <c r="L1091" s="83"/>
      <c r="M1091" s="47"/>
      <c r="N1091" s="83"/>
      <c r="O1091" s="47"/>
      <c r="P1091" s="95"/>
      <c r="Q1091" s="47"/>
      <c r="R1091" s="80"/>
      <c r="S1091" s="47"/>
      <c r="T1091" s="79">
        <f>T1092</f>
        <v>0</v>
      </c>
      <c r="U1091" s="47">
        <f t="shared" si="295"/>
        <v>0</v>
      </c>
      <c r="V1091" s="79">
        <f>V1092</f>
        <v>220</v>
      </c>
      <c r="W1091" s="47">
        <f t="shared" si="251"/>
        <v>220</v>
      </c>
      <c r="X1091" s="79">
        <f>X1092</f>
        <v>-132</v>
      </c>
      <c r="Y1091" s="47">
        <f t="shared" si="279"/>
        <v>88</v>
      </c>
    </row>
    <row r="1092" spans="1:27" x14ac:dyDescent="0.25">
      <c r="A1092" s="135" t="s">
        <v>66</v>
      </c>
      <c r="B1092" s="169" t="s">
        <v>264</v>
      </c>
      <c r="C1092" s="169" t="s">
        <v>1372</v>
      </c>
      <c r="D1092" s="166">
        <v>244</v>
      </c>
      <c r="E1092" s="47"/>
      <c r="F1092" s="47"/>
      <c r="G1092" s="47"/>
      <c r="H1092" s="83"/>
      <c r="I1092" s="47"/>
      <c r="J1092" s="83"/>
      <c r="K1092" s="47"/>
      <c r="L1092" s="83"/>
      <c r="M1092" s="47"/>
      <c r="N1092" s="83"/>
      <c r="O1092" s="47"/>
      <c r="P1092" s="95"/>
      <c r="Q1092" s="47"/>
      <c r="R1092" s="80"/>
      <c r="S1092" s="47"/>
      <c r="T1092" s="83"/>
      <c r="U1092" s="47">
        <f t="shared" si="295"/>
        <v>0</v>
      </c>
      <c r="V1092" s="39">
        <v>220</v>
      </c>
      <c r="W1092" s="47">
        <f t="shared" si="251"/>
        <v>220</v>
      </c>
      <c r="X1092" s="109">
        <v>-132</v>
      </c>
      <c r="Y1092" s="47">
        <f t="shared" si="279"/>
        <v>88</v>
      </c>
      <c r="AA1092" s="189">
        <f>Y1092+Z1092</f>
        <v>88</v>
      </c>
    </row>
    <row r="1093" spans="1:27" ht="24" x14ac:dyDescent="0.25">
      <c r="A1093" s="163" t="s">
        <v>1356</v>
      </c>
      <c r="B1093" s="170" t="s">
        <v>264</v>
      </c>
      <c r="C1093" s="170" t="s">
        <v>1373</v>
      </c>
      <c r="D1093" s="166"/>
      <c r="E1093" s="47"/>
      <c r="F1093" s="47"/>
      <c r="G1093" s="47"/>
      <c r="H1093" s="83"/>
      <c r="I1093" s="47"/>
      <c r="J1093" s="83"/>
      <c r="K1093" s="47"/>
      <c r="L1093" s="83"/>
      <c r="M1093" s="47"/>
      <c r="N1093" s="83"/>
      <c r="O1093" s="47"/>
      <c r="P1093" s="95"/>
      <c r="Q1093" s="47"/>
      <c r="R1093" s="80"/>
      <c r="S1093" s="47"/>
      <c r="T1093" s="79">
        <f>T1094</f>
        <v>0</v>
      </c>
      <c r="U1093" s="47">
        <f t="shared" si="295"/>
        <v>0</v>
      </c>
      <c r="V1093" s="79">
        <f>V1094</f>
        <v>190</v>
      </c>
      <c r="W1093" s="47">
        <f t="shared" si="251"/>
        <v>190</v>
      </c>
      <c r="X1093" s="79">
        <f>X1094</f>
        <v>-114</v>
      </c>
      <c r="Y1093" s="47">
        <f t="shared" si="279"/>
        <v>76</v>
      </c>
    </row>
    <row r="1094" spans="1:27" x14ac:dyDescent="0.25">
      <c r="A1094" s="135" t="s">
        <v>66</v>
      </c>
      <c r="B1094" s="171" t="s">
        <v>264</v>
      </c>
      <c r="C1094" s="171" t="s">
        <v>1373</v>
      </c>
      <c r="D1094" s="166">
        <v>244</v>
      </c>
      <c r="E1094" s="47"/>
      <c r="F1094" s="47"/>
      <c r="G1094" s="47"/>
      <c r="H1094" s="83"/>
      <c r="I1094" s="47"/>
      <c r="J1094" s="83"/>
      <c r="K1094" s="47"/>
      <c r="L1094" s="83"/>
      <c r="M1094" s="47"/>
      <c r="N1094" s="83"/>
      <c r="O1094" s="47"/>
      <c r="P1094" s="95"/>
      <c r="Q1094" s="47"/>
      <c r="R1094" s="80"/>
      <c r="S1094" s="47"/>
      <c r="T1094" s="83"/>
      <c r="U1094" s="47">
        <f t="shared" si="295"/>
        <v>0</v>
      </c>
      <c r="V1094" s="39">
        <v>190</v>
      </c>
      <c r="W1094" s="47">
        <f t="shared" si="251"/>
        <v>190</v>
      </c>
      <c r="X1094" s="109">
        <v>-114</v>
      </c>
      <c r="Y1094" s="47">
        <f t="shared" si="279"/>
        <v>76</v>
      </c>
      <c r="AA1094" s="189">
        <f>Y1094+Z1094</f>
        <v>76</v>
      </c>
    </row>
    <row r="1095" spans="1:27" ht="24" x14ac:dyDescent="0.25">
      <c r="A1095" s="160" t="s">
        <v>1357</v>
      </c>
      <c r="B1095" s="170" t="s">
        <v>264</v>
      </c>
      <c r="C1095" s="170" t="s">
        <v>1374</v>
      </c>
      <c r="D1095" s="166"/>
      <c r="E1095" s="47"/>
      <c r="F1095" s="47"/>
      <c r="G1095" s="47"/>
      <c r="H1095" s="83"/>
      <c r="I1095" s="47"/>
      <c r="J1095" s="83"/>
      <c r="K1095" s="47"/>
      <c r="L1095" s="83"/>
      <c r="M1095" s="47"/>
      <c r="N1095" s="83"/>
      <c r="O1095" s="47"/>
      <c r="P1095" s="95"/>
      <c r="Q1095" s="47"/>
      <c r="R1095" s="80"/>
      <c r="S1095" s="47"/>
      <c r="T1095" s="79">
        <f>T1096</f>
        <v>0</v>
      </c>
      <c r="U1095" s="47">
        <f t="shared" si="295"/>
        <v>0</v>
      </c>
      <c r="V1095" s="79">
        <f>V1096</f>
        <v>140</v>
      </c>
      <c r="W1095" s="47">
        <f t="shared" si="251"/>
        <v>140</v>
      </c>
      <c r="X1095" s="79">
        <f>X1096</f>
        <v>-84</v>
      </c>
      <c r="Y1095" s="47">
        <f t="shared" si="279"/>
        <v>56</v>
      </c>
    </row>
    <row r="1096" spans="1:27" x14ac:dyDescent="0.25">
      <c r="A1096" s="135" t="s">
        <v>66</v>
      </c>
      <c r="B1096" s="171" t="s">
        <v>264</v>
      </c>
      <c r="C1096" s="171" t="s">
        <v>1374</v>
      </c>
      <c r="D1096" s="166">
        <v>244</v>
      </c>
      <c r="E1096" s="47"/>
      <c r="F1096" s="47"/>
      <c r="G1096" s="47"/>
      <c r="H1096" s="83"/>
      <c r="I1096" s="47"/>
      <c r="J1096" s="83"/>
      <c r="K1096" s="47"/>
      <c r="L1096" s="83"/>
      <c r="M1096" s="47"/>
      <c r="N1096" s="83"/>
      <c r="O1096" s="47"/>
      <c r="P1096" s="95"/>
      <c r="Q1096" s="47"/>
      <c r="R1096" s="80"/>
      <c r="S1096" s="47"/>
      <c r="T1096" s="83"/>
      <c r="U1096" s="47">
        <f t="shared" si="295"/>
        <v>0</v>
      </c>
      <c r="V1096" s="39">
        <v>140</v>
      </c>
      <c r="W1096" s="47">
        <f t="shared" si="251"/>
        <v>140</v>
      </c>
      <c r="X1096" s="109">
        <v>-84</v>
      </c>
      <c r="Y1096" s="47">
        <f t="shared" si="279"/>
        <v>56</v>
      </c>
      <c r="AA1096" s="189">
        <f>Y1096+Z1096</f>
        <v>56</v>
      </c>
    </row>
    <row r="1097" spans="1:27" ht="24" x14ac:dyDescent="0.25">
      <c r="A1097" s="160" t="s">
        <v>1358</v>
      </c>
      <c r="B1097" s="161" t="s">
        <v>264</v>
      </c>
      <c r="C1097" s="170" t="s">
        <v>1375</v>
      </c>
      <c r="D1097" s="166"/>
      <c r="E1097" s="47"/>
      <c r="F1097" s="47"/>
      <c r="G1097" s="47"/>
      <c r="H1097" s="83"/>
      <c r="I1097" s="47"/>
      <c r="J1097" s="83"/>
      <c r="K1097" s="47"/>
      <c r="L1097" s="83"/>
      <c r="M1097" s="47"/>
      <c r="N1097" s="83"/>
      <c r="O1097" s="47"/>
      <c r="P1097" s="95"/>
      <c r="Q1097" s="47"/>
      <c r="R1097" s="80"/>
      <c r="S1097" s="47"/>
      <c r="T1097" s="79">
        <f>T1098</f>
        <v>0</v>
      </c>
      <c r="U1097" s="47">
        <f t="shared" si="295"/>
        <v>0</v>
      </c>
      <c r="V1097" s="79">
        <f>V1098</f>
        <v>550</v>
      </c>
      <c r="W1097" s="47">
        <f t="shared" si="251"/>
        <v>550</v>
      </c>
      <c r="X1097" s="79">
        <f>X1098</f>
        <v>-330</v>
      </c>
      <c r="Y1097" s="47">
        <f t="shared" si="279"/>
        <v>220</v>
      </c>
    </row>
    <row r="1098" spans="1:27" x14ac:dyDescent="0.25">
      <c r="A1098" s="135" t="s">
        <v>66</v>
      </c>
      <c r="B1098" s="162" t="s">
        <v>264</v>
      </c>
      <c r="C1098" s="171" t="s">
        <v>1375</v>
      </c>
      <c r="D1098" s="166">
        <v>244</v>
      </c>
      <c r="E1098" s="47"/>
      <c r="F1098" s="47"/>
      <c r="G1098" s="47"/>
      <c r="H1098" s="83"/>
      <c r="I1098" s="47"/>
      <c r="J1098" s="83"/>
      <c r="K1098" s="47"/>
      <c r="L1098" s="83"/>
      <c r="M1098" s="47"/>
      <c r="N1098" s="83"/>
      <c r="O1098" s="47"/>
      <c r="P1098" s="95"/>
      <c r="Q1098" s="47"/>
      <c r="R1098" s="80"/>
      <c r="S1098" s="47"/>
      <c r="T1098" s="83"/>
      <c r="U1098" s="47">
        <f t="shared" si="295"/>
        <v>0</v>
      </c>
      <c r="V1098" s="39">
        <v>550</v>
      </c>
      <c r="W1098" s="47">
        <f t="shared" si="251"/>
        <v>550</v>
      </c>
      <c r="X1098" s="109">
        <v>-330</v>
      </c>
      <c r="Y1098" s="47">
        <f t="shared" si="279"/>
        <v>220</v>
      </c>
      <c r="AA1098" s="189">
        <f>Y1098+Z1098</f>
        <v>220</v>
      </c>
    </row>
    <row r="1099" spans="1:27" ht="24" x14ac:dyDescent="0.25">
      <c r="A1099" s="160" t="s">
        <v>1359</v>
      </c>
      <c r="B1099" s="161" t="s">
        <v>264</v>
      </c>
      <c r="C1099" s="170" t="s">
        <v>1376</v>
      </c>
      <c r="D1099" s="166"/>
      <c r="E1099" s="47"/>
      <c r="F1099" s="47"/>
      <c r="G1099" s="47"/>
      <c r="H1099" s="83"/>
      <c r="I1099" s="47"/>
      <c r="J1099" s="83"/>
      <c r="K1099" s="47"/>
      <c r="L1099" s="83"/>
      <c r="M1099" s="47"/>
      <c r="N1099" s="83"/>
      <c r="O1099" s="47"/>
      <c r="P1099" s="95"/>
      <c r="Q1099" s="47"/>
      <c r="R1099" s="80"/>
      <c r="S1099" s="47"/>
      <c r="T1099" s="79">
        <f>T1100</f>
        <v>0</v>
      </c>
      <c r="U1099" s="47">
        <f t="shared" si="295"/>
        <v>0</v>
      </c>
      <c r="V1099" s="79">
        <f>V1100</f>
        <v>783.7</v>
      </c>
      <c r="W1099" s="47">
        <f t="shared" si="251"/>
        <v>783.7</v>
      </c>
      <c r="X1099" s="79">
        <f>X1100</f>
        <v>-470.2</v>
      </c>
      <c r="Y1099" s="47">
        <f t="shared" si="279"/>
        <v>313.50000000000006</v>
      </c>
    </row>
    <row r="1100" spans="1:27" x14ac:dyDescent="0.25">
      <c r="A1100" s="135" t="s">
        <v>66</v>
      </c>
      <c r="B1100" s="162" t="s">
        <v>264</v>
      </c>
      <c r="C1100" s="171" t="s">
        <v>1376</v>
      </c>
      <c r="D1100" s="166">
        <v>244</v>
      </c>
      <c r="E1100" s="47"/>
      <c r="F1100" s="47"/>
      <c r="G1100" s="47"/>
      <c r="H1100" s="83"/>
      <c r="I1100" s="47"/>
      <c r="J1100" s="83"/>
      <c r="K1100" s="47"/>
      <c r="L1100" s="83"/>
      <c r="M1100" s="47"/>
      <c r="N1100" s="83"/>
      <c r="O1100" s="47"/>
      <c r="P1100" s="95"/>
      <c r="Q1100" s="47"/>
      <c r="R1100" s="80"/>
      <c r="S1100" s="47"/>
      <c r="T1100" s="83"/>
      <c r="U1100" s="47">
        <f t="shared" si="295"/>
        <v>0</v>
      </c>
      <c r="V1100" s="39">
        <v>783.7</v>
      </c>
      <c r="W1100" s="47">
        <f t="shared" si="251"/>
        <v>783.7</v>
      </c>
      <c r="X1100" s="109">
        <v>-470.2</v>
      </c>
      <c r="Y1100" s="47">
        <f t="shared" si="279"/>
        <v>313.50000000000006</v>
      </c>
      <c r="AA1100" s="189">
        <f>Y1100+Z1100</f>
        <v>313.50000000000006</v>
      </c>
    </row>
    <row r="1101" spans="1:27" ht="24" x14ac:dyDescent="0.25">
      <c r="A1101" s="160" t="s">
        <v>1360</v>
      </c>
      <c r="B1101" s="161" t="s">
        <v>264</v>
      </c>
      <c r="C1101" s="170" t="s">
        <v>1377</v>
      </c>
      <c r="D1101" s="169"/>
      <c r="E1101" s="47"/>
      <c r="F1101" s="47"/>
      <c r="G1101" s="47"/>
      <c r="H1101" s="83"/>
      <c r="I1101" s="47"/>
      <c r="J1101" s="83"/>
      <c r="K1101" s="47"/>
      <c r="L1101" s="83"/>
      <c r="M1101" s="47"/>
      <c r="N1101" s="83"/>
      <c r="O1101" s="47"/>
      <c r="P1101" s="95"/>
      <c r="Q1101" s="47"/>
      <c r="R1101" s="80"/>
      <c r="S1101" s="47"/>
      <c r="T1101" s="79">
        <f>T1102</f>
        <v>0</v>
      </c>
      <c r="U1101" s="47">
        <f t="shared" si="295"/>
        <v>0</v>
      </c>
      <c r="V1101" s="79">
        <f>V1102</f>
        <v>110</v>
      </c>
      <c r="W1101" s="47">
        <f t="shared" si="251"/>
        <v>110</v>
      </c>
      <c r="X1101" s="79">
        <f>X1102</f>
        <v>-66</v>
      </c>
      <c r="Y1101" s="47">
        <f t="shared" si="279"/>
        <v>44</v>
      </c>
    </row>
    <row r="1102" spans="1:27" x14ac:dyDescent="0.25">
      <c r="A1102" s="135" t="s">
        <v>66</v>
      </c>
      <c r="B1102" s="162" t="s">
        <v>264</v>
      </c>
      <c r="C1102" s="171" t="s">
        <v>1377</v>
      </c>
      <c r="D1102" s="166">
        <v>244</v>
      </c>
      <c r="E1102" s="47"/>
      <c r="F1102" s="47"/>
      <c r="G1102" s="47"/>
      <c r="H1102" s="83"/>
      <c r="I1102" s="47"/>
      <c r="J1102" s="83"/>
      <c r="K1102" s="47"/>
      <c r="L1102" s="83"/>
      <c r="M1102" s="47"/>
      <c r="N1102" s="83"/>
      <c r="O1102" s="47"/>
      <c r="P1102" s="95"/>
      <c r="Q1102" s="47"/>
      <c r="R1102" s="80"/>
      <c r="S1102" s="47"/>
      <c r="T1102" s="83"/>
      <c r="U1102" s="47">
        <f t="shared" si="295"/>
        <v>0</v>
      </c>
      <c r="V1102" s="39">
        <v>110</v>
      </c>
      <c r="W1102" s="47">
        <f t="shared" si="251"/>
        <v>110</v>
      </c>
      <c r="X1102" s="109">
        <v>-66</v>
      </c>
      <c r="Y1102" s="47">
        <f t="shared" si="279"/>
        <v>44</v>
      </c>
      <c r="AA1102" s="189">
        <f>Y1102+Z1102</f>
        <v>44</v>
      </c>
    </row>
    <row r="1103" spans="1:27" ht="24" x14ac:dyDescent="0.25">
      <c r="A1103" s="160" t="s">
        <v>1361</v>
      </c>
      <c r="B1103" s="161" t="s">
        <v>264</v>
      </c>
      <c r="C1103" s="170" t="s">
        <v>1378</v>
      </c>
      <c r="D1103" s="169"/>
      <c r="E1103" s="47"/>
      <c r="F1103" s="47"/>
      <c r="G1103" s="47"/>
      <c r="H1103" s="83"/>
      <c r="I1103" s="47"/>
      <c r="J1103" s="83"/>
      <c r="K1103" s="47"/>
      <c r="L1103" s="83"/>
      <c r="M1103" s="47"/>
      <c r="N1103" s="83"/>
      <c r="O1103" s="47"/>
      <c r="P1103" s="95"/>
      <c r="Q1103" s="47"/>
      <c r="R1103" s="80"/>
      <c r="S1103" s="47"/>
      <c r="T1103" s="79">
        <f>T1104</f>
        <v>0</v>
      </c>
      <c r="U1103" s="47">
        <f t="shared" si="295"/>
        <v>0</v>
      </c>
      <c r="V1103" s="79">
        <f>V1104</f>
        <v>100</v>
      </c>
      <c r="W1103" s="47">
        <f t="shared" si="251"/>
        <v>100</v>
      </c>
      <c r="X1103" s="79">
        <f>X1104</f>
        <v>-60</v>
      </c>
      <c r="Y1103" s="47">
        <f t="shared" si="279"/>
        <v>40</v>
      </c>
    </row>
    <row r="1104" spans="1:27" x14ac:dyDescent="0.25">
      <c r="A1104" s="135" t="s">
        <v>66</v>
      </c>
      <c r="B1104" s="162" t="s">
        <v>264</v>
      </c>
      <c r="C1104" s="171" t="s">
        <v>1378</v>
      </c>
      <c r="D1104" s="166">
        <v>244</v>
      </c>
      <c r="E1104" s="47"/>
      <c r="F1104" s="47"/>
      <c r="G1104" s="47"/>
      <c r="H1104" s="83"/>
      <c r="I1104" s="47"/>
      <c r="J1104" s="83"/>
      <c r="K1104" s="47"/>
      <c r="L1104" s="83"/>
      <c r="M1104" s="47"/>
      <c r="N1104" s="83"/>
      <c r="O1104" s="47"/>
      <c r="P1104" s="95"/>
      <c r="Q1104" s="47"/>
      <c r="R1104" s="80"/>
      <c r="S1104" s="47"/>
      <c r="T1104" s="83"/>
      <c r="U1104" s="47">
        <f t="shared" si="295"/>
        <v>0</v>
      </c>
      <c r="V1104" s="39">
        <v>100</v>
      </c>
      <c r="W1104" s="47">
        <f t="shared" si="251"/>
        <v>100</v>
      </c>
      <c r="X1104" s="109">
        <v>-60</v>
      </c>
      <c r="Y1104" s="47">
        <f t="shared" si="279"/>
        <v>40</v>
      </c>
      <c r="AA1104" s="189">
        <f>Y1104+Z1104</f>
        <v>40</v>
      </c>
    </row>
    <row r="1105" spans="1:27" ht="24" x14ac:dyDescent="0.25">
      <c r="A1105" s="137" t="s">
        <v>1362</v>
      </c>
      <c r="B1105" s="161" t="s">
        <v>264</v>
      </c>
      <c r="C1105" s="170" t="s">
        <v>1379</v>
      </c>
      <c r="D1105" s="169"/>
      <c r="E1105" s="47"/>
      <c r="F1105" s="47"/>
      <c r="G1105" s="47"/>
      <c r="H1105" s="83"/>
      <c r="I1105" s="47"/>
      <c r="J1105" s="83"/>
      <c r="K1105" s="47"/>
      <c r="L1105" s="83"/>
      <c r="M1105" s="47"/>
      <c r="N1105" s="83"/>
      <c r="O1105" s="47"/>
      <c r="P1105" s="95"/>
      <c r="Q1105" s="47"/>
      <c r="R1105" s="80"/>
      <c r="S1105" s="47"/>
      <c r="T1105" s="79">
        <f>T1106</f>
        <v>0</v>
      </c>
      <c r="U1105" s="47">
        <f t="shared" si="295"/>
        <v>0</v>
      </c>
      <c r="V1105" s="79">
        <f>V1106</f>
        <v>315</v>
      </c>
      <c r="W1105" s="47">
        <f t="shared" si="251"/>
        <v>315</v>
      </c>
      <c r="X1105" s="79">
        <f>X1106</f>
        <v>-189</v>
      </c>
      <c r="Y1105" s="47">
        <f t="shared" si="279"/>
        <v>126</v>
      </c>
    </row>
    <row r="1106" spans="1:27" x14ac:dyDescent="0.25">
      <c r="A1106" s="135" t="s">
        <v>66</v>
      </c>
      <c r="B1106" s="162" t="s">
        <v>264</v>
      </c>
      <c r="C1106" s="171" t="s">
        <v>1379</v>
      </c>
      <c r="D1106" s="166">
        <v>244</v>
      </c>
      <c r="E1106" s="47"/>
      <c r="F1106" s="47"/>
      <c r="G1106" s="47"/>
      <c r="H1106" s="83"/>
      <c r="I1106" s="47"/>
      <c r="J1106" s="83"/>
      <c r="K1106" s="47"/>
      <c r="L1106" s="83"/>
      <c r="M1106" s="47"/>
      <c r="N1106" s="83"/>
      <c r="O1106" s="47"/>
      <c r="P1106" s="95"/>
      <c r="Q1106" s="47"/>
      <c r="R1106" s="80"/>
      <c r="S1106" s="47"/>
      <c r="T1106" s="83"/>
      <c r="U1106" s="47">
        <f t="shared" si="295"/>
        <v>0</v>
      </c>
      <c r="V1106" s="39">
        <v>315</v>
      </c>
      <c r="W1106" s="47">
        <f t="shared" si="251"/>
        <v>315</v>
      </c>
      <c r="X1106" s="109">
        <v>-189</v>
      </c>
      <c r="Y1106" s="47">
        <f t="shared" si="279"/>
        <v>126</v>
      </c>
      <c r="AA1106" s="189">
        <f>Y1106+Z1106</f>
        <v>126</v>
      </c>
    </row>
    <row r="1107" spans="1:27" x14ac:dyDescent="0.25">
      <c r="A1107" s="133" t="s">
        <v>1351</v>
      </c>
      <c r="B1107" s="168" t="s">
        <v>264</v>
      </c>
      <c r="C1107" s="172" t="s">
        <v>1368</v>
      </c>
      <c r="D1107" s="166"/>
      <c r="E1107" s="47"/>
      <c r="F1107" s="47"/>
      <c r="G1107" s="47"/>
      <c r="H1107" s="83"/>
      <c r="I1107" s="47"/>
      <c r="J1107" s="83"/>
      <c r="K1107" s="47"/>
      <c r="L1107" s="83"/>
      <c r="M1107" s="47"/>
      <c r="N1107" s="83"/>
      <c r="O1107" s="47"/>
      <c r="P1107" s="95"/>
      <c r="Q1107" s="47"/>
      <c r="R1107" s="80"/>
      <c r="S1107" s="47"/>
      <c r="T1107" s="83"/>
      <c r="U1107" s="47"/>
      <c r="V1107" s="79">
        <f>V1108</f>
        <v>500</v>
      </c>
      <c r="W1107" s="47">
        <f t="shared" si="251"/>
        <v>500</v>
      </c>
      <c r="X1107" s="79">
        <f>X1108</f>
        <v>-300</v>
      </c>
      <c r="Y1107" s="47">
        <f t="shared" si="279"/>
        <v>200</v>
      </c>
    </row>
    <row r="1108" spans="1:27" x14ac:dyDescent="0.25">
      <c r="A1108" s="135" t="s">
        <v>66</v>
      </c>
      <c r="B1108" s="169" t="s">
        <v>264</v>
      </c>
      <c r="C1108" s="173" t="s">
        <v>1368</v>
      </c>
      <c r="D1108" s="166">
        <v>244</v>
      </c>
      <c r="E1108" s="47"/>
      <c r="F1108" s="47"/>
      <c r="G1108" s="47"/>
      <c r="H1108" s="83"/>
      <c r="I1108" s="47"/>
      <c r="J1108" s="83"/>
      <c r="K1108" s="47"/>
      <c r="L1108" s="83"/>
      <c r="M1108" s="47"/>
      <c r="N1108" s="83"/>
      <c r="O1108" s="47"/>
      <c r="P1108" s="95"/>
      <c r="Q1108" s="47"/>
      <c r="R1108" s="80"/>
      <c r="S1108" s="47"/>
      <c r="T1108" s="83"/>
      <c r="U1108" s="47"/>
      <c r="V1108" s="39">
        <v>500</v>
      </c>
      <c r="W1108" s="47">
        <f t="shared" ref="W1108" si="296">U1108+V1108</f>
        <v>500</v>
      </c>
      <c r="X1108" s="109">
        <v>-300</v>
      </c>
      <c r="Y1108" s="47">
        <f t="shared" si="279"/>
        <v>200</v>
      </c>
      <c r="AA1108" s="189">
        <f>Y1108+Z1108</f>
        <v>200</v>
      </c>
    </row>
    <row r="1109" spans="1:27" ht="24" x14ac:dyDescent="0.25">
      <c r="A1109" s="133" t="s">
        <v>1363</v>
      </c>
      <c r="B1109" s="168" t="s">
        <v>264</v>
      </c>
      <c r="C1109" s="172" t="s">
        <v>1380</v>
      </c>
      <c r="D1109" s="166"/>
      <c r="E1109" s="47"/>
      <c r="F1109" s="47"/>
      <c r="G1109" s="47"/>
      <c r="H1109" s="83"/>
      <c r="I1109" s="47"/>
      <c r="J1109" s="83"/>
      <c r="K1109" s="47"/>
      <c r="L1109" s="83"/>
      <c r="M1109" s="47"/>
      <c r="N1109" s="83"/>
      <c r="O1109" s="47"/>
      <c r="P1109" s="95"/>
      <c r="Q1109" s="47"/>
      <c r="R1109" s="80"/>
      <c r="S1109" s="47"/>
      <c r="T1109" s="79">
        <f>T1110</f>
        <v>0</v>
      </c>
      <c r="U1109" s="47">
        <f t="shared" si="295"/>
        <v>0</v>
      </c>
      <c r="V1109" s="79">
        <f>V1110</f>
        <v>505</v>
      </c>
      <c r="W1109" s="47">
        <f t="shared" si="251"/>
        <v>505</v>
      </c>
      <c r="X1109" s="79">
        <f>X1110</f>
        <v>-303</v>
      </c>
      <c r="Y1109" s="47">
        <f t="shared" si="279"/>
        <v>202</v>
      </c>
    </row>
    <row r="1110" spans="1:27" x14ac:dyDescent="0.25">
      <c r="A1110" s="135" t="s">
        <v>66</v>
      </c>
      <c r="B1110" s="169" t="s">
        <v>264</v>
      </c>
      <c r="C1110" s="173" t="s">
        <v>1380</v>
      </c>
      <c r="D1110" s="166">
        <v>244</v>
      </c>
      <c r="E1110" s="47"/>
      <c r="F1110" s="47"/>
      <c r="G1110" s="47"/>
      <c r="H1110" s="83"/>
      <c r="I1110" s="47"/>
      <c r="J1110" s="83"/>
      <c r="K1110" s="47"/>
      <c r="L1110" s="83"/>
      <c r="M1110" s="47"/>
      <c r="N1110" s="83"/>
      <c r="O1110" s="47"/>
      <c r="P1110" s="95"/>
      <c r="Q1110" s="47"/>
      <c r="R1110" s="80"/>
      <c r="S1110" s="47"/>
      <c r="T1110" s="83"/>
      <c r="U1110" s="47">
        <f t="shared" si="295"/>
        <v>0</v>
      </c>
      <c r="V1110" s="39">
        <v>505</v>
      </c>
      <c r="W1110" s="47">
        <f t="shared" si="251"/>
        <v>505</v>
      </c>
      <c r="X1110" s="109">
        <v>-303</v>
      </c>
      <c r="Y1110" s="47">
        <f t="shared" si="279"/>
        <v>202</v>
      </c>
      <c r="AA1110" s="189">
        <f>Y1110+Z1110</f>
        <v>202</v>
      </c>
    </row>
    <row r="1111" spans="1:27" x14ac:dyDescent="0.25">
      <c r="A1111" s="133" t="s">
        <v>1364</v>
      </c>
      <c r="B1111" s="168" t="s">
        <v>264</v>
      </c>
      <c r="C1111" s="172" t="s">
        <v>1381</v>
      </c>
      <c r="D1111" s="166"/>
      <c r="E1111" s="47"/>
      <c r="F1111" s="47"/>
      <c r="G1111" s="47"/>
      <c r="H1111" s="83"/>
      <c r="I1111" s="47"/>
      <c r="J1111" s="83"/>
      <c r="K1111" s="47"/>
      <c r="L1111" s="83"/>
      <c r="M1111" s="47"/>
      <c r="N1111" s="83"/>
      <c r="O1111" s="47"/>
      <c r="P1111" s="95"/>
      <c r="Q1111" s="47"/>
      <c r="R1111" s="80"/>
      <c r="S1111" s="47"/>
      <c r="T1111" s="79">
        <f>T1112</f>
        <v>0</v>
      </c>
      <c r="U1111" s="47">
        <f t="shared" si="295"/>
        <v>0</v>
      </c>
      <c r="V1111" s="79">
        <f>V1112</f>
        <v>100</v>
      </c>
      <c r="W1111" s="47">
        <f t="shared" si="251"/>
        <v>100</v>
      </c>
      <c r="X1111" s="79">
        <f>X1112</f>
        <v>-60</v>
      </c>
      <c r="Y1111" s="47">
        <f t="shared" si="279"/>
        <v>40</v>
      </c>
    </row>
    <row r="1112" spans="1:27" x14ac:dyDescent="0.25">
      <c r="A1112" s="135" t="s">
        <v>66</v>
      </c>
      <c r="B1112" s="169" t="s">
        <v>264</v>
      </c>
      <c r="C1112" s="173" t="s">
        <v>1381</v>
      </c>
      <c r="D1112" s="166">
        <v>244</v>
      </c>
      <c r="E1112" s="47"/>
      <c r="F1112" s="47"/>
      <c r="G1112" s="47"/>
      <c r="H1112" s="83"/>
      <c r="I1112" s="47"/>
      <c r="J1112" s="83"/>
      <c r="K1112" s="47"/>
      <c r="L1112" s="83"/>
      <c r="M1112" s="47"/>
      <c r="N1112" s="83"/>
      <c r="O1112" s="47"/>
      <c r="P1112" s="95"/>
      <c r="Q1112" s="47"/>
      <c r="R1112" s="80"/>
      <c r="S1112" s="47"/>
      <c r="T1112" s="83"/>
      <c r="U1112" s="47">
        <f t="shared" si="295"/>
        <v>0</v>
      </c>
      <c r="V1112" s="39">
        <v>100</v>
      </c>
      <c r="W1112" s="47">
        <f t="shared" si="251"/>
        <v>100</v>
      </c>
      <c r="X1112" s="109">
        <v>-60</v>
      </c>
      <c r="Y1112" s="47">
        <f t="shared" si="279"/>
        <v>40</v>
      </c>
      <c r="AA1112" s="189">
        <f>Y1112+Z1112</f>
        <v>40</v>
      </c>
    </row>
    <row r="1113" spans="1:27" x14ac:dyDescent="0.25">
      <c r="A1113" s="133" t="s">
        <v>1365</v>
      </c>
      <c r="B1113" s="168" t="s">
        <v>264</v>
      </c>
      <c r="C1113" s="172" t="s">
        <v>1382</v>
      </c>
      <c r="D1113" s="169"/>
      <c r="E1113" s="47"/>
      <c r="F1113" s="47"/>
      <c r="G1113" s="47"/>
      <c r="H1113" s="83"/>
      <c r="I1113" s="47"/>
      <c r="J1113" s="83"/>
      <c r="K1113" s="47"/>
      <c r="L1113" s="83"/>
      <c r="M1113" s="47"/>
      <c r="N1113" s="83"/>
      <c r="O1113" s="47"/>
      <c r="P1113" s="95"/>
      <c r="Q1113" s="47"/>
      <c r="R1113" s="80"/>
      <c r="S1113" s="47"/>
      <c r="T1113" s="79">
        <f>T1114</f>
        <v>0</v>
      </c>
      <c r="U1113" s="47">
        <f t="shared" si="295"/>
        <v>0</v>
      </c>
      <c r="V1113" s="79">
        <f>V1114</f>
        <v>200</v>
      </c>
      <c r="W1113" s="47">
        <f t="shared" si="251"/>
        <v>200</v>
      </c>
      <c r="X1113" s="79">
        <f>X1114</f>
        <v>-120</v>
      </c>
      <c r="Y1113" s="47">
        <f t="shared" si="279"/>
        <v>80</v>
      </c>
    </row>
    <row r="1114" spans="1:27" x14ac:dyDescent="0.25">
      <c r="A1114" s="135" t="s">
        <v>66</v>
      </c>
      <c r="B1114" s="169" t="s">
        <v>264</v>
      </c>
      <c r="C1114" s="173" t="s">
        <v>1382</v>
      </c>
      <c r="D1114" s="166">
        <v>244</v>
      </c>
      <c r="E1114" s="47"/>
      <c r="F1114" s="47"/>
      <c r="G1114" s="47"/>
      <c r="H1114" s="83"/>
      <c r="I1114" s="47"/>
      <c r="J1114" s="83"/>
      <c r="K1114" s="47"/>
      <c r="L1114" s="83"/>
      <c r="M1114" s="47"/>
      <c r="N1114" s="83"/>
      <c r="O1114" s="47"/>
      <c r="P1114" s="95"/>
      <c r="Q1114" s="47"/>
      <c r="R1114" s="80"/>
      <c r="S1114" s="47"/>
      <c r="T1114" s="83"/>
      <c r="U1114" s="47">
        <f t="shared" si="295"/>
        <v>0</v>
      </c>
      <c r="V1114" s="39">
        <v>200</v>
      </c>
      <c r="W1114" s="47">
        <f t="shared" si="251"/>
        <v>200</v>
      </c>
      <c r="X1114" s="109">
        <v>-120</v>
      </c>
      <c r="Y1114" s="47">
        <f t="shared" si="279"/>
        <v>80</v>
      </c>
      <c r="AA1114" s="189">
        <f>Y1114+Z1114</f>
        <v>80</v>
      </c>
    </row>
    <row r="1115" spans="1:27" x14ac:dyDescent="0.25">
      <c r="A1115" s="133" t="s">
        <v>1366</v>
      </c>
      <c r="B1115" s="174" t="s">
        <v>264</v>
      </c>
      <c r="C1115" s="172" t="s">
        <v>1383</v>
      </c>
      <c r="D1115" s="169"/>
      <c r="E1115" s="47"/>
      <c r="F1115" s="47"/>
      <c r="G1115" s="47"/>
      <c r="H1115" s="83"/>
      <c r="I1115" s="47"/>
      <c r="J1115" s="83"/>
      <c r="K1115" s="47"/>
      <c r="L1115" s="83"/>
      <c r="M1115" s="47"/>
      <c r="N1115" s="83"/>
      <c r="O1115" s="47"/>
      <c r="P1115" s="95"/>
      <c r="Q1115" s="47"/>
      <c r="R1115" s="80"/>
      <c r="S1115" s="47"/>
      <c r="T1115" s="79">
        <f>T1116</f>
        <v>0</v>
      </c>
      <c r="U1115" s="47">
        <f t="shared" si="295"/>
        <v>0</v>
      </c>
      <c r="V1115" s="79">
        <f>V1116</f>
        <v>200</v>
      </c>
      <c r="W1115" s="47">
        <f t="shared" si="251"/>
        <v>200</v>
      </c>
      <c r="X1115" s="79">
        <f>X1116</f>
        <v>-120</v>
      </c>
      <c r="Y1115" s="47">
        <f t="shared" si="279"/>
        <v>80</v>
      </c>
    </row>
    <row r="1116" spans="1:27" x14ac:dyDescent="0.25">
      <c r="A1116" s="135" t="s">
        <v>66</v>
      </c>
      <c r="B1116" s="175" t="s">
        <v>264</v>
      </c>
      <c r="C1116" s="173" t="s">
        <v>1383</v>
      </c>
      <c r="D1116" s="166">
        <v>244</v>
      </c>
      <c r="E1116" s="47"/>
      <c r="F1116" s="47"/>
      <c r="G1116" s="47"/>
      <c r="H1116" s="83"/>
      <c r="I1116" s="47"/>
      <c r="J1116" s="83"/>
      <c r="K1116" s="47"/>
      <c r="L1116" s="83"/>
      <c r="M1116" s="47"/>
      <c r="N1116" s="83"/>
      <c r="O1116" s="47"/>
      <c r="P1116" s="95"/>
      <c r="Q1116" s="47"/>
      <c r="R1116" s="80"/>
      <c r="S1116" s="47"/>
      <c r="T1116" s="83"/>
      <c r="U1116" s="47">
        <f t="shared" si="295"/>
        <v>0</v>
      </c>
      <c r="V1116" s="39">
        <v>200</v>
      </c>
      <c r="W1116" s="47">
        <f t="shared" si="251"/>
        <v>200</v>
      </c>
      <c r="X1116" s="109">
        <v>-120</v>
      </c>
      <c r="Y1116" s="47">
        <f t="shared" si="279"/>
        <v>80</v>
      </c>
      <c r="AA1116" s="189">
        <f>Y1116+Z1116</f>
        <v>80</v>
      </c>
    </row>
    <row r="1117" spans="1:27" ht="24.75" x14ac:dyDescent="0.25">
      <c r="A1117" s="22" t="s">
        <v>593</v>
      </c>
      <c r="B1117" s="23" t="s">
        <v>264</v>
      </c>
      <c r="C1117" s="23" t="s">
        <v>183</v>
      </c>
      <c r="D1117" s="23" t="s">
        <v>2</v>
      </c>
      <c r="E1117" s="24">
        <f>E1118</f>
        <v>82906.5</v>
      </c>
      <c r="F1117" s="24">
        <f>F1118</f>
        <v>0</v>
      </c>
      <c r="G1117" s="24">
        <f t="shared" si="246"/>
        <v>82906.5</v>
      </c>
      <c r="H1117" s="24">
        <f>H1118</f>
        <v>51283.4</v>
      </c>
      <c r="I1117" s="24">
        <f t="shared" si="247"/>
        <v>134189.9</v>
      </c>
      <c r="J1117" s="47">
        <f>J1118</f>
        <v>-499.59999999999997</v>
      </c>
      <c r="K1117" s="24">
        <f t="shared" si="248"/>
        <v>133690.29999999999</v>
      </c>
      <c r="L1117" s="47">
        <f>L1118</f>
        <v>17653.7</v>
      </c>
      <c r="M1117" s="24">
        <f t="shared" si="249"/>
        <v>151344</v>
      </c>
      <c r="N1117" s="47">
        <f>N1118+N1159+N1155</f>
        <v>15421.499999999996</v>
      </c>
      <c r="O1117" s="24">
        <f t="shared" si="250"/>
        <v>166765.5</v>
      </c>
      <c r="P1117" s="47">
        <f>P1118+P1159+P1155</f>
        <v>13374.8</v>
      </c>
      <c r="Q1117" s="24">
        <f t="shared" si="275"/>
        <v>180140.3</v>
      </c>
      <c r="R1117" s="47">
        <f>R1118+R1159+R1155</f>
        <v>1190.5</v>
      </c>
      <c r="S1117" s="24">
        <f t="shared" si="237"/>
        <v>181330.8</v>
      </c>
      <c r="T1117" s="47">
        <f>T1118+T1159+T1155</f>
        <v>4220</v>
      </c>
      <c r="U1117" s="24">
        <f t="shared" si="238"/>
        <v>185550.8</v>
      </c>
      <c r="V1117" s="47">
        <f>V1118+V1159+V1155</f>
        <v>-806</v>
      </c>
      <c r="W1117" s="24">
        <f t="shared" si="251"/>
        <v>184744.8</v>
      </c>
      <c r="X1117" s="47">
        <f>X1118+X1159+X1155</f>
        <v>-519.9</v>
      </c>
      <c r="Y1117" s="24">
        <f t="shared" si="279"/>
        <v>184224.9</v>
      </c>
    </row>
    <row r="1118" spans="1:27" ht="24.75" x14ac:dyDescent="0.25">
      <c r="A1118" s="22" t="s">
        <v>597</v>
      </c>
      <c r="B1118" s="23" t="s">
        <v>264</v>
      </c>
      <c r="C1118" s="23" t="s">
        <v>212</v>
      </c>
      <c r="D1118" s="23" t="s">
        <v>2</v>
      </c>
      <c r="E1118" s="24">
        <f>E1119+E1144</f>
        <v>82906.5</v>
      </c>
      <c r="F1118" s="24">
        <f>F1119+F1144</f>
        <v>0</v>
      </c>
      <c r="G1118" s="24">
        <f t="shared" si="246"/>
        <v>82906.5</v>
      </c>
      <c r="H1118" s="24">
        <f>H1119+H1144+H1140+H1147</f>
        <v>51283.4</v>
      </c>
      <c r="I1118" s="24">
        <f t="shared" si="247"/>
        <v>134189.9</v>
      </c>
      <c r="J1118" s="24">
        <f>J1119+J1144+J1140+J1147</f>
        <v>-499.59999999999997</v>
      </c>
      <c r="K1118" s="24">
        <f t="shared" si="248"/>
        <v>133690.29999999999</v>
      </c>
      <c r="L1118" s="47">
        <f>L1119+L1144+L1140+L1147</f>
        <v>17653.7</v>
      </c>
      <c r="M1118" s="24">
        <f t="shared" si="249"/>
        <v>151344</v>
      </c>
      <c r="N1118" s="47">
        <f>N1119+N1144+N1140+N1147</f>
        <v>3168.2999999999984</v>
      </c>
      <c r="O1118" s="24">
        <f t="shared" si="250"/>
        <v>154512.29999999999</v>
      </c>
      <c r="P1118" s="47">
        <f>P1119+P1144+P1140+P1147</f>
        <v>13374.8</v>
      </c>
      <c r="Q1118" s="24">
        <f t="shared" si="275"/>
        <v>167887.09999999998</v>
      </c>
      <c r="R1118" s="47">
        <f>R1119+R1144+R1140+R1147</f>
        <v>4109.5</v>
      </c>
      <c r="S1118" s="24">
        <f t="shared" si="237"/>
        <v>171996.59999999998</v>
      </c>
      <c r="T1118" s="47">
        <f>T1119+T1144+T1140+T1147</f>
        <v>3260.7</v>
      </c>
      <c r="U1118" s="24">
        <f t="shared" si="238"/>
        <v>175257.3</v>
      </c>
      <c r="V1118" s="47">
        <f>V1119+V1144+V1140+V1147</f>
        <v>-806</v>
      </c>
      <c r="W1118" s="24">
        <f t="shared" si="251"/>
        <v>174451.3</v>
      </c>
      <c r="X1118" s="47">
        <f>X1119+X1144+X1140+X1147</f>
        <v>-504.7</v>
      </c>
      <c r="Y1118" s="24">
        <f t="shared" si="279"/>
        <v>173946.59999999998</v>
      </c>
    </row>
    <row r="1119" spans="1:27" x14ac:dyDescent="0.25">
      <c r="A1119" s="22" t="s">
        <v>213</v>
      </c>
      <c r="B1119" s="23" t="s">
        <v>264</v>
      </c>
      <c r="C1119" s="23" t="s">
        <v>214</v>
      </c>
      <c r="D1119" s="23" t="s">
        <v>2</v>
      </c>
      <c r="E1119" s="24">
        <f>E1125+E1129+E1131+E1134+E1138+E1127</f>
        <v>62533.5</v>
      </c>
      <c r="F1119" s="24">
        <f>F1125+F1129+F1131+F1134+F1138+F1127</f>
        <v>0</v>
      </c>
      <c r="G1119" s="24">
        <f t="shared" si="246"/>
        <v>62533.5</v>
      </c>
      <c r="H1119" s="24">
        <f>H1125+H1129+H1131+H1134+H1138+H1127</f>
        <v>10000</v>
      </c>
      <c r="I1119" s="24">
        <f t="shared" si="247"/>
        <v>72533.5</v>
      </c>
      <c r="J1119" s="24">
        <f>J1125+J1129+J1131+J1134+J1138+J1127</f>
        <v>-531.29999999999995</v>
      </c>
      <c r="K1119" s="24">
        <f t="shared" si="248"/>
        <v>72002.2</v>
      </c>
      <c r="L1119" s="47">
        <f>L1125+L1129+L1131+L1134+L1138+L1127+L1123</f>
        <v>17566.5</v>
      </c>
      <c r="M1119" s="24">
        <f t="shared" si="249"/>
        <v>89568.7</v>
      </c>
      <c r="N1119" s="47">
        <f>N1125+N1129+N1131+N1134+N1138+N1127+N1123</f>
        <v>1630.5999999999985</v>
      </c>
      <c r="O1119" s="24">
        <f t="shared" si="250"/>
        <v>91199.299999999988</v>
      </c>
      <c r="P1119" s="47">
        <f>P1125+P1129+P1131+P1134+P1138+P1127+P1123+P1120</f>
        <v>13374.8</v>
      </c>
      <c r="Q1119" s="24">
        <f t="shared" si="275"/>
        <v>104574.09999999999</v>
      </c>
      <c r="R1119" s="47">
        <f>R1125+R1129+R1131+R1134+R1138+R1127+R1123+R1120</f>
        <v>2895.4999999999995</v>
      </c>
      <c r="S1119" s="24">
        <f t="shared" si="237"/>
        <v>107469.59999999999</v>
      </c>
      <c r="T1119" s="47">
        <f>T1125+T1129+T1131+T1134+T1138+T1127+T1123+T1120</f>
        <v>3260.7</v>
      </c>
      <c r="U1119" s="24">
        <f t="shared" si="238"/>
        <v>110730.29999999999</v>
      </c>
      <c r="V1119" s="47">
        <f>V1125+V1129+V1131+V1134+V1138+V1127+V1123+V1120</f>
        <v>-803.9</v>
      </c>
      <c r="W1119" s="24">
        <f t="shared" si="251"/>
        <v>109926.39999999999</v>
      </c>
      <c r="X1119" s="47">
        <f>X1125+X1129+X1131+X1134+X1138+X1127+X1123+X1120</f>
        <v>-316.5</v>
      </c>
      <c r="Y1119" s="24">
        <f t="shared" si="279"/>
        <v>109609.9</v>
      </c>
    </row>
    <row r="1120" spans="1:27" x14ac:dyDescent="0.25">
      <c r="A1120" s="22" t="s">
        <v>769</v>
      </c>
      <c r="B1120" s="23" t="s">
        <v>264</v>
      </c>
      <c r="C1120" s="23" t="s">
        <v>909</v>
      </c>
      <c r="D1120" s="23"/>
      <c r="E1120" s="24"/>
      <c r="F1120" s="24"/>
      <c r="G1120" s="24"/>
      <c r="H1120" s="24"/>
      <c r="I1120" s="24"/>
      <c r="J1120" s="24"/>
      <c r="K1120" s="24"/>
      <c r="L1120" s="47"/>
      <c r="M1120" s="24"/>
      <c r="N1120" s="47"/>
      <c r="O1120" s="24">
        <f t="shared" si="250"/>
        <v>0</v>
      </c>
      <c r="P1120" s="47">
        <f>P1121+P1122</f>
        <v>11014.6</v>
      </c>
      <c r="Q1120" s="24">
        <f t="shared" si="275"/>
        <v>11014.6</v>
      </c>
      <c r="R1120" s="47">
        <f>R1121+R1122</f>
        <v>0</v>
      </c>
      <c r="S1120" s="24">
        <f t="shared" si="237"/>
        <v>11014.6</v>
      </c>
      <c r="T1120" s="47">
        <f>T1121+T1122</f>
        <v>0</v>
      </c>
      <c r="U1120" s="24">
        <f t="shared" si="238"/>
        <v>11014.6</v>
      </c>
      <c r="V1120" s="47">
        <f>V1121+V1122</f>
        <v>0</v>
      </c>
      <c r="W1120" s="24">
        <f t="shared" si="251"/>
        <v>11014.6</v>
      </c>
      <c r="X1120" s="47">
        <f>X1121+X1122</f>
        <v>0</v>
      </c>
      <c r="Y1120" s="24">
        <f t="shared" si="279"/>
        <v>11014.6</v>
      </c>
    </row>
    <row r="1121" spans="1:27" s="6" customFormat="1" x14ac:dyDescent="0.25">
      <c r="A1121" s="30" t="s">
        <v>66</v>
      </c>
      <c r="B1121" s="26" t="s">
        <v>264</v>
      </c>
      <c r="C1121" s="26" t="s">
        <v>909</v>
      </c>
      <c r="D1121" s="26" t="s">
        <v>42</v>
      </c>
      <c r="E1121" s="27"/>
      <c r="F1121" s="27"/>
      <c r="G1121" s="27"/>
      <c r="H1121" s="27"/>
      <c r="I1121" s="27"/>
      <c r="J1121" s="27"/>
      <c r="K1121" s="27"/>
      <c r="L1121" s="69"/>
      <c r="M1121" s="27"/>
      <c r="N1121" s="69"/>
      <c r="O1121" s="27">
        <f t="shared" si="250"/>
        <v>0</v>
      </c>
      <c r="P1121" s="125">
        <f>600+4423.6</f>
        <v>5023.6000000000004</v>
      </c>
      <c r="Q1121" s="27">
        <f t="shared" si="275"/>
        <v>5023.6000000000004</v>
      </c>
      <c r="R1121" s="69"/>
      <c r="S1121" s="27">
        <f t="shared" si="237"/>
        <v>5023.6000000000004</v>
      </c>
      <c r="T1121" s="69"/>
      <c r="U1121" s="27">
        <f t="shared" si="238"/>
        <v>5023.6000000000004</v>
      </c>
      <c r="V1121" s="69"/>
      <c r="W1121" s="27">
        <f t="shared" si="251"/>
        <v>5023.6000000000004</v>
      </c>
      <c r="X1121" s="69"/>
      <c r="Y1121" s="27">
        <f t="shared" si="279"/>
        <v>5023.6000000000004</v>
      </c>
      <c r="Z1121" s="189"/>
      <c r="AA1121" s="189">
        <f t="shared" ref="AA1121:AA1122" si="297">Y1121+Z1121</f>
        <v>5023.6000000000004</v>
      </c>
    </row>
    <row r="1122" spans="1:27" s="6" customFormat="1" x14ac:dyDescent="0.25">
      <c r="A1122" s="25" t="s">
        <v>321</v>
      </c>
      <c r="B1122" s="26" t="s">
        <v>264</v>
      </c>
      <c r="C1122" s="26" t="s">
        <v>909</v>
      </c>
      <c r="D1122" s="26" t="s">
        <v>322</v>
      </c>
      <c r="E1122" s="27"/>
      <c r="F1122" s="27"/>
      <c r="G1122" s="27"/>
      <c r="H1122" s="27"/>
      <c r="I1122" s="27"/>
      <c r="J1122" s="27"/>
      <c r="K1122" s="27"/>
      <c r="L1122" s="69"/>
      <c r="M1122" s="27"/>
      <c r="N1122" s="69"/>
      <c r="O1122" s="27">
        <f t="shared" si="250"/>
        <v>0</v>
      </c>
      <c r="P1122" s="125">
        <v>5991</v>
      </c>
      <c r="Q1122" s="27">
        <f t="shared" si="275"/>
        <v>5991</v>
      </c>
      <c r="R1122" s="69"/>
      <c r="S1122" s="27">
        <f t="shared" si="237"/>
        <v>5991</v>
      </c>
      <c r="T1122" s="69"/>
      <c r="U1122" s="27">
        <f t="shared" si="238"/>
        <v>5991</v>
      </c>
      <c r="V1122" s="69"/>
      <c r="W1122" s="27">
        <f t="shared" si="251"/>
        <v>5991</v>
      </c>
      <c r="X1122" s="69"/>
      <c r="Y1122" s="27">
        <f t="shared" si="279"/>
        <v>5991</v>
      </c>
      <c r="Z1122" s="189"/>
      <c r="AA1122" s="189">
        <f t="shared" si="297"/>
        <v>5991</v>
      </c>
    </row>
    <row r="1123" spans="1:27" s="6" customFormat="1" x14ac:dyDescent="0.25">
      <c r="A1123" s="92" t="s">
        <v>811</v>
      </c>
      <c r="B1123" s="20" t="s">
        <v>264</v>
      </c>
      <c r="C1123" s="20" t="s">
        <v>815</v>
      </c>
      <c r="D1123" s="20" t="s">
        <v>2</v>
      </c>
      <c r="E1123" s="24"/>
      <c r="F1123" s="24"/>
      <c r="G1123" s="24"/>
      <c r="H1123" s="24"/>
      <c r="I1123" s="24"/>
      <c r="J1123" s="24"/>
      <c r="K1123" s="24"/>
      <c r="L1123" s="18">
        <f>L1124</f>
        <v>1105</v>
      </c>
      <c r="M1123" s="24">
        <f t="shared" si="249"/>
        <v>1105</v>
      </c>
      <c r="N1123" s="18">
        <f>N1124</f>
        <v>-1105</v>
      </c>
      <c r="O1123" s="24">
        <f t="shared" si="250"/>
        <v>0</v>
      </c>
      <c r="P1123" s="18">
        <f>P1124</f>
        <v>720</v>
      </c>
      <c r="Q1123" s="24">
        <f t="shared" si="275"/>
        <v>720</v>
      </c>
      <c r="R1123" s="18">
        <f>R1124</f>
        <v>5690.7</v>
      </c>
      <c r="S1123" s="24">
        <f t="shared" si="237"/>
        <v>6410.7</v>
      </c>
      <c r="T1123" s="18">
        <f>T1124</f>
        <v>0</v>
      </c>
      <c r="U1123" s="24">
        <f t="shared" si="238"/>
        <v>6410.7</v>
      </c>
      <c r="V1123" s="184">
        <f>V1124</f>
        <v>-34</v>
      </c>
      <c r="W1123" s="24">
        <f t="shared" si="251"/>
        <v>6376.7</v>
      </c>
      <c r="X1123" s="184">
        <f>X1124</f>
        <v>480</v>
      </c>
      <c r="Y1123" s="24">
        <f t="shared" si="279"/>
        <v>6856.7</v>
      </c>
      <c r="Z1123" s="189"/>
    </row>
    <row r="1124" spans="1:27" s="6" customFormat="1" x14ac:dyDescent="0.25">
      <c r="A1124" s="30" t="s">
        <v>66</v>
      </c>
      <c r="B1124" s="21" t="s">
        <v>264</v>
      </c>
      <c r="C1124" s="21" t="s">
        <v>815</v>
      </c>
      <c r="D1124" s="21" t="s">
        <v>42</v>
      </c>
      <c r="E1124" s="24"/>
      <c r="F1124" s="24"/>
      <c r="G1124" s="24"/>
      <c r="H1124" s="24"/>
      <c r="I1124" s="24"/>
      <c r="J1124" s="24"/>
      <c r="K1124" s="24"/>
      <c r="L1124" s="96">
        <f>105+1000</f>
        <v>1105</v>
      </c>
      <c r="M1124" s="24">
        <f t="shared" si="249"/>
        <v>1105</v>
      </c>
      <c r="N1124" s="63">
        <v>-1105</v>
      </c>
      <c r="O1124" s="24">
        <f t="shared" si="250"/>
        <v>0</v>
      </c>
      <c r="P1124" s="127">
        <f>240+480</f>
        <v>720</v>
      </c>
      <c r="Q1124" s="24">
        <f t="shared" si="275"/>
        <v>720</v>
      </c>
      <c r="R1124" s="39">
        <v>5690.7</v>
      </c>
      <c r="S1124" s="24">
        <f t="shared" si="237"/>
        <v>6410.7</v>
      </c>
      <c r="T1124" s="69"/>
      <c r="U1124" s="24">
        <f t="shared" si="238"/>
        <v>6410.7</v>
      </c>
      <c r="V1124" s="39">
        <f>-480+446</f>
        <v>-34</v>
      </c>
      <c r="W1124" s="24">
        <f t="shared" si="251"/>
        <v>6376.7</v>
      </c>
      <c r="X1124" s="109">
        <v>480</v>
      </c>
      <c r="Y1124" s="24">
        <f t="shared" si="279"/>
        <v>6856.7</v>
      </c>
      <c r="Z1124" s="189"/>
      <c r="AA1124" s="189">
        <f>Y1124+Z1124</f>
        <v>6856.7</v>
      </c>
    </row>
    <row r="1125" spans="1:27" s="6" customFormat="1" ht="24.75" x14ac:dyDescent="0.25">
      <c r="A1125" s="22" t="s">
        <v>618</v>
      </c>
      <c r="B1125" s="23" t="s">
        <v>264</v>
      </c>
      <c r="C1125" s="23" t="s">
        <v>615</v>
      </c>
      <c r="D1125" s="23" t="s">
        <v>2</v>
      </c>
      <c r="E1125" s="24">
        <f>E1126</f>
        <v>2400</v>
      </c>
      <c r="F1125" s="24">
        <f>F1126</f>
        <v>0</v>
      </c>
      <c r="G1125" s="24">
        <f t="shared" si="246"/>
        <v>2400</v>
      </c>
      <c r="H1125" s="24">
        <f>H1126</f>
        <v>0</v>
      </c>
      <c r="I1125" s="24">
        <f t="shared" si="247"/>
        <v>2400</v>
      </c>
      <c r="J1125" s="24">
        <f>J1126</f>
        <v>0</v>
      </c>
      <c r="K1125" s="24">
        <f t="shared" si="248"/>
        <v>2400</v>
      </c>
      <c r="L1125" s="47">
        <f>L1126</f>
        <v>300</v>
      </c>
      <c r="M1125" s="24">
        <f t="shared" si="249"/>
        <v>2700</v>
      </c>
      <c r="N1125" s="47">
        <f>N1126</f>
        <v>0</v>
      </c>
      <c r="O1125" s="24">
        <f t="shared" si="250"/>
        <v>2700</v>
      </c>
      <c r="P1125" s="47">
        <f>P1126</f>
        <v>0</v>
      </c>
      <c r="Q1125" s="24">
        <f t="shared" si="275"/>
        <v>2700</v>
      </c>
      <c r="R1125" s="47">
        <f>R1126</f>
        <v>-1500</v>
      </c>
      <c r="S1125" s="24">
        <f t="shared" si="237"/>
        <v>1200</v>
      </c>
      <c r="T1125" s="47">
        <f>T1126</f>
        <v>0</v>
      </c>
      <c r="U1125" s="24">
        <f t="shared" si="238"/>
        <v>1200</v>
      </c>
      <c r="V1125" s="47">
        <f>V1126</f>
        <v>0</v>
      </c>
      <c r="W1125" s="24">
        <f t="shared" si="251"/>
        <v>1200</v>
      </c>
      <c r="X1125" s="47">
        <f>X1126</f>
        <v>0</v>
      </c>
      <c r="Y1125" s="24">
        <f t="shared" si="279"/>
        <v>1200</v>
      </c>
      <c r="Z1125" s="189"/>
    </row>
    <row r="1126" spans="1:27" s="6" customFormat="1" x14ac:dyDescent="0.25">
      <c r="A1126" s="25" t="s">
        <v>66</v>
      </c>
      <c r="B1126" s="26" t="s">
        <v>264</v>
      </c>
      <c r="C1126" s="26" t="s">
        <v>615</v>
      </c>
      <c r="D1126" s="26" t="s">
        <v>42</v>
      </c>
      <c r="E1126" s="27">
        <v>2400</v>
      </c>
      <c r="F1126" s="27"/>
      <c r="G1126" s="24">
        <f t="shared" si="246"/>
        <v>2400</v>
      </c>
      <c r="H1126" s="27"/>
      <c r="I1126" s="24">
        <f t="shared" si="247"/>
        <v>2400</v>
      </c>
      <c r="J1126" s="27"/>
      <c r="K1126" s="24">
        <f t="shared" si="248"/>
        <v>2400</v>
      </c>
      <c r="L1126" s="39">
        <v>300</v>
      </c>
      <c r="M1126" s="24">
        <f t="shared" si="249"/>
        <v>2700</v>
      </c>
      <c r="N1126" s="69"/>
      <c r="O1126" s="24">
        <f t="shared" si="250"/>
        <v>2700</v>
      </c>
      <c r="P1126" s="39"/>
      <c r="Q1126" s="24">
        <f t="shared" si="275"/>
        <v>2700</v>
      </c>
      <c r="R1126" s="39">
        <v>-1500</v>
      </c>
      <c r="S1126" s="24">
        <f t="shared" si="237"/>
        <v>1200</v>
      </c>
      <c r="T1126" s="69"/>
      <c r="U1126" s="24">
        <f t="shared" si="238"/>
        <v>1200</v>
      </c>
      <c r="V1126" s="69"/>
      <c r="W1126" s="24">
        <f t="shared" si="251"/>
        <v>1200</v>
      </c>
      <c r="X1126" s="69"/>
      <c r="Y1126" s="24">
        <f t="shared" si="279"/>
        <v>1200</v>
      </c>
      <c r="Z1126" s="189"/>
      <c r="AA1126" s="189">
        <f>Y1126+Z1126</f>
        <v>1200</v>
      </c>
    </row>
    <row r="1127" spans="1:27" s="6" customFormat="1" ht="36.75" x14ac:dyDescent="0.25">
      <c r="A1127" s="22" t="s">
        <v>619</v>
      </c>
      <c r="B1127" s="23" t="s">
        <v>264</v>
      </c>
      <c r="C1127" s="23" t="s">
        <v>635</v>
      </c>
      <c r="D1127" s="23" t="s">
        <v>2</v>
      </c>
      <c r="E1127" s="24">
        <f>E1128</f>
        <v>3350</v>
      </c>
      <c r="F1127" s="24">
        <f>F1128</f>
        <v>0</v>
      </c>
      <c r="G1127" s="24">
        <f t="shared" si="246"/>
        <v>3350</v>
      </c>
      <c r="H1127" s="24">
        <f>H1128</f>
        <v>0</v>
      </c>
      <c r="I1127" s="24">
        <f t="shared" si="247"/>
        <v>3350</v>
      </c>
      <c r="J1127" s="24">
        <f>J1128</f>
        <v>0</v>
      </c>
      <c r="K1127" s="24">
        <f t="shared" si="248"/>
        <v>3350</v>
      </c>
      <c r="L1127" s="47">
        <f>L1128</f>
        <v>-300</v>
      </c>
      <c r="M1127" s="24">
        <f t="shared" si="249"/>
        <v>3050</v>
      </c>
      <c r="N1127" s="47">
        <f>N1128</f>
        <v>0</v>
      </c>
      <c r="O1127" s="24">
        <f t="shared" si="250"/>
        <v>3050</v>
      </c>
      <c r="P1127" s="47">
        <f>P1128</f>
        <v>0</v>
      </c>
      <c r="Q1127" s="24">
        <f t="shared" si="275"/>
        <v>3050</v>
      </c>
      <c r="R1127" s="47">
        <f>R1128</f>
        <v>-219.9</v>
      </c>
      <c r="S1127" s="24">
        <f t="shared" si="237"/>
        <v>2830.1</v>
      </c>
      <c r="T1127" s="47">
        <f>T1128</f>
        <v>0</v>
      </c>
      <c r="U1127" s="24">
        <f t="shared" si="238"/>
        <v>2830.1</v>
      </c>
      <c r="V1127" s="47">
        <f>V1128</f>
        <v>31.900000000000006</v>
      </c>
      <c r="W1127" s="24">
        <f t="shared" si="251"/>
        <v>2862</v>
      </c>
      <c r="X1127" s="47">
        <f>X1128</f>
        <v>50</v>
      </c>
      <c r="Y1127" s="24">
        <f t="shared" si="279"/>
        <v>2912</v>
      </c>
      <c r="Z1127" s="189"/>
    </row>
    <row r="1128" spans="1:27" s="6" customFormat="1" x14ac:dyDescent="0.25">
      <c r="A1128" s="25" t="s">
        <v>66</v>
      </c>
      <c r="B1128" s="26" t="s">
        <v>264</v>
      </c>
      <c r="C1128" s="26" t="s">
        <v>635</v>
      </c>
      <c r="D1128" s="26" t="s">
        <v>42</v>
      </c>
      <c r="E1128" s="27">
        <v>3350</v>
      </c>
      <c r="F1128" s="27"/>
      <c r="G1128" s="24">
        <f t="shared" si="246"/>
        <v>3350</v>
      </c>
      <c r="H1128" s="27"/>
      <c r="I1128" s="24">
        <f t="shared" si="247"/>
        <v>3350</v>
      </c>
      <c r="J1128" s="27"/>
      <c r="K1128" s="24">
        <f t="shared" si="248"/>
        <v>3350</v>
      </c>
      <c r="L1128" s="39">
        <v>-300</v>
      </c>
      <c r="M1128" s="24">
        <f t="shared" si="249"/>
        <v>3050</v>
      </c>
      <c r="N1128" s="69"/>
      <c r="O1128" s="24">
        <f t="shared" si="250"/>
        <v>3050</v>
      </c>
      <c r="P1128" s="69"/>
      <c r="Q1128" s="24">
        <f t="shared" si="275"/>
        <v>3050</v>
      </c>
      <c r="R1128" s="39">
        <v>-219.9</v>
      </c>
      <c r="S1128" s="24">
        <f t="shared" si="237"/>
        <v>2830.1</v>
      </c>
      <c r="T1128" s="69"/>
      <c r="U1128" s="24">
        <f t="shared" si="238"/>
        <v>2830.1</v>
      </c>
      <c r="V1128" s="39">
        <f>-56+87.9</f>
        <v>31.900000000000006</v>
      </c>
      <c r="W1128" s="24">
        <f t="shared" si="251"/>
        <v>2862</v>
      </c>
      <c r="X1128" s="39">
        <v>50</v>
      </c>
      <c r="Y1128" s="24">
        <f t="shared" si="279"/>
        <v>2912</v>
      </c>
      <c r="Z1128" s="189"/>
      <c r="AA1128" s="189">
        <f>Y1128+Z1128</f>
        <v>2912</v>
      </c>
    </row>
    <row r="1129" spans="1:27" s="6" customFormat="1" hidden="1" x14ac:dyDescent="0.25">
      <c r="A1129" s="22" t="s">
        <v>119</v>
      </c>
      <c r="B1129" s="23" t="s">
        <v>264</v>
      </c>
      <c r="C1129" s="23" t="s">
        <v>272</v>
      </c>
      <c r="D1129" s="23" t="s">
        <v>2</v>
      </c>
      <c r="E1129" s="24">
        <f>E1130</f>
        <v>0</v>
      </c>
      <c r="F1129" s="24">
        <f>F1130</f>
        <v>0</v>
      </c>
      <c r="G1129" s="24">
        <f t="shared" si="246"/>
        <v>0</v>
      </c>
      <c r="H1129" s="24">
        <f>H1130</f>
        <v>0</v>
      </c>
      <c r="I1129" s="24">
        <f t="shared" si="247"/>
        <v>0</v>
      </c>
      <c r="J1129" s="24">
        <f>J1130</f>
        <v>0</v>
      </c>
      <c r="K1129" s="24">
        <f t="shared" si="248"/>
        <v>0</v>
      </c>
      <c r="L1129" s="47">
        <f>L1130</f>
        <v>10332</v>
      </c>
      <c r="M1129" s="24">
        <f t="shared" si="249"/>
        <v>10332</v>
      </c>
      <c r="N1129" s="47">
        <f>N1130</f>
        <v>-4543.6000000000004</v>
      </c>
      <c r="O1129" s="24">
        <f t="shared" si="250"/>
        <v>5788.4</v>
      </c>
      <c r="P1129" s="47">
        <f>P1130</f>
        <v>0</v>
      </c>
      <c r="Q1129" s="24">
        <f t="shared" si="275"/>
        <v>5788.4</v>
      </c>
      <c r="R1129" s="47">
        <f>R1130</f>
        <v>-5788.4</v>
      </c>
      <c r="S1129" s="24">
        <f t="shared" si="237"/>
        <v>0</v>
      </c>
      <c r="T1129" s="47">
        <f>T1130</f>
        <v>0</v>
      </c>
      <c r="U1129" s="24">
        <f t="shared" si="238"/>
        <v>0</v>
      </c>
      <c r="V1129" s="47">
        <f>V1130</f>
        <v>0</v>
      </c>
      <c r="W1129" s="24">
        <f t="shared" si="251"/>
        <v>0</v>
      </c>
      <c r="X1129" s="47">
        <f>X1130</f>
        <v>0</v>
      </c>
      <c r="Y1129" s="24">
        <f t="shared" si="279"/>
        <v>0</v>
      </c>
      <c r="Z1129" s="189"/>
    </row>
    <row r="1130" spans="1:27" hidden="1" x14ac:dyDescent="0.25">
      <c r="A1130" s="25" t="s">
        <v>66</v>
      </c>
      <c r="B1130" s="26" t="s">
        <v>264</v>
      </c>
      <c r="C1130" s="26" t="s">
        <v>272</v>
      </c>
      <c r="D1130" s="26" t="s">
        <v>42</v>
      </c>
      <c r="E1130" s="27">
        <f>10332-10332</f>
        <v>0</v>
      </c>
      <c r="F1130" s="27"/>
      <c r="G1130" s="24">
        <f t="shared" si="246"/>
        <v>0</v>
      </c>
      <c r="H1130" s="27"/>
      <c r="I1130" s="24">
        <f t="shared" si="247"/>
        <v>0</v>
      </c>
      <c r="J1130" s="27"/>
      <c r="K1130" s="24">
        <f t="shared" si="248"/>
        <v>0</v>
      </c>
      <c r="L1130" s="96">
        <v>10332</v>
      </c>
      <c r="M1130" s="24">
        <f t="shared" si="249"/>
        <v>10332</v>
      </c>
      <c r="N1130" s="63">
        <v>-4543.6000000000004</v>
      </c>
      <c r="O1130" s="24">
        <f t="shared" si="250"/>
        <v>5788.4</v>
      </c>
      <c r="P1130" s="69"/>
      <c r="Q1130" s="24">
        <f t="shared" si="275"/>
        <v>5788.4</v>
      </c>
      <c r="R1130" s="39">
        <v>-5788.4</v>
      </c>
      <c r="S1130" s="24">
        <f t="shared" si="237"/>
        <v>0</v>
      </c>
      <c r="T1130" s="69"/>
      <c r="U1130" s="24">
        <f t="shared" si="238"/>
        <v>0</v>
      </c>
      <c r="V1130" s="69"/>
      <c r="W1130" s="24">
        <f t="shared" si="251"/>
        <v>0</v>
      </c>
      <c r="X1130" s="69"/>
      <c r="Y1130" s="24">
        <f t="shared" si="279"/>
        <v>0</v>
      </c>
      <c r="AA1130" s="189">
        <f>Y1130+Z1130</f>
        <v>0</v>
      </c>
    </row>
    <row r="1131" spans="1:27" x14ac:dyDescent="0.25">
      <c r="A1131" s="22" t="s">
        <v>598</v>
      </c>
      <c r="B1131" s="23" t="s">
        <v>264</v>
      </c>
      <c r="C1131" s="23" t="s">
        <v>273</v>
      </c>
      <c r="D1131" s="23" t="s">
        <v>2</v>
      </c>
      <c r="E1131" s="24">
        <f>E1132+E1133</f>
        <v>33679.1</v>
      </c>
      <c r="F1131" s="24">
        <f>F1132+F1133</f>
        <v>0</v>
      </c>
      <c r="G1131" s="24">
        <f t="shared" ref="G1131:G1231" si="298">E1131+F1131</f>
        <v>33679.1</v>
      </c>
      <c r="H1131" s="24">
        <f>H1132+H1133</f>
        <v>0</v>
      </c>
      <c r="I1131" s="24">
        <f t="shared" ref="I1131:I1231" si="299">G1131+H1131</f>
        <v>33679.1</v>
      </c>
      <c r="J1131" s="24">
        <f>J1132+J1133</f>
        <v>-499.29999999999995</v>
      </c>
      <c r="K1131" s="24">
        <f t="shared" ref="K1131:K1231" si="300">I1131+J1131</f>
        <v>33179.799999999996</v>
      </c>
      <c r="L1131" s="47">
        <f>L1132+L1133</f>
        <v>4819.6000000000004</v>
      </c>
      <c r="M1131" s="24">
        <f t="shared" ref="M1131:M1231" si="301">K1131+L1131</f>
        <v>37999.399999999994</v>
      </c>
      <c r="N1131" s="47">
        <f>N1132+N1133</f>
        <v>-1100</v>
      </c>
      <c r="O1131" s="24">
        <f t="shared" ref="O1131:O1231" si="302">M1131+N1131</f>
        <v>36899.399999999994</v>
      </c>
      <c r="P1131" s="47">
        <f>P1132+P1133</f>
        <v>0</v>
      </c>
      <c r="Q1131" s="24">
        <f t="shared" si="275"/>
        <v>36899.399999999994</v>
      </c>
      <c r="R1131" s="47">
        <f>R1132+R1133</f>
        <v>2872.8999999999996</v>
      </c>
      <c r="S1131" s="24">
        <f t="shared" si="237"/>
        <v>39772.299999999996</v>
      </c>
      <c r="T1131" s="47">
        <f>T1132+T1133</f>
        <v>1752.3</v>
      </c>
      <c r="U1131" s="24">
        <f t="shared" si="238"/>
        <v>41524.6</v>
      </c>
      <c r="V1131" s="47">
        <f>V1132+V1133</f>
        <v>759.90000000000009</v>
      </c>
      <c r="W1131" s="24">
        <f t="shared" si="251"/>
        <v>42284.5</v>
      </c>
      <c r="X1131" s="47">
        <f>X1132+X1133</f>
        <v>365.30000000000007</v>
      </c>
      <c r="Y1131" s="24">
        <f t="shared" si="279"/>
        <v>42649.8</v>
      </c>
    </row>
    <row r="1132" spans="1:27" x14ac:dyDescent="0.25">
      <c r="A1132" s="25" t="s">
        <v>66</v>
      </c>
      <c r="B1132" s="26" t="s">
        <v>264</v>
      </c>
      <c r="C1132" s="26" t="s">
        <v>273</v>
      </c>
      <c r="D1132" s="26" t="s">
        <v>42</v>
      </c>
      <c r="E1132" s="27">
        <v>17259</v>
      </c>
      <c r="F1132" s="27"/>
      <c r="G1132" s="24">
        <f t="shared" si="298"/>
        <v>17259</v>
      </c>
      <c r="H1132" s="27"/>
      <c r="I1132" s="24">
        <f t="shared" si="299"/>
        <v>17259</v>
      </c>
      <c r="J1132" s="63">
        <v>-1380</v>
      </c>
      <c r="K1132" s="24">
        <f t="shared" si="300"/>
        <v>15879</v>
      </c>
      <c r="L1132" s="39">
        <f>900+3331.5</f>
        <v>4231.5</v>
      </c>
      <c r="M1132" s="24">
        <f t="shared" si="301"/>
        <v>20110.5</v>
      </c>
      <c r="N1132" s="63">
        <v>-1100</v>
      </c>
      <c r="O1132" s="24">
        <f t="shared" si="302"/>
        <v>19010.5</v>
      </c>
      <c r="P1132" s="69"/>
      <c r="Q1132" s="24">
        <f t="shared" si="275"/>
        <v>19010.5</v>
      </c>
      <c r="R1132" s="39">
        <f>720+762.6</f>
        <v>1482.6</v>
      </c>
      <c r="S1132" s="24">
        <f t="shared" si="237"/>
        <v>20493.099999999999</v>
      </c>
      <c r="T1132" s="39">
        <f>100.7+200+43+148.6</f>
        <v>492.29999999999995</v>
      </c>
      <c r="U1132" s="24">
        <f t="shared" si="238"/>
        <v>20985.399999999998</v>
      </c>
      <c r="V1132" s="39">
        <f>145-1010.4-61.8-8.8+853.6</f>
        <v>-82.399999999999864</v>
      </c>
      <c r="W1132" s="24">
        <f t="shared" si="251"/>
        <v>20902.999999999996</v>
      </c>
      <c r="X1132" s="39">
        <f>35.7-199.6</f>
        <v>-163.89999999999998</v>
      </c>
      <c r="Y1132" s="24">
        <f t="shared" si="279"/>
        <v>20739.099999999995</v>
      </c>
      <c r="Z1132" s="61">
        <v>-199.6</v>
      </c>
      <c r="AA1132" s="189">
        <f t="shared" ref="AA1132:AA1133" si="303">Y1132+Z1132</f>
        <v>20539.499999999996</v>
      </c>
    </row>
    <row r="1133" spans="1:27" s="6" customFormat="1" x14ac:dyDescent="0.25">
      <c r="A1133" s="25" t="s">
        <v>567</v>
      </c>
      <c r="B1133" s="26" t="s">
        <v>264</v>
      </c>
      <c r="C1133" s="26" t="s">
        <v>273</v>
      </c>
      <c r="D1133" s="26" t="s">
        <v>43</v>
      </c>
      <c r="E1133" s="27">
        <v>16420.099999999999</v>
      </c>
      <c r="F1133" s="27"/>
      <c r="G1133" s="24">
        <f t="shared" si="298"/>
        <v>16420.099999999999</v>
      </c>
      <c r="H1133" s="27"/>
      <c r="I1133" s="24">
        <f t="shared" si="299"/>
        <v>16420.099999999999</v>
      </c>
      <c r="J1133" s="63">
        <v>880.7</v>
      </c>
      <c r="K1133" s="24">
        <f t="shared" si="300"/>
        <v>17300.8</v>
      </c>
      <c r="L1133" s="107">
        <v>588.1</v>
      </c>
      <c r="M1133" s="24">
        <f t="shared" si="301"/>
        <v>17888.899999999998</v>
      </c>
      <c r="N1133" s="69"/>
      <c r="O1133" s="24">
        <f t="shared" si="302"/>
        <v>17888.899999999998</v>
      </c>
      <c r="P1133" s="69"/>
      <c r="Q1133" s="24">
        <f t="shared" si="275"/>
        <v>17888.899999999998</v>
      </c>
      <c r="R1133" s="39">
        <f>300+1090.3</f>
        <v>1390.3</v>
      </c>
      <c r="S1133" s="24">
        <f t="shared" si="237"/>
        <v>19279.199999999997</v>
      </c>
      <c r="T1133" s="39">
        <f>1000+60+200</f>
        <v>1260</v>
      </c>
      <c r="U1133" s="24">
        <f t="shared" si="238"/>
        <v>20539.199999999997</v>
      </c>
      <c r="V1133" s="39">
        <f>600+350-320.6+212.9</f>
        <v>842.3</v>
      </c>
      <c r="W1133" s="24">
        <f t="shared" si="251"/>
        <v>21381.499999999996</v>
      </c>
      <c r="X1133" s="109">
        <f>320.6-203.1+411.7</f>
        <v>529.20000000000005</v>
      </c>
      <c r="Y1133" s="24">
        <f t="shared" si="279"/>
        <v>21910.699999999997</v>
      </c>
      <c r="Z1133" s="193">
        <v>411.7</v>
      </c>
      <c r="AA1133" s="189">
        <f t="shared" si="303"/>
        <v>22322.399999999998</v>
      </c>
    </row>
    <row r="1134" spans="1:27" x14ac:dyDescent="0.25">
      <c r="A1134" s="22" t="s">
        <v>611</v>
      </c>
      <c r="B1134" s="23" t="s">
        <v>264</v>
      </c>
      <c r="C1134" s="23" t="s">
        <v>275</v>
      </c>
      <c r="D1134" s="23" t="s">
        <v>2</v>
      </c>
      <c r="E1134" s="24">
        <f>E1135+E1136</f>
        <v>19382.5</v>
      </c>
      <c r="F1134" s="24">
        <f>F1135+F1136</f>
        <v>0</v>
      </c>
      <c r="G1134" s="24">
        <f t="shared" si="298"/>
        <v>19382.5</v>
      </c>
      <c r="H1134" s="24">
        <f>H1135+H1136+H1137</f>
        <v>10000</v>
      </c>
      <c r="I1134" s="24">
        <f t="shared" si="299"/>
        <v>29382.5</v>
      </c>
      <c r="J1134" s="24">
        <f>J1135+J1136+J1137</f>
        <v>-31.9</v>
      </c>
      <c r="K1134" s="24">
        <f t="shared" si="300"/>
        <v>29350.6</v>
      </c>
      <c r="L1134" s="47">
        <f>L1135+L1136+L1137</f>
        <v>1309.9000000000001</v>
      </c>
      <c r="M1134" s="24">
        <f t="shared" si="301"/>
        <v>30660.5</v>
      </c>
      <c r="N1134" s="47">
        <f>N1135+N1136+N1137</f>
        <v>8346.1999999999989</v>
      </c>
      <c r="O1134" s="24">
        <f t="shared" si="302"/>
        <v>39006.699999999997</v>
      </c>
      <c r="P1134" s="47">
        <f>P1135+P1136+P1137</f>
        <v>1640.2</v>
      </c>
      <c r="Q1134" s="24">
        <f t="shared" si="275"/>
        <v>40646.899999999994</v>
      </c>
      <c r="R1134" s="47">
        <f>R1135+R1136+R1137</f>
        <v>2049.1999999999998</v>
      </c>
      <c r="S1134" s="24">
        <f t="shared" si="237"/>
        <v>42696.099999999991</v>
      </c>
      <c r="T1134" s="47">
        <f>T1135+T1136+T1137</f>
        <v>1508.4</v>
      </c>
      <c r="U1134" s="24">
        <f t="shared" si="238"/>
        <v>44204.499999999993</v>
      </c>
      <c r="V1134" s="47">
        <f>V1135+V1136+V1137</f>
        <v>-393.7</v>
      </c>
      <c r="W1134" s="24">
        <f t="shared" si="251"/>
        <v>43810.799999999996</v>
      </c>
      <c r="X1134" s="47">
        <f>X1135+X1136+X1137</f>
        <v>-1292.4000000000001</v>
      </c>
      <c r="Y1134" s="24">
        <f t="shared" si="279"/>
        <v>42518.399999999994</v>
      </c>
    </row>
    <row r="1135" spans="1:27" s="6" customFormat="1" x14ac:dyDescent="0.25">
      <c r="A1135" s="25" t="s">
        <v>66</v>
      </c>
      <c r="B1135" s="26" t="s">
        <v>264</v>
      </c>
      <c r="C1135" s="26" t="s">
        <v>275</v>
      </c>
      <c r="D1135" s="26" t="s">
        <v>42</v>
      </c>
      <c r="E1135" s="27">
        <v>19372.5</v>
      </c>
      <c r="F1135" s="27"/>
      <c r="G1135" s="24">
        <f t="shared" si="298"/>
        <v>19372.5</v>
      </c>
      <c r="H1135" s="27"/>
      <c r="I1135" s="24">
        <f t="shared" si="299"/>
        <v>19372.5</v>
      </c>
      <c r="J1135" s="63">
        <v>-31.9</v>
      </c>
      <c r="K1135" s="24">
        <f t="shared" si="300"/>
        <v>19340.599999999999</v>
      </c>
      <c r="L1135" s="39">
        <f>36.2+25-751.3</f>
        <v>-690.09999999999991</v>
      </c>
      <c r="M1135" s="24">
        <f t="shared" si="301"/>
        <v>18650.5</v>
      </c>
      <c r="N1135" s="86">
        <f>350+200+134+3000+3249.4</f>
        <v>6933.4</v>
      </c>
      <c r="O1135" s="24">
        <f t="shared" si="302"/>
        <v>25583.9</v>
      </c>
      <c r="P1135" s="39">
        <f>597.7+642.5+400</f>
        <v>1640.2</v>
      </c>
      <c r="Q1135" s="24">
        <f t="shared" si="275"/>
        <v>27224.100000000002</v>
      </c>
      <c r="R1135" s="39">
        <f>500+146-1061.5</f>
        <v>-415.5</v>
      </c>
      <c r="S1135" s="24">
        <f t="shared" si="237"/>
        <v>26808.600000000002</v>
      </c>
      <c r="T1135" s="39">
        <f>77+1700-268.6</f>
        <v>1508.4</v>
      </c>
      <c r="U1135" s="24">
        <f t="shared" si="238"/>
        <v>28317.000000000004</v>
      </c>
      <c r="V1135" s="39">
        <f>-320-49.9-120+96.2</f>
        <v>-393.7</v>
      </c>
      <c r="W1135" s="24">
        <f t="shared" si="251"/>
        <v>27923.300000000003</v>
      </c>
      <c r="X1135" s="109">
        <f>120-60.5-0.4-1341.5</f>
        <v>-1282.4000000000001</v>
      </c>
      <c r="Y1135" s="24">
        <f t="shared" si="279"/>
        <v>26640.9</v>
      </c>
      <c r="Z1135" s="189">
        <v>-1341.5</v>
      </c>
      <c r="AA1135" s="189">
        <f t="shared" ref="AA1135:AA1137" si="304">Y1135+Z1135</f>
        <v>25299.4</v>
      </c>
    </row>
    <row r="1136" spans="1:27" hidden="1" x14ac:dyDescent="0.25">
      <c r="A1136" s="25" t="s">
        <v>567</v>
      </c>
      <c r="B1136" s="26" t="s">
        <v>264</v>
      </c>
      <c r="C1136" s="26" t="s">
        <v>275</v>
      </c>
      <c r="D1136" s="26" t="s">
        <v>43</v>
      </c>
      <c r="E1136" s="27">
        <v>10</v>
      </c>
      <c r="F1136" s="27"/>
      <c r="G1136" s="24">
        <f t="shared" si="298"/>
        <v>10</v>
      </c>
      <c r="H1136" s="27"/>
      <c r="I1136" s="24">
        <f t="shared" si="299"/>
        <v>10</v>
      </c>
      <c r="J1136" s="69"/>
      <c r="K1136" s="24">
        <f t="shared" si="300"/>
        <v>10</v>
      </c>
      <c r="L1136" s="69"/>
      <c r="M1136" s="24">
        <f t="shared" si="301"/>
        <v>10</v>
      </c>
      <c r="N1136" s="69"/>
      <c r="O1136" s="24">
        <f t="shared" si="302"/>
        <v>10</v>
      </c>
      <c r="P1136" s="69"/>
      <c r="Q1136" s="24">
        <f t="shared" si="275"/>
        <v>10</v>
      </c>
      <c r="R1136" s="69"/>
      <c r="S1136" s="24">
        <f t="shared" si="237"/>
        <v>10</v>
      </c>
      <c r="T1136" s="69"/>
      <c r="U1136" s="24">
        <f t="shared" si="238"/>
        <v>10</v>
      </c>
      <c r="V1136" s="69"/>
      <c r="W1136" s="24">
        <f t="shared" si="251"/>
        <v>10</v>
      </c>
      <c r="X1136" s="39">
        <v>-10</v>
      </c>
      <c r="Y1136" s="24">
        <f t="shared" si="279"/>
        <v>0</v>
      </c>
      <c r="Z1136" s="61">
        <v>-10</v>
      </c>
      <c r="AA1136" s="189">
        <f t="shared" si="304"/>
        <v>-10</v>
      </c>
    </row>
    <row r="1137" spans="1:27" x14ac:dyDescent="0.25">
      <c r="A1137" s="25" t="s">
        <v>321</v>
      </c>
      <c r="B1137" s="26" t="s">
        <v>264</v>
      </c>
      <c r="C1137" s="26" t="s">
        <v>275</v>
      </c>
      <c r="D1137" s="26" t="s">
        <v>322</v>
      </c>
      <c r="E1137" s="27"/>
      <c r="F1137" s="27"/>
      <c r="G1137" s="24"/>
      <c r="H1137" s="39">
        <v>10000</v>
      </c>
      <c r="I1137" s="24">
        <f t="shared" si="299"/>
        <v>10000</v>
      </c>
      <c r="J1137" s="69"/>
      <c r="K1137" s="24">
        <f t="shared" si="300"/>
        <v>10000</v>
      </c>
      <c r="L1137" s="96">
        <v>2000</v>
      </c>
      <c r="M1137" s="24">
        <f t="shared" si="301"/>
        <v>12000</v>
      </c>
      <c r="N1137" s="39">
        <f>-87.2+1500</f>
        <v>1412.8</v>
      </c>
      <c r="O1137" s="24">
        <f t="shared" si="302"/>
        <v>13412.8</v>
      </c>
      <c r="P1137" s="69"/>
      <c r="Q1137" s="24">
        <f t="shared" si="275"/>
        <v>13412.8</v>
      </c>
      <c r="R1137" s="39">
        <f>-35.3+2500</f>
        <v>2464.6999999999998</v>
      </c>
      <c r="S1137" s="24">
        <f t="shared" si="237"/>
        <v>15877.5</v>
      </c>
      <c r="T1137" s="69"/>
      <c r="U1137" s="24">
        <f t="shared" si="238"/>
        <v>15877.5</v>
      </c>
      <c r="V1137" s="69"/>
      <c r="W1137" s="24">
        <f t="shared" si="251"/>
        <v>15877.5</v>
      </c>
      <c r="X1137" s="69"/>
      <c r="Y1137" s="24">
        <f t="shared" si="279"/>
        <v>15877.5</v>
      </c>
      <c r="AA1137" s="189">
        <f t="shared" si="304"/>
        <v>15877.5</v>
      </c>
    </row>
    <row r="1138" spans="1:27" s="6" customFormat="1" x14ac:dyDescent="0.25">
      <c r="A1138" s="22" t="s">
        <v>612</v>
      </c>
      <c r="B1138" s="23" t="s">
        <v>264</v>
      </c>
      <c r="C1138" s="23" t="s">
        <v>276</v>
      </c>
      <c r="D1138" s="23" t="s">
        <v>2</v>
      </c>
      <c r="E1138" s="24">
        <f>E1139</f>
        <v>3721.9</v>
      </c>
      <c r="F1138" s="24">
        <f>F1139</f>
        <v>0</v>
      </c>
      <c r="G1138" s="24">
        <f t="shared" si="298"/>
        <v>3721.9</v>
      </c>
      <c r="H1138" s="24">
        <f>H1139</f>
        <v>0</v>
      </c>
      <c r="I1138" s="24">
        <f t="shared" si="299"/>
        <v>3721.9</v>
      </c>
      <c r="J1138" s="47">
        <f>J1139</f>
        <v>-0.1</v>
      </c>
      <c r="K1138" s="24">
        <f t="shared" si="300"/>
        <v>3721.8</v>
      </c>
      <c r="L1138" s="47">
        <f>L1139</f>
        <v>0</v>
      </c>
      <c r="M1138" s="24">
        <f t="shared" si="301"/>
        <v>3721.8</v>
      </c>
      <c r="N1138" s="47">
        <f>N1139</f>
        <v>33</v>
      </c>
      <c r="O1138" s="24">
        <f t="shared" si="302"/>
        <v>3754.8</v>
      </c>
      <c r="P1138" s="47">
        <f>P1139</f>
        <v>0</v>
      </c>
      <c r="Q1138" s="24">
        <f t="shared" si="275"/>
        <v>3754.8</v>
      </c>
      <c r="R1138" s="47">
        <f>R1139</f>
        <v>-209</v>
      </c>
      <c r="S1138" s="24">
        <f t="shared" si="237"/>
        <v>3545.8</v>
      </c>
      <c r="T1138" s="47">
        <f>T1139</f>
        <v>0</v>
      </c>
      <c r="U1138" s="24">
        <f t="shared" si="238"/>
        <v>3545.8</v>
      </c>
      <c r="V1138" s="47">
        <f>V1139</f>
        <v>-1168</v>
      </c>
      <c r="W1138" s="24">
        <f t="shared" si="251"/>
        <v>2377.8000000000002</v>
      </c>
      <c r="X1138" s="47">
        <f>X1139</f>
        <v>80.600000000000023</v>
      </c>
      <c r="Y1138" s="24">
        <f t="shared" si="279"/>
        <v>2458.4</v>
      </c>
      <c r="Z1138" s="189"/>
    </row>
    <row r="1139" spans="1:27" x14ac:dyDescent="0.25">
      <c r="A1139" s="25" t="s">
        <v>66</v>
      </c>
      <c r="B1139" s="26" t="s">
        <v>264</v>
      </c>
      <c r="C1139" s="26" t="s">
        <v>276</v>
      </c>
      <c r="D1139" s="26" t="s">
        <v>42</v>
      </c>
      <c r="E1139" s="27">
        <v>3721.9</v>
      </c>
      <c r="F1139" s="27"/>
      <c r="G1139" s="24">
        <f t="shared" si="298"/>
        <v>3721.9</v>
      </c>
      <c r="H1139" s="27"/>
      <c r="I1139" s="24">
        <f t="shared" si="299"/>
        <v>3721.9</v>
      </c>
      <c r="J1139" s="63">
        <v>-0.1</v>
      </c>
      <c r="K1139" s="24">
        <f t="shared" si="300"/>
        <v>3721.8</v>
      </c>
      <c r="L1139" s="69"/>
      <c r="M1139" s="24">
        <f t="shared" si="301"/>
        <v>3721.8</v>
      </c>
      <c r="N1139" s="63">
        <v>33</v>
      </c>
      <c r="O1139" s="24">
        <f t="shared" si="302"/>
        <v>3754.8</v>
      </c>
      <c r="P1139" s="69"/>
      <c r="Q1139" s="24">
        <f t="shared" si="275"/>
        <v>3754.8</v>
      </c>
      <c r="R1139" s="39">
        <v>-209</v>
      </c>
      <c r="S1139" s="24">
        <f t="shared" si="237"/>
        <v>3545.8</v>
      </c>
      <c r="T1139" s="69"/>
      <c r="U1139" s="24">
        <f t="shared" si="238"/>
        <v>3545.8</v>
      </c>
      <c r="V1139" s="39">
        <f>-320-54.9-427.6-365.5</f>
        <v>-1168</v>
      </c>
      <c r="W1139" s="24">
        <f t="shared" ref="W1139:W1403" si="305">U1139+V1139</f>
        <v>2377.8000000000002</v>
      </c>
      <c r="X1139" s="109">
        <f>427.6-347</f>
        <v>80.600000000000023</v>
      </c>
      <c r="Y1139" s="24">
        <f t="shared" si="279"/>
        <v>2458.4</v>
      </c>
      <c r="Z1139" s="61">
        <v>-347</v>
      </c>
      <c r="AA1139" s="189">
        <f>Y1139+Z1139</f>
        <v>2111.4</v>
      </c>
    </row>
    <row r="1140" spans="1:27" ht="24.75" x14ac:dyDescent="0.25">
      <c r="A1140" s="16" t="s">
        <v>584</v>
      </c>
      <c r="B1140" s="20" t="s">
        <v>264</v>
      </c>
      <c r="C1140" s="20" t="s">
        <v>583</v>
      </c>
      <c r="D1140" s="20" t="s">
        <v>2</v>
      </c>
      <c r="E1140" s="27"/>
      <c r="F1140" s="27"/>
      <c r="G1140" s="24"/>
      <c r="H1140" s="18">
        <f>H1141</f>
        <v>41283.4</v>
      </c>
      <c r="I1140" s="24">
        <f t="shared" si="299"/>
        <v>41283.4</v>
      </c>
      <c r="J1140" s="47">
        <f>J1141</f>
        <v>0</v>
      </c>
      <c r="K1140" s="24">
        <f t="shared" si="300"/>
        <v>41283.4</v>
      </c>
      <c r="L1140" s="47">
        <f>L1141</f>
        <v>0</v>
      </c>
      <c r="M1140" s="24">
        <f t="shared" si="301"/>
        <v>41283.4</v>
      </c>
      <c r="N1140" s="47">
        <f>N1141</f>
        <v>4.0999999999999996</v>
      </c>
      <c r="O1140" s="24">
        <f t="shared" si="302"/>
        <v>41287.5</v>
      </c>
      <c r="P1140" s="47">
        <f>P1141</f>
        <v>0</v>
      </c>
      <c r="Q1140" s="24">
        <f t="shared" si="275"/>
        <v>41287.5</v>
      </c>
      <c r="R1140" s="47">
        <f>R1141</f>
        <v>0</v>
      </c>
      <c r="S1140" s="24">
        <f t="shared" si="237"/>
        <v>41287.5</v>
      </c>
      <c r="T1140" s="47">
        <f>T1141</f>
        <v>0</v>
      </c>
      <c r="U1140" s="24">
        <f t="shared" si="238"/>
        <v>41287.5</v>
      </c>
      <c r="V1140" s="47">
        <f>V1141</f>
        <v>0</v>
      </c>
      <c r="W1140" s="24">
        <f t="shared" si="305"/>
        <v>41287.5</v>
      </c>
      <c r="X1140" s="47">
        <f>X1141</f>
        <v>0</v>
      </c>
      <c r="Y1140" s="24">
        <f t="shared" si="279"/>
        <v>41287.5</v>
      </c>
    </row>
    <row r="1141" spans="1:27" ht="24.75" x14ac:dyDescent="0.25">
      <c r="A1141" s="16" t="s">
        <v>585</v>
      </c>
      <c r="B1141" s="20" t="s">
        <v>264</v>
      </c>
      <c r="C1141" s="20" t="s">
        <v>580</v>
      </c>
      <c r="D1141" s="20" t="s">
        <v>2</v>
      </c>
      <c r="E1141" s="27"/>
      <c r="F1141" s="27"/>
      <c r="G1141" s="24"/>
      <c r="H1141" s="18">
        <f>H1143</f>
        <v>41283.4</v>
      </c>
      <c r="I1141" s="24">
        <f t="shared" si="299"/>
        <v>41283.4</v>
      </c>
      <c r="J1141" s="47">
        <f>J1143</f>
        <v>0</v>
      </c>
      <c r="K1141" s="24">
        <f t="shared" si="300"/>
        <v>41283.4</v>
      </c>
      <c r="L1141" s="47">
        <f>L1143</f>
        <v>0</v>
      </c>
      <c r="M1141" s="24">
        <f t="shared" si="301"/>
        <v>41283.4</v>
      </c>
      <c r="N1141" s="47">
        <f>N1143+N1142</f>
        <v>4.0999999999999996</v>
      </c>
      <c r="O1141" s="24">
        <f t="shared" si="302"/>
        <v>41287.5</v>
      </c>
      <c r="P1141" s="47">
        <f>P1143+P1142</f>
        <v>0</v>
      </c>
      <c r="Q1141" s="24">
        <f t="shared" si="275"/>
        <v>41287.5</v>
      </c>
      <c r="R1141" s="47">
        <f>R1143+R1142</f>
        <v>0</v>
      </c>
      <c r="S1141" s="24">
        <f t="shared" si="237"/>
        <v>41287.5</v>
      </c>
      <c r="T1141" s="47">
        <f>T1143+T1142</f>
        <v>0</v>
      </c>
      <c r="U1141" s="24">
        <f t="shared" si="238"/>
        <v>41287.5</v>
      </c>
      <c r="V1141" s="47">
        <f>V1143+V1142</f>
        <v>0</v>
      </c>
      <c r="W1141" s="24">
        <f t="shared" si="305"/>
        <v>41287.5</v>
      </c>
      <c r="X1141" s="47">
        <f>X1143+X1142</f>
        <v>0</v>
      </c>
      <c r="Y1141" s="24">
        <f t="shared" si="279"/>
        <v>41287.5</v>
      </c>
    </row>
    <row r="1142" spans="1:27" s="6" customFormat="1" ht="24.75" x14ac:dyDescent="0.25">
      <c r="A1142" s="17" t="s">
        <v>572</v>
      </c>
      <c r="B1142" s="21" t="s">
        <v>264</v>
      </c>
      <c r="C1142" s="21" t="s">
        <v>580</v>
      </c>
      <c r="D1142" s="21" t="s">
        <v>241</v>
      </c>
      <c r="E1142" s="27"/>
      <c r="F1142" s="27"/>
      <c r="G1142" s="24"/>
      <c r="H1142" s="18"/>
      <c r="I1142" s="24"/>
      <c r="J1142" s="47"/>
      <c r="K1142" s="24"/>
      <c r="L1142" s="47"/>
      <c r="M1142" s="24"/>
      <c r="N1142" s="39">
        <v>4.0999999999999996</v>
      </c>
      <c r="O1142" s="24">
        <f t="shared" si="302"/>
        <v>4.0999999999999996</v>
      </c>
      <c r="P1142" s="69"/>
      <c r="Q1142" s="24">
        <f t="shared" si="275"/>
        <v>4.0999999999999996</v>
      </c>
      <c r="R1142" s="69"/>
      <c r="S1142" s="24">
        <f t="shared" si="237"/>
        <v>4.0999999999999996</v>
      </c>
      <c r="T1142" s="69"/>
      <c r="U1142" s="24">
        <f t="shared" si="238"/>
        <v>4.0999999999999996</v>
      </c>
      <c r="V1142" s="69"/>
      <c r="W1142" s="24">
        <f t="shared" si="305"/>
        <v>4.0999999999999996</v>
      </c>
      <c r="X1142" s="69"/>
      <c r="Y1142" s="24">
        <f t="shared" si="279"/>
        <v>4.0999999999999996</v>
      </c>
      <c r="Z1142" s="189"/>
      <c r="AA1142" s="189">
        <f t="shared" ref="AA1142:AA1143" si="306">Y1142+Z1142</f>
        <v>4.0999999999999996</v>
      </c>
    </row>
    <row r="1143" spans="1:27" ht="24.75" x14ac:dyDescent="0.25">
      <c r="A1143" s="17" t="s">
        <v>572</v>
      </c>
      <c r="B1143" s="21" t="s">
        <v>264</v>
      </c>
      <c r="C1143" s="21" t="s">
        <v>580</v>
      </c>
      <c r="D1143" s="21" t="s">
        <v>241</v>
      </c>
      <c r="E1143" s="27"/>
      <c r="F1143" s="27"/>
      <c r="G1143" s="24"/>
      <c r="H1143" s="43">
        <v>41283.4</v>
      </c>
      <c r="I1143" s="24">
        <f t="shared" si="299"/>
        <v>41283.4</v>
      </c>
      <c r="J1143" s="69"/>
      <c r="K1143" s="24">
        <f t="shared" si="300"/>
        <v>41283.4</v>
      </c>
      <c r="L1143" s="69"/>
      <c r="M1143" s="24">
        <f t="shared" si="301"/>
        <v>41283.4</v>
      </c>
      <c r="N1143" s="69"/>
      <c r="O1143" s="24">
        <f t="shared" si="302"/>
        <v>41283.4</v>
      </c>
      <c r="P1143" s="69"/>
      <c r="Q1143" s="24">
        <f t="shared" si="275"/>
        <v>41283.4</v>
      </c>
      <c r="R1143" s="69"/>
      <c r="S1143" s="24">
        <f t="shared" si="237"/>
        <v>41283.4</v>
      </c>
      <c r="T1143" s="69"/>
      <c r="U1143" s="24">
        <f t="shared" si="238"/>
        <v>41283.4</v>
      </c>
      <c r="V1143" s="69"/>
      <c r="W1143" s="24">
        <f t="shared" si="305"/>
        <v>41283.4</v>
      </c>
      <c r="X1143" s="69"/>
      <c r="Y1143" s="24">
        <f t="shared" si="279"/>
        <v>41283.4</v>
      </c>
      <c r="AA1143" s="189">
        <f t="shared" si="306"/>
        <v>41283.4</v>
      </c>
    </row>
    <row r="1144" spans="1:27" ht="24.75" x14ac:dyDescent="0.25">
      <c r="A1144" s="22" t="s">
        <v>582</v>
      </c>
      <c r="B1144" s="23" t="s">
        <v>264</v>
      </c>
      <c r="C1144" s="23" t="s">
        <v>255</v>
      </c>
      <c r="D1144" s="23" t="s">
        <v>2</v>
      </c>
      <c r="E1144" s="24">
        <f>E1145+E1151</f>
        <v>20373</v>
      </c>
      <c r="F1144" s="24">
        <f>F1145+F1151</f>
        <v>0</v>
      </c>
      <c r="G1144" s="24">
        <f t="shared" si="298"/>
        <v>20373</v>
      </c>
      <c r="H1144" s="24">
        <f>H1145+H1151</f>
        <v>-19894.099999999999</v>
      </c>
      <c r="I1144" s="24">
        <f t="shared" si="299"/>
        <v>478.90000000000146</v>
      </c>
      <c r="J1144" s="47">
        <f>J1145</f>
        <v>0</v>
      </c>
      <c r="K1144" s="24">
        <f t="shared" si="300"/>
        <v>478.90000000000146</v>
      </c>
      <c r="L1144" s="47">
        <f>L1145</f>
        <v>0</v>
      </c>
      <c r="M1144" s="24">
        <f t="shared" si="301"/>
        <v>478.90000000000146</v>
      </c>
      <c r="N1144" s="47">
        <f>N1145</f>
        <v>0</v>
      </c>
      <c r="O1144" s="24">
        <f t="shared" si="302"/>
        <v>478.90000000000146</v>
      </c>
      <c r="P1144" s="47">
        <f>P1145</f>
        <v>0</v>
      </c>
      <c r="Q1144" s="24">
        <f t="shared" si="275"/>
        <v>478.90000000000146</v>
      </c>
      <c r="R1144" s="47">
        <f>R1145</f>
        <v>0</v>
      </c>
      <c r="S1144" s="24">
        <f t="shared" si="237"/>
        <v>478.90000000000146</v>
      </c>
      <c r="T1144" s="47">
        <f>T1145</f>
        <v>0</v>
      </c>
      <c r="U1144" s="24">
        <f t="shared" si="238"/>
        <v>478.90000000000146</v>
      </c>
      <c r="V1144" s="47">
        <f>V1145</f>
        <v>0</v>
      </c>
      <c r="W1144" s="24">
        <f t="shared" si="305"/>
        <v>478.90000000000146</v>
      </c>
      <c r="X1144" s="47">
        <f>X1145</f>
        <v>0</v>
      </c>
      <c r="Y1144" s="24">
        <f t="shared" si="279"/>
        <v>478.90000000000146</v>
      </c>
    </row>
    <row r="1145" spans="1:27" ht="36.75" hidden="1" x14ac:dyDescent="0.25">
      <c r="A1145" s="22" t="s">
        <v>610</v>
      </c>
      <c r="B1145" s="23" t="s">
        <v>264</v>
      </c>
      <c r="C1145" s="23" t="s">
        <v>685</v>
      </c>
      <c r="D1145" s="23" t="s">
        <v>2</v>
      </c>
      <c r="E1145" s="24">
        <f>E1146</f>
        <v>19894.099999999999</v>
      </c>
      <c r="F1145" s="24">
        <f>F1146</f>
        <v>0</v>
      </c>
      <c r="G1145" s="24">
        <f t="shared" si="298"/>
        <v>19894.099999999999</v>
      </c>
      <c r="H1145" s="24">
        <f>H1146</f>
        <v>-19894.099999999999</v>
      </c>
      <c r="I1145" s="24">
        <f t="shared" si="299"/>
        <v>0</v>
      </c>
      <c r="J1145" s="47">
        <f>J1146</f>
        <v>0</v>
      </c>
      <c r="K1145" s="24">
        <f t="shared" si="300"/>
        <v>0</v>
      </c>
      <c r="L1145" s="47">
        <f>L1146</f>
        <v>0</v>
      </c>
      <c r="M1145" s="24">
        <f t="shared" si="301"/>
        <v>0</v>
      </c>
      <c r="N1145" s="47">
        <f>N1146</f>
        <v>0</v>
      </c>
      <c r="O1145" s="24">
        <f t="shared" si="302"/>
        <v>0</v>
      </c>
      <c r="P1145" s="47">
        <f>P1146</f>
        <v>0</v>
      </c>
      <c r="Q1145" s="24">
        <f t="shared" si="275"/>
        <v>0</v>
      </c>
      <c r="R1145" s="47">
        <f>R1146</f>
        <v>0</v>
      </c>
      <c r="S1145" s="24">
        <f t="shared" si="237"/>
        <v>0</v>
      </c>
      <c r="T1145" s="47">
        <f>T1146</f>
        <v>0</v>
      </c>
      <c r="U1145" s="24">
        <f t="shared" si="238"/>
        <v>0</v>
      </c>
      <c r="V1145" s="47">
        <f>V1146</f>
        <v>0</v>
      </c>
      <c r="W1145" s="24">
        <f t="shared" si="305"/>
        <v>0</v>
      </c>
      <c r="X1145" s="47">
        <f>X1146</f>
        <v>0</v>
      </c>
      <c r="Y1145" s="24">
        <f t="shared" si="279"/>
        <v>0</v>
      </c>
    </row>
    <row r="1146" spans="1:27" hidden="1" x14ac:dyDescent="0.25">
      <c r="A1146" s="25" t="s">
        <v>66</v>
      </c>
      <c r="B1146" s="26" t="s">
        <v>264</v>
      </c>
      <c r="C1146" s="26" t="s">
        <v>685</v>
      </c>
      <c r="D1146" s="26" t="s">
        <v>42</v>
      </c>
      <c r="E1146" s="27">
        <v>19894.099999999999</v>
      </c>
      <c r="F1146" s="69"/>
      <c r="G1146" s="24">
        <f t="shared" si="298"/>
        <v>19894.099999999999</v>
      </c>
      <c r="H1146" s="43">
        <v>-19894.099999999999</v>
      </c>
      <c r="I1146" s="24">
        <f t="shared" si="299"/>
        <v>0</v>
      </c>
      <c r="J1146" s="69"/>
      <c r="K1146" s="24">
        <f t="shared" si="300"/>
        <v>0</v>
      </c>
      <c r="L1146" s="69"/>
      <c r="M1146" s="24">
        <f t="shared" si="301"/>
        <v>0</v>
      </c>
      <c r="N1146" s="69"/>
      <c r="O1146" s="24">
        <f t="shared" si="302"/>
        <v>0</v>
      </c>
      <c r="P1146" s="69"/>
      <c r="Q1146" s="24">
        <f t="shared" si="275"/>
        <v>0</v>
      </c>
      <c r="R1146" s="69"/>
      <c r="S1146" s="24">
        <f t="shared" si="237"/>
        <v>0</v>
      </c>
      <c r="T1146" s="69"/>
      <c r="U1146" s="24">
        <f t="shared" si="238"/>
        <v>0</v>
      </c>
      <c r="V1146" s="69"/>
      <c r="W1146" s="24">
        <f t="shared" si="305"/>
        <v>0</v>
      </c>
      <c r="X1146" s="69"/>
      <c r="Y1146" s="24">
        <f t="shared" si="279"/>
        <v>0</v>
      </c>
      <c r="AA1146" s="189">
        <f>Y1146+Z1146</f>
        <v>0</v>
      </c>
    </row>
    <row r="1147" spans="1:27" ht="24.75" x14ac:dyDescent="0.25">
      <c r="A1147" s="16" t="s">
        <v>686</v>
      </c>
      <c r="B1147" s="23" t="s">
        <v>264</v>
      </c>
      <c r="C1147" s="20" t="s">
        <v>687</v>
      </c>
      <c r="D1147" s="26"/>
      <c r="E1147" s="24">
        <f>E1148+E1151</f>
        <v>478.9</v>
      </c>
      <c r="F1147" s="69"/>
      <c r="G1147" s="24">
        <f t="shared" si="298"/>
        <v>478.9</v>
      </c>
      <c r="H1147" s="47">
        <f>H1148+H1151</f>
        <v>19894.099999999999</v>
      </c>
      <c r="I1147" s="24">
        <f t="shared" si="299"/>
        <v>20373</v>
      </c>
      <c r="J1147" s="47">
        <f>J1148+J1151</f>
        <v>31.699999999999989</v>
      </c>
      <c r="K1147" s="24">
        <f t="shared" si="300"/>
        <v>20404.7</v>
      </c>
      <c r="L1147" s="47">
        <f>L1148+L1151</f>
        <v>87.2</v>
      </c>
      <c r="M1147" s="24">
        <f t="shared" si="301"/>
        <v>20491.900000000001</v>
      </c>
      <c r="N1147" s="47">
        <f>N1148+N1151+N1153</f>
        <v>1533.6</v>
      </c>
      <c r="O1147" s="24">
        <f t="shared" si="302"/>
        <v>22025.5</v>
      </c>
      <c r="P1147" s="47">
        <f>P1148+P1151+P1153</f>
        <v>0</v>
      </c>
      <c r="Q1147" s="24">
        <f t="shared" si="275"/>
        <v>22025.5</v>
      </c>
      <c r="R1147" s="47">
        <f>R1148+R1151+R1153</f>
        <v>1214</v>
      </c>
      <c r="S1147" s="24">
        <f t="shared" si="237"/>
        <v>23239.5</v>
      </c>
      <c r="T1147" s="47">
        <f>T1148+T1151+T1153</f>
        <v>0</v>
      </c>
      <c r="U1147" s="24">
        <f t="shared" si="238"/>
        <v>23239.5</v>
      </c>
      <c r="V1147" s="47">
        <f>V1148+V1151+V1153</f>
        <v>-2.1</v>
      </c>
      <c r="W1147" s="24">
        <f t="shared" si="305"/>
        <v>23237.4</v>
      </c>
      <c r="X1147" s="47">
        <f>X1148+X1151+X1153</f>
        <v>-188.2</v>
      </c>
      <c r="Y1147" s="24">
        <f t="shared" si="279"/>
        <v>23049.200000000001</v>
      </c>
    </row>
    <row r="1148" spans="1:27" s="6" customFormat="1" ht="24.75" x14ac:dyDescent="0.25">
      <c r="A1148" s="16" t="s">
        <v>688</v>
      </c>
      <c r="B1148" s="20" t="s">
        <v>264</v>
      </c>
      <c r="C1148" s="20" t="s">
        <v>689</v>
      </c>
      <c r="D1148" s="20"/>
      <c r="E1148" s="27"/>
      <c r="F1148" s="69"/>
      <c r="G1148" s="24">
        <f t="shared" si="298"/>
        <v>0</v>
      </c>
      <c r="H1148" s="47">
        <f>H1149</f>
        <v>19894.099999999999</v>
      </c>
      <c r="I1148" s="24">
        <f t="shared" si="299"/>
        <v>19894.099999999999</v>
      </c>
      <c r="J1148" s="47">
        <f>J1149+J1150</f>
        <v>201</v>
      </c>
      <c r="K1148" s="24">
        <f t="shared" si="300"/>
        <v>20095.099999999999</v>
      </c>
      <c r="L1148" s="47">
        <f>L1149+L1150</f>
        <v>0</v>
      </c>
      <c r="M1148" s="24">
        <f t="shared" si="301"/>
        <v>20095.099999999999</v>
      </c>
      <c r="N1148" s="47">
        <f>N1149+N1150</f>
        <v>0</v>
      </c>
      <c r="O1148" s="24">
        <f t="shared" si="302"/>
        <v>20095.099999999999</v>
      </c>
      <c r="P1148" s="47">
        <f>P1149+P1150</f>
        <v>0</v>
      </c>
      <c r="Q1148" s="24">
        <f t="shared" si="275"/>
        <v>20095.099999999999</v>
      </c>
      <c r="R1148" s="47">
        <f>R1149+R1150</f>
        <v>0</v>
      </c>
      <c r="S1148" s="24">
        <f t="shared" si="237"/>
        <v>20095.099999999999</v>
      </c>
      <c r="T1148" s="47">
        <f>T1149+T1150</f>
        <v>0</v>
      </c>
      <c r="U1148" s="24">
        <f t="shared" si="238"/>
        <v>20095.099999999999</v>
      </c>
      <c r="V1148" s="47">
        <f>V1149+V1150</f>
        <v>0</v>
      </c>
      <c r="W1148" s="24">
        <f t="shared" si="305"/>
        <v>20095.099999999999</v>
      </c>
      <c r="X1148" s="47">
        <f>X1149+X1150</f>
        <v>0</v>
      </c>
      <c r="Y1148" s="24">
        <f t="shared" si="279"/>
        <v>20095.099999999999</v>
      </c>
      <c r="Z1148" s="189"/>
    </row>
    <row r="1149" spans="1:27" s="6" customFormat="1" x14ac:dyDescent="0.25">
      <c r="A1149" s="30" t="s">
        <v>66</v>
      </c>
      <c r="B1149" s="21" t="s">
        <v>264</v>
      </c>
      <c r="C1149" s="21" t="s">
        <v>689</v>
      </c>
      <c r="D1149" s="21" t="s">
        <v>42</v>
      </c>
      <c r="E1149" s="27"/>
      <c r="F1149" s="69"/>
      <c r="G1149" s="24">
        <f t="shared" si="298"/>
        <v>0</v>
      </c>
      <c r="H1149" s="43">
        <v>19894.099999999999</v>
      </c>
      <c r="I1149" s="24">
        <f t="shared" si="299"/>
        <v>19894.099999999999</v>
      </c>
      <c r="J1149" s="69"/>
      <c r="K1149" s="24">
        <f t="shared" si="300"/>
        <v>19894.099999999999</v>
      </c>
      <c r="L1149" s="69"/>
      <c r="M1149" s="24">
        <f t="shared" si="301"/>
        <v>19894.099999999999</v>
      </c>
      <c r="N1149" s="69"/>
      <c r="O1149" s="24">
        <f t="shared" si="302"/>
        <v>19894.099999999999</v>
      </c>
      <c r="P1149" s="69"/>
      <c r="Q1149" s="24">
        <f t="shared" si="275"/>
        <v>19894.099999999999</v>
      </c>
      <c r="R1149" s="69"/>
      <c r="S1149" s="24">
        <f t="shared" si="237"/>
        <v>19894.099999999999</v>
      </c>
      <c r="T1149" s="69"/>
      <c r="U1149" s="24">
        <f t="shared" si="238"/>
        <v>19894.099999999999</v>
      </c>
      <c r="V1149" s="69"/>
      <c r="W1149" s="24">
        <f t="shared" si="305"/>
        <v>19894.099999999999</v>
      </c>
      <c r="X1149" s="69"/>
      <c r="Y1149" s="24">
        <f t="shared" si="279"/>
        <v>19894.099999999999</v>
      </c>
      <c r="Z1149" s="189"/>
      <c r="AA1149" s="189">
        <f t="shared" ref="AA1149:AA1150" si="307">Y1149+Z1149</f>
        <v>19894.099999999999</v>
      </c>
    </row>
    <row r="1150" spans="1:27" x14ac:dyDescent="0.25">
      <c r="A1150" s="30" t="s">
        <v>66</v>
      </c>
      <c r="B1150" s="21" t="s">
        <v>264</v>
      </c>
      <c r="C1150" s="21" t="s">
        <v>689</v>
      </c>
      <c r="D1150" s="21" t="s">
        <v>42</v>
      </c>
      <c r="E1150" s="27"/>
      <c r="F1150" s="69"/>
      <c r="G1150" s="24"/>
      <c r="H1150" s="43"/>
      <c r="I1150" s="24"/>
      <c r="J1150" s="39">
        <v>201</v>
      </c>
      <c r="K1150" s="87">
        <f t="shared" si="300"/>
        <v>201</v>
      </c>
      <c r="L1150" s="39"/>
      <c r="M1150" s="87">
        <f t="shared" si="301"/>
        <v>201</v>
      </c>
      <c r="N1150" s="39"/>
      <c r="O1150" s="87">
        <f t="shared" si="302"/>
        <v>201</v>
      </c>
      <c r="P1150" s="39"/>
      <c r="Q1150" s="87">
        <f t="shared" si="275"/>
        <v>201</v>
      </c>
      <c r="R1150" s="39"/>
      <c r="S1150" s="87">
        <f t="shared" si="237"/>
        <v>201</v>
      </c>
      <c r="T1150" s="69"/>
      <c r="U1150" s="87">
        <f t="shared" si="238"/>
        <v>201</v>
      </c>
      <c r="V1150" s="69"/>
      <c r="W1150" s="87">
        <f t="shared" si="305"/>
        <v>201</v>
      </c>
      <c r="X1150" s="69"/>
      <c r="Y1150" s="87">
        <f t="shared" si="279"/>
        <v>201</v>
      </c>
      <c r="AA1150" s="189">
        <f t="shared" si="307"/>
        <v>201</v>
      </c>
    </row>
    <row r="1151" spans="1:27" ht="36.75" x14ac:dyDescent="0.25">
      <c r="A1151" s="22" t="s">
        <v>278</v>
      </c>
      <c r="B1151" s="23" t="s">
        <v>264</v>
      </c>
      <c r="C1151" s="23" t="s">
        <v>581</v>
      </c>
      <c r="D1151" s="23" t="s">
        <v>2</v>
      </c>
      <c r="E1151" s="24">
        <f>E1152</f>
        <v>478.9</v>
      </c>
      <c r="F1151" s="24">
        <f>F1152</f>
        <v>0</v>
      </c>
      <c r="G1151" s="24">
        <f t="shared" si="298"/>
        <v>478.9</v>
      </c>
      <c r="H1151" s="24">
        <f>H1152</f>
        <v>0</v>
      </c>
      <c r="I1151" s="24">
        <f t="shared" si="299"/>
        <v>478.9</v>
      </c>
      <c r="J1151" s="47">
        <f>J1152</f>
        <v>-169.3</v>
      </c>
      <c r="K1151" s="24">
        <f t="shared" si="300"/>
        <v>309.59999999999997</v>
      </c>
      <c r="L1151" s="47">
        <f>L1152</f>
        <v>87.2</v>
      </c>
      <c r="M1151" s="24">
        <f t="shared" si="301"/>
        <v>396.79999999999995</v>
      </c>
      <c r="N1151" s="47">
        <f>N1152</f>
        <v>1459.6</v>
      </c>
      <c r="O1151" s="24">
        <f t="shared" si="302"/>
        <v>1856.3999999999999</v>
      </c>
      <c r="P1151" s="47">
        <f>P1152</f>
        <v>0</v>
      </c>
      <c r="Q1151" s="24">
        <f t="shared" si="275"/>
        <v>1856.3999999999999</v>
      </c>
      <c r="R1151" s="47">
        <f>R1152</f>
        <v>1214</v>
      </c>
      <c r="S1151" s="24">
        <f t="shared" si="237"/>
        <v>3070.3999999999996</v>
      </c>
      <c r="T1151" s="47">
        <f>T1152</f>
        <v>0</v>
      </c>
      <c r="U1151" s="24">
        <f t="shared" si="238"/>
        <v>3070.3999999999996</v>
      </c>
      <c r="V1151" s="47">
        <f>V1152</f>
        <v>-2.1</v>
      </c>
      <c r="W1151" s="24">
        <f t="shared" si="305"/>
        <v>3068.2999999999997</v>
      </c>
      <c r="X1151" s="47">
        <f>X1152</f>
        <v>-188.2</v>
      </c>
      <c r="Y1151" s="24">
        <f t="shared" si="279"/>
        <v>2880.1</v>
      </c>
    </row>
    <row r="1152" spans="1:27" x14ac:dyDescent="0.25">
      <c r="A1152" s="25" t="s">
        <v>66</v>
      </c>
      <c r="B1152" s="26" t="s">
        <v>264</v>
      </c>
      <c r="C1152" s="26" t="s">
        <v>581</v>
      </c>
      <c r="D1152" s="26" t="s">
        <v>42</v>
      </c>
      <c r="E1152" s="27">
        <v>478.9</v>
      </c>
      <c r="F1152" s="27"/>
      <c r="G1152" s="24">
        <f t="shared" si="298"/>
        <v>478.9</v>
      </c>
      <c r="H1152" s="27"/>
      <c r="I1152" s="24">
        <f t="shared" si="299"/>
        <v>478.9</v>
      </c>
      <c r="J1152" s="63">
        <v>-169.3</v>
      </c>
      <c r="K1152" s="24">
        <f t="shared" si="300"/>
        <v>309.59999999999997</v>
      </c>
      <c r="L1152" s="107">
        <v>87.2</v>
      </c>
      <c r="M1152" s="24">
        <f t="shared" si="301"/>
        <v>396.79999999999995</v>
      </c>
      <c r="N1152" s="39">
        <f>59.6+1400</f>
        <v>1459.6</v>
      </c>
      <c r="O1152" s="24">
        <f t="shared" si="302"/>
        <v>1856.3999999999999</v>
      </c>
      <c r="P1152" s="69"/>
      <c r="Q1152" s="24">
        <f t="shared" si="275"/>
        <v>1856.3999999999999</v>
      </c>
      <c r="R1152" s="39">
        <v>1214</v>
      </c>
      <c r="S1152" s="24">
        <f t="shared" si="237"/>
        <v>3070.3999999999996</v>
      </c>
      <c r="T1152" s="69"/>
      <c r="U1152" s="24">
        <f t="shared" si="238"/>
        <v>3070.3999999999996</v>
      </c>
      <c r="V1152" s="39">
        <v>-2.1</v>
      </c>
      <c r="W1152" s="24">
        <f t="shared" si="305"/>
        <v>3068.2999999999997</v>
      </c>
      <c r="X1152" s="39">
        <v>-188.2</v>
      </c>
      <c r="Y1152" s="24">
        <f t="shared" si="279"/>
        <v>2880.1</v>
      </c>
      <c r="Z1152" s="61">
        <v>-188.2</v>
      </c>
      <c r="AA1152" s="189">
        <f>Y1152+Z1152</f>
        <v>2691.9</v>
      </c>
    </row>
    <row r="1153" spans="1:27" ht="36.75" x14ac:dyDescent="0.25">
      <c r="A1153" s="40" t="s">
        <v>891</v>
      </c>
      <c r="B1153" s="20" t="s">
        <v>264</v>
      </c>
      <c r="C1153" s="20" t="s">
        <v>892</v>
      </c>
      <c r="D1153" s="21"/>
      <c r="E1153" s="27"/>
      <c r="F1153" s="27"/>
      <c r="G1153" s="24"/>
      <c r="H1153" s="27"/>
      <c r="I1153" s="24"/>
      <c r="J1153" s="63"/>
      <c r="K1153" s="24"/>
      <c r="L1153" s="107"/>
      <c r="M1153" s="24"/>
      <c r="N1153" s="47">
        <f>N1154</f>
        <v>74</v>
      </c>
      <c r="O1153" s="24">
        <f t="shared" si="302"/>
        <v>74</v>
      </c>
      <c r="P1153" s="47">
        <f>P1154</f>
        <v>0</v>
      </c>
      <c r="Q1153" s="24">
        <f t="shared" si="275"/>
        <v>74</v>
      </c>
      <c r="R1153" s="47">
        <f>R1154</f>
        <v>0</v>
      </c>
      <c r="S1153" s="24">
        <f t="shared" si="237"/>
        <v>74</v>
      </c>
      <c r="T1153" s="47">
        <f>T1154</f>
        <v>0</v>
      </c>
      <c r="U1153" s="24">
        <f t="shared" si="238"/>
        <v>74</v>
      </c>
      <c r="V1153" s="47">
        <f>V1154</f>
        <v>0</v>
      </c>
      <c r="W1153" s="24">
        <f t="shared" si="305"/>
        <v>74</v>
      </c>
      <c r="X1153" s="47">
        <f>X1154</f>
        <v>0</v>
      </c>
      <c r="Y1153" s="24">
        <f t="shared" si="279"/>
        <v>74</v>
      </c>
    </row>
    <row r="1154" spans="1:27" x14ac:dyDescent="0.25">
      <c r="A1154" s="30" t="s">
        <v>66</v>
      </c>
      <c r="B1154" s="21" t="s">
        <v>264</v>
      </c>
      <c r="C1154" s="21" t="s">
        <v>892</v>
      </c>
      <c r="D1154" s="21" t="s">
        <v>42</v>
      </c>
      <c r="E1154" s="27"/>
      <c r="F1154" s="27"/>
      <c r="G1154" s="24"/>
      <c r="H1154" s="27"/>
      <c r="I1154" s="24"/>
      <c r="J1154" s="63"/>
      <c r="K1154" s="24"/>
      <c r="L1154" s="107"/>
      <c r="M1154" s="24"/>
      <c r="N1154" s="39">
        <v>74</v>
      </c>
      <c r="O1154" s="24">
        <f t="shared" si="302"/>
        <v>74</v>
      </c>
      <c r="P1154" s="69"/>
      <c r="Q1154" s="24">
        <f t="shared" si="275"/>
        <v>74</v>
      </c>
      <c r="R1154" s="69"/>
      <c r="S1154" s="24">
        <f t="shared" si="237"/>
        <v>74</v>
      </c>
      <c r="T1154" s="69"/>
      <c r="U1154" s="24">
        <f t="shared" si="238"/>
        <v>74</v>
      </c>
      <c r="V1154" s="69"/>
      <c r="W1154" s="24">
        <f t="shared" si="305"/>
        <v>74</v>
      </c>
      <c r="X1154" s="69"/>
      <c r="Y1154" s="24">
        <f t="shared" si="279"/>
        <v>74</v>
      </c>
      <c r="AA1154" s="189">
        <f>Y1154+Z1154</f>
        <v>74</v>
      </c>
    </row>
    <row r="1155" spans="1:27" s="6" customFormat="1" ht="24.75" x14ac:dyDescent="0.25">
      <c r="A1155" s="22" t="s">
        <v>594</v>
      </c>
      <c r="B1155" s="20" t="s">
        <v>264</v>
      </c>
      <c r="C1155" s="23" t="s">
        <v>184</v>
      </c>
      <c r="D1155" s="21"/>
      <c r="E1155" s="27"/>
      <c r="F1155" s="27"/>
      <c r="G1155" s="24"/>
      <c r="H1155" s="27"/>
      <c r="I1155" s="24"/>
      <c r="J1155" s="63"/>
      <c r="K1155" s="24"/>
      <c r="L1155" s="107"/>
      <c r="M1155" s="24"/>
      <c r="N1155" s="47">
        <f>N1156</f>
        <v>2919</v>
      </c>
      <c r="O1155" s="24">
        <f t="shared" si="302"/>
        <v>2919</v>
      </c>
      <c r="P1155" s="47">
        <f>P1156</f>
        <v>0</v>
      </c>
      <c r="Q1155" s="24">
        <f t="shared" si="275"/>
        <v>2919</v>
      </c>
      <c r="R1155" s="47">
        <f>R1156</f>
        <v>-2919</v>
      </c>
      <c r="S1155" s="24">
        <f t="shared" si="237"/>
        <v>0</v>
      </c>
      <c r="T1155" s="47">
        <f>T1156</f>
        <v>864.7</v>
      </c>
      <c r="U1155" s="24">
        <f t="shared" si="238"/>
        <v>864.7</v>
      </c>
      <c r="V1155" s="47">
        <f>V1156</f>
        <v>0</v>
      </c>
      <c r="W1155" s="24">
        <f t="shared" si="305"/>
        <v>864.7</v>
      </c>
      <c r="X1155" s="47">
        <f>X1156</f>
        <v>-15.2</v>
      </c>
      <c r="Y1155" s="24">
        <f t="shared" si="279"/>
        <v>849.5</v>
      </c>
      <c r="Z1155" s="189"/>
    </row>
    <row r="1156" spans="1:27" x14ac:dyDescent="0.25">
      <c r="A1156" s="22" t="s">
        <v>185</v>
      </c>
      <c r="B1156" s="20" t="s">
        <v>264</v>
      </c>
      <c r="C1156" s="23" t="s">
        <v>186</v>
      </c>
      <c r="D1156" s="21"/>
      <c r="E1156" s="27"/>
      <c r="F1156" s="27"/>
      <c r="G1156" s="24"/>
      <c r="H1156" s="27"/>
      <c r="I1156" s="24"/>
      <c r="J1156" s="63"/>
      <c r="K1156" s="24"/>
      <c r="L1156" s="107"/>
      <c r="M1156" s="24"/>
      <c r="N1156" s="47">
        <f>N1157</f>
        <v>2919</v>
      </c>
      <c r="O1156" s="24">
        <f t="shared" si="302"/>
        <v>2919</v>
      </c>
      <c r="P1156" s="47">
        <f>P1157</f>
        <v>0</v>
      </c>
      <c r="Q1156" s="24">
        <f t="shared" si="275"/>
        <v>2919</v>
      </c>
      <c r="R1156" s="47">
        <f>R1157</f>
        <v>-2919</v>
      </c>
      <c r="S1156" s="24">
        <f t="shared" si="237"/>
        <v>0</v>
      </c>
      <c r="T1156" s="47">
        <f>T1157</f>
        <v>864.7</v>
      </c>
      <c r="U1156" s="24">
        <f t="shared" si="238"/>
        <v>864.7</v>
      </c>
      <c r="V1156" s="47">
        <f>V1157</f>
        <v>0</v>
      </c>
      <c r="W1156" s="24">
        <f t="shared" si="305"/>
        <v>864.7</v>
      </c>
      <c r="X1156" s="47">
        <f>X1157</f>
        <v>-15.2</v>
      </c>
      <c r="Y1156" s="24">
        <f t="shared" si="279"/>
        <v>849.5</v>
      </c>
    </row>
    <row r="1157" spans="1:27" x14ac:dyDescent="0.25">
      <c r="A1157" s="92" t="s">
        <v>811</v>
      </c>
      <c r="B1157" s="20" t="s">
        <v>264</v>
      </c>
      <c r="C1157" s="20" t="s">
        <v>816</v>
      </c>
      <c r="D1157" s="20"/>
      <c r="E1157" s="27"/>
      <c r="F1157" s="27"/>
      <c r="G1157" s="24"/>
      <c r="H1157" s="27"/>
      <c r="I1157" s="24"/>
      <c r="J1157" s="63"/>
      <c r="K1157" s="24"/>
      <c r="L1157" s="107"/>
      <c r="M1157" s="24"/>
      <c r="N1157" s="47">
        <f>N1158</f>
        <v>2919</v>
      </c>
      <c r="O1157" s="24">
        <f t="shared" si="302"/>
        <v>2919</v>
      </c>
      <c r="P1157" s="47">
        <f>P1158</f>
        <v>0</v>
      </c>
      <c r="Q1157" s="24">
        <f t="shared" si="275"/>
        <v>2919</v>
      </c>
      <c r="R1157" s="47">
        <f>R1158</f>
        <v>-2919</v>
      </c>
      <c r="S1157" s="24">
        <f t="shared" si="237"/>
        <v>0</v>
      </c>
      <c r="T1157" s="47">
        <f>T1158</f>
        <v>864.7</v>
      </c>
      <c r="U1157" s="24">
        <f t="shared" si="238"/>
        <v>864.7</v>
      </c>
      <c r="V1157" s="47">
        <f>V1158</f>
        <v>0</v>
      </c>
      <c r="W1157" s="24">
        <f t="shared" si="305"/>
        <v>864.7</v>
      </c>
      <c r="X1157" s="47">
        <f>X1158</f>
        <v>-15.2</v>
      </c>
      <c r="Y1157" s="24">
        <f t="shared" si="279"/>
        <v>849.5</v>
      </c>
    </row>
    <row r="1158" spans="1:27" x14ac:dyDescent="0.25">
      <c r="A1158" s="30" t="s">
        <v>66</v>
      </c>
      <c r="B1158" s="21" t="s">
        <v>264</v>
      </c>
      <c r="C1158" s="21" t="s">
        <v>816</v>
      </c>
      <c r="D1158" s="21" t="s">
        <v>42</v>
      </c>
      <c r="E1158" s="27"/>
      <c r="F1158" s="27"/>
      <c r="G1158" s="24"/>
      <c r="H1158" s="27"/>
      <c r="I1158" s="24"/>
      <c r="J1158" s="63"/>
      <c r="K1158" s="24"/>
      <c r="L1158" s="107"/>
      <c r="M1158" s="24"/>
      <c r="N1158" s="63">
        <v>2919</v>
      </c>
      <c r="O1158" s="24">
        <f t="shared" si="302"/>
        <v>2919</v>
      </c>
      <c r="P1158" s="69"/>
      <c r="Q1158" s="24">
        <f t="shared" si="275"/>
        <v>2919</v>
      </c>
      <c r="R1158" s="39">
        <v>-2919</v>
      </c>
      <c r="S1158" s="24">
        <f t="shared" si="237"/>
        <v>0</v>
      </c>
      <c r="T1158" s="63">
        <v>864.7</v>
      </c>
      <c r="U1158" s="24">
        <f t="shared" si="238"/>
        <v>864.7</v>
      </c>
      <c r="V1158" s="69"/>
      <c r="W1158" s="24">
        <f t="shared" si="305"/>
        <v>864.7</v>
      </c>
      <c r="X1158" s="39">
        <v>-15.2</v>
      </c>
      <c r="Y1158" s="24">
        <f t="shared" si="279"/>
        <v>849.5</v>
      </c>
      <c r="Z1158" s="61">
        <v>-15.2</v>
      </c>
      <c r="AA1158" s="189">
        <f>Y1158+Z1158</f>
        <v>834.3</v>
      </c>
    </row>
    <row r="1159" spans="1:27" ht="24.75" x14ac:dyDescent="0.25">
      <c r="A1159" s="45" t="s">
        <v>852</v>
      </c>
      <c r="B1159" s="21" t="s">
        <v>264</v>
      </c>
      <c r="C1159" s="48" t="s">
        <v>258</v>
      </c>
      <c r="D1159" s="26"/>
      <c r="E1159" s="27"/>
      <c r="F1159" s="27"/>
      <c r="G1159" s="24"/>
      <c r="H1159" s="27"/>
      <c r="I1159" s="24"/>
      <c r="J1159" s="63"/>
      <c r="K1159" s="24"/>
      <c r="L1159" s="107"/>
      <c r="M1159" s="24"/>
      <c r="N1159" s="47">
        <f>N1160</f>
        <v>9334.1999999999989</v>
      </c>
      <c r="O1159" s="24">
        <f t="shared" si="302"/>
        <v>9334.1999999999989</v>
      </c>
      <c r="P1159" s="47">
        <f>P1160</f>
        <v>0</v>
      </c>
      <c r="Q1159" s="24">
        <f t="shared" si="275"/>
        <v>9334.1999999999989</v>
      </c>
      <c r="R1159" s="47">
        <f>R1160</f>
        <v>0</v>
      </c>
      <c r="S1159" s="24">
        <f t="shared" si="237"/>
        <v>9334.1999999999989</v>
      </c>
      <c r="T1159" s="47">
        <f>T1160</f>
        <v>94.6</v>
      </c>
      <c r="U1159" s="24">
        <f t="shared" si="238"/>
        <v>9428.7999999999993</v>
      </c>
      <c r="V1159" s="47">
        <f>V1160</f>
        <v>0</v>
      </c>
      <c r="W1159" s="24">
        <f t="shared" si="305"/>
        <v>9428.7999999999993</v>
      </c>
      <c r="X1159" s="47">
        <f>X1160</f>
        <v>0</v>
      </c>
      <c r="Y1159" s="24">
        <f t="shared" si="279"/>
        <v>9428.7999999999993</v>
      </c>
    </row>
    <row r="1160" spans="1:27" x14ac:dyDescent="0.25">
      <c r="A1160" s="45" t="s">
        <v>259</v>
      </c>
      <c r="B1160" s="21" t="s">
        <v>264</v>
      </c>
      <c r="C1160" s="48" t="s">
        <v>260</v>
      </c>
      <c r="D1160" s="26"/>
      <c r="E1160" s="27"/>
      <c r="F1160" s="27"/>
      <c r="G1160" s="24"/>
      <c r="H1160" s="27"/>
      <c r="I1160" s="24"/>
      <c r="J1160" s="63"/>
      <c r="K1160" s="24"/>
      <c r="L1160" s="107"/>
      <c r="M1160" s="24"/>
      <c r="N1160" s="47">
        <f>N1161+N1163</f>
        <v>9334.1999999999989</v>
      </c>
      <c r="O1160" s="24">
        <f t="shared" si="302"/>
        <v>9334.1999999999989</v>
      </c>
      <c r="P1160" s="47">
        <f>P1161+P1163</f>
        <v>0</v>
      </c>
      <c r="Q1160" s="24">
        <f t="shared" si="275"/>
        <v>9334.1999999999989</v>
      </c>
      <c r="R1160" s="47">
        <f>R1161+R1163</f>
        <v>0</v>
      </c>
      <c r="S1160" s="24">
        <f t="shared" si="237"/>
        <v>9334.1999999999989</v>
      </c>
      <c r="T1160" s="47">
        <f>T1161+T1163</f>
        <v>94.6</v>
      </c>
      <c r="U1160" s="24">
        <f t="shared" si="238"/>
        <v>9428.7999999999993</v>
      </c>
      <c r="V1160" s="47">
        <f>V1161+V1163</f>
        <v>0</v>
      </c>
      <c r="W1160" s="24">
        <f t="shared" si="305"/>
        <v>9428.7999999999993</v>
      </c>
      <c r="X1160" s="47">
        <f>X1161+X1163</f>
        <v>0</v>
      </c>
      <c r="Y1160" s="24">
        <f t="shared" si="279"/>
        <v>9428.7999999999993</v>
      </c>
    </row>
    <row r="1161" spans="1:27" ht="36.75" x14ac:dyDescent="0.25">
      <c r="A1161" s="40" t="s">
        <v>779</v>
      </c>
      <c r="B1161" s="55" t="s">
        <v>264</v>
      </c>
      <c r="C1161" s="55" t="s">
        <v>780</v>
      </c>
      <c r="D1161" s="48"/>
      <c r="E1161" s="24"/>
      <c r="F1161" s="24"/>
      <c r="G1161" s="24"/>
      <c r="H1161" s="24"/>
      <c r="I1161" s="24"/>
      <c r="J1161" s="112"/>
      <c r="K1161" s="24"/>
      <c r="L1161" s="113"/>
      <c r="M1161" s="24"/>
      <c r="N1161" s="47">
        <f>N1162</f>
        <v>9239.9</v>
      </c>
      <c r="O1161" s="24">
        <f t="shared" si="302"/>
        <v>9239.9</v>
      </c>
      <c r="P1161" s="47">
        <f>P1162</f>
        <v>0</v>
      </c>
      <c r="Q1161" s="24">
        <f t="shared" si="275"/>
        <v>9239.9</v>
      </c>
      <c r="R1161" s="47">
        <f>R1162</f>
        <v>0</v>
      </c>
      <c r="S1161" s="24">
        <f t="shared" si="237"/>
        <v>9239.9</v>
      </c>
      <c r="T1161" s="47">
        <f>T1162</f>
        <v>94.6</v>
      </c>
      <c r="U1161" s="24">
        <f t="shared" si="238"/>
        <v>9334.5</v>
      </c>
      <c r="V1161" s="47">
        <f>V1162</f>
        <v>0</v>
      </c>
      <c r="W1161" s="24">
        <f t="shared" si="305"/>
        <v>9334.5</v>
      </c>
      <c r="X1161" s="47">
        <f>X1162</f>
        <v>0</v>
      </c>
      <c r="Y1161" s="24">
        <f t="shared" si="279"/>
        <v>9334.5</v>
      </c>
    </row>
    <row r="1162" spans="1:27" x14ac:dyDescent="0.25">
      <c r="A1162" s="30" t="s">
        <v>66</v>
      </c>
      <c r="B1162" s="56" t="s">
        <v>264</v>
      </c>
      <c r="C1162" s="56" t="s">
        <v>780</v>
      </c>
      <c r="D1162" s="49" t="s">
        <v>42</v>
      </c>
      <c r="E1162" s="27"/>
      <c r="F1162" s="27"/>
      <c r="G1162" s="24"/>
      <c r="H1162" s="27"/>
      <c r="I1162" s="24"/>
      <c r="J1162" s="63"/>
      <c r="K1162" s="24"/>
      <c r="L1162" s="107"/>
      <c r="M1162" s="24"/>
      <c r="N1162" s="43">
        <v>9239.9</v>
      </c>
      <c r="O1162" s="24">
        <f t="shared" si="302"/>
        <v>9239.9</v>
      </c>
      <c r="P1162" s="69"/>
      <c r="Q1162" s="24">
        <f t="shared" si="275"/>
        <v>9239.9</v>
      </c>
      <c r="R1162" s="69"/>
      <c r="S1162" s="24">
        <f t="shared" si="237"/>
        <v>9239.9</v>
      </c>
      <c r="T1162" s="125">
        <v>94.6</v>
      </c>
      <c r="U1162" s="24">
        <f t="shared" si="238"/>
        <v>9334.5</v>
      </c>
      <c r="V1162" s="69"/>
      <c r="W1162" s="24">
        <f t="shared" si="305"/>
        <v>9334.5</v>
      </c>
      <c r="X1162" s="69"/>
      <c r="Y1162" s="24">
        <f t="shared" si="279"/>
        <v>9334.5</v>
      </c>
      <c r="AA1162" s="189">
        <f>Y1162+Z1162</f>
        <v>9334.5</v>
      </c>
    </row>
    <row r="1163" spans="1:27" ht="36.75" x14ac:dyDescent="0.25">
      <c r="A1163" s="117" t="s">
        <v>860</v>
      </c>
      <c r="B1163" s="55" t="s">
        <v>264</v>
      </c>
      <c r="C1163" s="55" t="s">
        <v>893</v>
      </c>
      <c r="D1163" s="81"/>
      <c r="E1163" s="27"/>
      <c r="F1163" s="27"/>
      <c r="G1163" s="24"/>
      <c r="H1163" s="27"/>
      <c r="I1163" s="24"/>
      <c r="J1163" s="63"/>
      <c r="K1163" s="24"/>
      <c r="L1163" s="107"/>
      <c r="M1163" s="24"/>
      <c r="N1163" s="47">
        <f>N1164</f>
        <v>94.3</v>
      </c>
      <c r="O1163" s="24">
        <f t="shared" si="302"/>
        <v>94.3</v>
      </c>
      <c r="P1163" s="47">
        <f>P1164</f>
        <v>0</v>
      </c>
      <c r="Q1163" s="24">
        <f t="shared" si="275"/>
        <v>94.3</v>
      </c>
      <c r="R1163" s="47">
        <f>R1164</f>
        <v>0</v>
      </c>
      <c r="S1163" s="24">
        <f t="shared" si="237"/>
        <v>94.3</v>
      </c>
      <c r="T1163" s="47">
        <f>T1164</f>
        <v>0</v>
      </c>
      <c r="U1163" s="24">
        <f t="shared" si="238"/>
        <v>94.3</v>
      </c>
      <c r="V1163" s="47">
        <f>V1164</f>
        <v>0</v>
      </c>
      <c r="W1163" s="24">
        <f t="shared" si="305"/>
        <v>94.3</v>
      </c>
      <c r="X1163" s="47">
        <f>X1164</f>
        <v>0</v>
      </c>
      <c r="Y1163" s="24">
        <f t="shared" si="279"/>
        <v>94.3</v>
      </c>
    </row>
    <row r="1164" spans="1:27" x14ac:dyDescent="0.25">
      <c r="A1164" s="30" t="s">
        <v>66</v>
      </c>
      <c r="B1164" s="56" t="s">
        <v>264</v>
      </c>
      <c r="C1164" s="56" t="s">
        <v>893</v>
      </c>
      <c r="D1164" s="56" t="s">
        <v>42</v>
      </c>
      <c r="E1164" s="27"/>
      <c r="F1164" s="27"/>
      <c r="G1164" s="24"/>
      <c r="H1164" s="27"/>
      <c r="I1164" s="24"/>
      <c r="J1164" s="63"/>
      <c r="K1164" s="24"/>
      <c r="L1164" s="107"/>
      <c r="M1164" s="24"/>
      <c r="N1164" s="63">
        <v>94.3</v>
      </c>
      <c r="O1164" s="24">
        <f t="shared" si="302"/>
        <v>94.3</v>
      </c>
      <c r="P1164" s="69"/>
      <c r="Q1164" s="24">
        <f t="shared" si="275"/>
        <v>94.3</v>
      </c>
      <c r="R1164" s="69"/>
      <c r="S1164" s="24">
        <f t="shared" si="237"/>
        <v>94.3</v>
      </c>
      <c r="T1164" s="69"/>
      <c r="U1164" s="24">
        <f t="shared" ref="U1164:U1439" si="308">S1164+T1164</f>
        <v>94.3</v>
      </c>
      <c r="V1164" s="69"/>
      <c r="W1164" s="24">
        <f t="shared" si="305"/>
        <v>94.3</v>
      </c>
      <c r="X1164" s="69"/>
      <c r="Y1164" s="24">
        <f t="shared" si="279"/>
        <v>94.3</v>
      </c>
      <c r="AA1164" s="189">
        <f>Y1164+Z1164</f>
        <v>94.3</v>
      </c>
    </row>
    <row r="1165" spans="1:27" s="6" customFormat="1" ht="24.75" x14ac:dyDescent="0.25">
      <c r="A1165" s="22" t="s">
        <v>591</v>
      </c>
      <c r="B1165" s="23" t="s">
        <v>264</v>
      </c>
      <c r="C1165" s="23" t="s">
        <v>138</v>
      </c>
      <c r="D1165" s="23" t="s">
        <v>2</v>
      </c>
      <c r="E1165" s="24">
        <f>E1166</f>
        <v>1843.3</v>
      </c>
      <c r="F1165" s="24">
        <f>F1166</f>
        <v>0</v>
      </c>
      <c r="G1165" s="24">
        <f t="shared" si="298"/>
        <v>1843.3</v>
      </c>
      <c r="H1165" s="24">
        <f>H1166</f>
        <v>0</v>
      </c>
      <c r="I1165" s="24">
        <f t="shared" si="299"/>
        <v>1843.3</v>
      </c>
      <c r="J1165" s="24">
        <f>J1166</f>
        <v>0</v>
      </c>
      <c r="K1165" s="24">
        <f t="shared" si="300"/>
        <v>1843.3</v>
      </c>
      <c r="L1165" s="24">
        <f>L1166</f>
        <v>562.1</v>
      </c>
      <c r="M1165" s="24">
        <f t="shared" si="301"/>
        <v>2405.4</v>
      </c>
      <c r="N1165" s="24">
        <f>N1166</f>
        <v>0</v>
      </c>
      <c r="O1165" s="24">
        <f t="shared" si="302"/>
        <v>2405.4</v>
      </c>
      <c r="P1165" s="24">
        <f>P1166</f>
        <v>0</v>
      </c>
      <c r="Q1165" s="24">
        <f t="shared" si="275"/>
        <v>2405.4</v>
      </c>
      <c r="R1165" s="24">
        <f>R1166</f>
        <v>0</v>
      </c>
      <c r="S1165" s="24">
        <f t="shared" ref="S1165:S1376" si="309">Q1165+R1165</f>
        <v>2405.4</v>
      </c>
      <c r="T1165" s="24">
        <f>T1166</f>
        <v>0</v>
      </c>
      <c r="U1165" s="24">
        <f t="shared" si="308"/>
        <v>2405.4</v>
      </c>
      <c r="V1165" s="24">
        <f>V1166</f>
        <v>0</v>
      </c>
      <c r="W1165" s="24">
        <f t="shared" si="305"/>
        <v>2405.4</v>
      </c>
      <c r="X1165" s="24">
        <f>X1166</f>
        <v>-673.6</v>
      </c>
      <c r="Y1165" s="24">
        <f t="shared" si="279"/>
        <v>1731.8000000000002</v>
      </c>
      <c r="Z1165" s="189"/>
    </row>
    <row r="1166" spans="1:27" ht="24.75" x14ac:dyDescent="0.25">
      <c r="A1166" s="22" t="s">
        <v>592</v>
      </c>
      <c r="B1166" s="23" t="s">
        <v>264</v>
      </c>
      <c r="C1166" s="23" t="s">
        <v>139</v>
      </c>
      <c r="D1166" s="23" t="s">
        <v>2</v>
      </c>
      <c r="E1166" s="24">
        <f>E1167</f>
        <v>1843.3</v>
      </c>
      <c r="F1166" s="24">
        <f>F1167</f>
        <v>0</v>
      </c>
      <c r="G1166" s="24">
        <f t="shared" si="298"/>
        <v>1843.3</v>
      </c>
      <c r="H1166" s="24">
        <f>H1167</f>
        <v>0</v>
      </c>
      <c r="I1166" s="24">
        <f t="shared" si="299"/>
        <v>1843.3</v>
      </c>
      <c r="J1166" s="24">
        <f>J1167</f>
        <v>0</v>
      </c>
      <c r="K1166" s="24">
        <f t="shared" si="300"/>
        <v>1843.3</v>
      </c>
      <c r="L1166" s="24">
        <f>L1167</f>
        <v>562.1</v>
      </c>
      <c r="M1166" s="24">
        <f t="shared" si="301"/>
        <v>2405.4</v>
      </c>
      <c r="N1166" s="24">
        <f>N1167</f>
        <v>0</v>
      </c>
      <c r="O1166" s="24">
        <f t="shared" si="302"/>
        <v>2405.4</v>
      </c>
      <c r="P1166" s="24">
        <f>P1167</f>
        <v>0</v>
      </c>
      <c r="Q1166" s="24">
        <f t="shared" si="275"/>
        <v>2405.4</v>
      </c>
      <c r="R1166" s="24">
        <f>R1167</f>
        <v>0</v>
      </c>
      <c r="S1166" s="24">
        <f t="shared" si="309"/>
        <v>2405.4</v>
      </c>
      <c r="T1166" s="24">
        <f>T1167</f>
        <v>0</v>
      </c>
      <c r="U1166" s="24">
        <f t="shared" si="308"/>
        <v>2405.4</v>
      </c>
      <c r="V1166" s="24">
        <f>V1167</f>
        <v>0</v>
      </c>
      <c r="W1166" s="24">
        <f t="shared" si="305"/>
        <v>2405.4</v>
      </c>
      <c r="X1166" s="24">
        <f>X1167</f>
        <v>-673.6</v>
      </c>
      <c r="Y1166" s="24">
        <f t="shared" si="279"/>
        <v>1731.8000000000002</v>
      </c>
    </row>
    <row r="1167" spans="1:27" x14ac:dyDescent="0.25">
      <c r="A1167" s="22" t="s">
        <v>279</v>
      </c>
      <c r="B1167" s="23" t="s">
        <v>264</v>
      </c>
      <c r="C1167" s="23" t="s">
        <v>280</v>
      </c>
      <c r="D1167" s="23" t="s">
        <v>2</v>
      </c>
      <c r="E1167" s="24">
        <f>E1168+E1170</f>
        <v>1843.3</v>
      </c>
      <c r="F1167" s="24">
        <f>F1168+F1170</f>
        <v>0</v>
      </c>
      <c r="G1167" s="24">
        <f t="shared" si="298"/>
        <v>1843.3</v>
      </c>
      <c r="H1167" s="24">
        <f>H1168+H1170</f>
        <v>0</v>
      </c>
      <c r="I1167" s="24">
        <f t="shared" si="299"/>
        <v>1843.3</v>
      </c>
      <c r="J1167" s="24">
        <f>J1168+J1170</f>
        <v>0</v>
      </c>
      <c r="K1167" s="24">
        <f t="shared" si="300"/>
        <v>1843.3</v>
      </c>
      <c r="L1167" s="24">
        <f>L1168+L1170</f>
        <v>562.1</v>
      </c>
      <c r="M1167" s="24">
        <f t="shared" si="301"/>
        <v>2405.4</v>
      </c>
      <c r="N1167" s="24">
        <f>N1168+N1170</f>
        <v>0</v>
      </c>
      <c r="O1167" s="24">
        <f t="shared" si="302"/>
        <v>2405.4</v>
      </c>
      <c r="P1167" s="24">
        <f>P1168+P1170</f>
        <v>0</v>
      </c>
      <c r="Q1167" s="24">
        <f t="shared" si="275"/>
        <v>2405.4</v>
      </c>
      <c r="R1167" s="24">
        <f>R1168+R1170</f>
        <v>0</v>
      </c>
      <c r="S1167" s="24">
        <f t="shared" si="309"/>
        <v>2405.4</v>
      </c>
      <c r="T1167" s="24">
        <f>T1168+T1170</f>
        <v>0</v>
      </c>
      <c r="U1167" s="24">
        <f t="shared" si="308"/>
        <v>2405.4</v>
      </c>
      <c r="V1167" s="24">
        <f>V1168+V1170</f>
        <v>0</v>
      </c>
      <c r="W1167" s="24">
        <f t="shared" si="305"/>
        <v>2405.4</v>
      </c>
      <c r="X1167" s="24">
        <f>X1168+X1170</f>
        <v>-673.6</v>
      </c>
      <c r="Y1167" s="24">
        <f t="shared" si="279"/>
        <v>1731.8000000000002</v>
      </c>
    </row>
    <row r="1168" spans="1:27" x14ac:dyDescent="0.25">
      <c r="A1168" s="22" t="s">
        <v>281</v>
      </c>
      <c r="B1168" s="23" t="s">
        <v>264</v>
      </c>
      <c r="C1168" s="23" t="s">
        <v>282</v>
      </c>
      <c r="D1168" s="23" t="s">
        <v>2</v>
      </c>
      <c r="E1168" s="24">
        <f>E1169</f>
        <v>1823.3</v>
      </c>
      <c r="F1168" s="24">
        <f>F1169</f>
        <v>0</v>
      </c>
      <c r="G1168" s="24">
        <f t="shared" si="298"/>
        <v>1823.3</v>
      </c>
      <c r="H1168" s="24">
        <f>H1169</f>
        <v>0</v>
      </c>
      <c r="I1168" s="24">
        <f t="shared" si="299"/>
        <v>1823.3</v>
      </c>
      <c r="J1168" s="24">
        <f>J1169</f>
        <v>0</v>
      </c>
      <c r="K1168" s="24">
        <f t="shared" si="300"/>
        <v>1823.3</v>
      </c>
      <c r="L1168" s="24">
        <f>L1169</f>
        <v>0</v>
      </c>
      <c r="M1168" s="24">
        <f t="shared" si="301"/>
        <v>1823.3</v>
      </c>
      <c r="N1168" s="24">
        <f>N1169</f>
        <v>0</v>
      </c>
      <c r="O1168" s="24">
        <f t="shared" si="302"/>
        <v>1823.3</v>
      </c>
      <c r="P1168" s="24">
        <f>P1169</f>
        <v>0</v>
      </c>
      <c r="Q1168" s="24">
        <f t="shared" si="275"/>
        <v>1823.3</v>
      </c>
      <c r="R1168" s="24">
        <f>R1169</f>
        <v>0</v>
      </c>
      <c r="S1168" s="24">
        <f t="shared" si="309"/>
        <v>1823.3</v>
      </c>
      <c r="T1168" s="24">
        <f>T1169</f>
        <v>0</v>
      </c>
      <c r="U1168" s="24">
        <f t="shared" si="308"/>
        <v>1823.3</v>
      </c>
      <c r="V1168" s="24">
        <f>V1169</f>
        <v>0</v>
      </c>
      <c r="W1168" s="24">
        <f t="shared" si="305"/>
        <v>1823.3</v>
      </c>
      <c r="X1168" s="24">
        <f>X1169</f>
        <v>-673.6</v>
      </c>
      <c r="Y1168" s="24">
        <f t="shared" si="279"/>
        <v>1149.6999999999998</v>
      </c>
    </row>
    <row r="1169" spans="1:27" s="6" customFormat="1" x14ac:dyDescent="0.25">
      <c r="A1169" s="25" t="s">
        <v>66</v>
      </c>
      <c r="B1169" s="26" t="s">
        <v>264</v>
      </c>
      <c r="C1169" s="26" t="s">
        <v>282</v>
      </c>
      <c r="D1169" s="26" t="s">
        <v>42</v>
      </c>
      <c r="E1169" s="27">
        <v>1823.3</v>
      </c>
      <c r="F1169" s="27"/>
      <c r="G1169" s="24">
        <f t="shared" si="298"/>
        <v>1823.3</v>
      </c>
      <c r="H1169" s="27"/>
      <c r="I1169" s="24">
        <f t="shared" si="299"/>
        <v>1823.3</v>
      </c>
      <c r="J1169" s="27"/>
      <c r="K1169" s="24">
        <f t="shared" si="300"/>
        <v>1823.3</v>
      </c>
      <c r="L1169" s="27"/>
      <c r="M1169" s="24">
        <f t="shared" si="301"/>
        <v>1823.3</v>
      </c>
      <c r="N1169" s="27"/>
      <c r="O1169" s="24">
        <f t="shared" si="302"/>
        <v>1823.3</v>
      </c>
      <c r="P1169" s="27"/>
      <c r="Q1169" s="24">
        <f t="shared" si="275"/>
        <v>1823.3</v>
      </c>
      <c r="R1169" s="27"/>
      <c r="S1169" s="24">
        <f t="shared" si="309"/>
        <v>1823.3</v>
      </c>
      <c r="T1169" s="69"/>
      <c r="U1169" s="24">
        <f t="shared" si="308"/>
        <v>1823.3</v>
      </c>
      <c r="V1169" s="69"/>
      <c r="W1169" s="24">
        <f t="shared" si="305"/>
        <v>1823.3</v>
      </c>
      <c r="X1169" s="43">
        <v>-673.6</v>
      </c>
      <c r="Y1169" s="24">
        <f t="shared" si="279"/>
        <v>1149.6999999999998</v>
      </c>
      <c r="Z1169" s="189"/>
      <c r="AA1169" s="189">
        <f>Y1169+Z1169</f>
        <v>1149.6999999999998</v>
      </c>
    </row>
    <row r="1170" spans="1:27" s="6" customFormat="1" ht="24.75" x14ac:dyDescent="0.25">
      <c r="A1170" s="22" t="s">
        <v>274</v>
      </c>
      <c r="B1170" s="23" t="s">
        <v>264</v>
      </c>
      <c r="C1170" s="23" t="s">
        <v>283</v>
      </c>
      <c r="D1170" s="23" t="s">
        <v>2</v>
      </c>
      <c r="E1170" s="24">
        <f>E1171</f>
        <v>20</v>
      </c>
      <c r="F1170" s="24">
        <f>F1171</f>
        <v>0</v>
      </c>
      <c r="G1170" s="24">
        <f t="shared" si="298"/>
        <v>20</v>
      </c>
      <c r="H1170" s="24">
        <f>H1171</f>
        <v>0</v>
      </c>
      <c r="I1170" s="24">
        <f t="shared" si="299"/>
        <v>20</v>
      </c>
      <c r="J1170" s="24">
        <f>J1171</f>
        <v>0</v>
      </c>
      <c r="K1170" s="24">
        <f t="shared" si="300"/>
        <v>20</v>
      </c>
      <c r="L1170" s="24">
        <f>L1171</f>
        <v>562.1</v>
      </c>
      <c r="M1170" s="24">
        <f t="shared" si="301"/>
        <v>582.1</v>
      </c>
      <c r="N1170" s="24">
        <f>N1171</f>
        <v>0</v>
      </c>
      <c r="O1170" s="24">
        <f t="shared" si="302"/>
        <v>582.1</v>
      </c>
      <c r="P1170" s="24">
        <f>P1171</f>
        <v>0</v>
      </c>
      <c r="Q1170" s="24">
        <f t="shared" si="275"/>
        <v>582.1</v>
      </c>
      <c r="R1170" s="24">
        <f>R1171</f>
        <v>0</v>
      </c>
      <c r="S1170" s="24">
        <f t="shared" si="309"/>
        <v>582.1</v>
      </c>
      <c r="T1170" s="24">
        <f>T1171</f>
        <v>0</v>
      </c>
      <c r="U1170" s="24">
        <f t="shared" si="308"/>
        <v>582.1</v>
      </c>
      <c r="V1170" s="24">
        <f>V1171</f>
        <v>0</v>
      </c>
      <c r="W1170" s="24">
        <f t="shared" si="305"/>
        <v>582.1</v>
      </c>
      <c r="X1170" s="24">
        <f>X1171</f>
        <v>0</v>
      </c>
      <c r="Y1170" s="24">
        <f t="shared" si="279"/>
        <v>582.1</v>
      </c>
      <c r="Z1170" s="189"/>
    </row>
    <row r="1171" spans="1:27" s="6" customFormat="1" x14ac:dyDescent="0.25">
      <c r="A1171" s="25" t="s">
        <v>66</v>
      </c>
      <c r="B1171" s="26" t="s">
        <v>264</v>
      </c>
      <c r="C1171" s="26" t="s">
        <v>283</v>
      </c>
      <c r="D1171" s="26" t="s">
        <v>42</v>
      </c>
      <c r="E1171" s="27">
        <v>20</v>
      </c>
      <c r="F1171" s="27"/>
      <c r="G1171" s="24">
        <f t="shared" si="298"/>
        <v>20</v>
      </c>
      <c r="H1171" s="27"/>
      <c r="I1171" s="24">
        <f t="shared" si="299"/>
        <v>20</v>
      </c>
      <c r="J1171" s="27"/>
      <c r="K1171" s="24">
        <f t="shared" si="300"/>
        <v>20</v>
      </c>
      <c r="L1171" s="107">
        <v>562.1</v>
      </c>
      <c r="M1171" s="24">
        <f t="shared" si="301"/>
        <v>582.1</v>
      </c>
      <c r="N1171" s="69"/>
      <c r="O1171" s="24">
        <f t="shared" si="302"/>
        <v>582.1</v>
      </c>
      <c r="P1171" s="69"/>
      <c r="Q1171" s="24">
        <f t="shared" si="275"/>
        <v>582.1</v>
      </c>
      <c r="R1171" s="69"/>
      <c r="S1171" s="24">
        <f t="shared" si="309"/>
        <v>582.1</v>
      </c>
      <c r="T1171" s="69"/>
      <c r="U1171" s="24">
        <f t="shared" si="308"/>
        <v>582.1</v>
      </c>
      <c r="V1171" s="69"/>
      <c r="W1171" s="24">
        <f t="shared" si="305"/>
        <v>582.1</v>
      </c>
      <c r="X1171" s="69"/>
      <c r="Y1171" s="24">
        <f t="shared" si="279"/>
        <v>582.1</v>
      </c>
      <c r="Z1171" s="189"/>
      <c r="AA1171" s="189">
        <f>Y1171+Z1171</f>
        <v>582.1</v>
      </c>
    </row>
    <row r="1172" spans="1:27" s="6" customFormat="1" ht="24.75" x14ac:dyDescent="0.25">
      <c r="A1172" s="45" t="s">
        <v>590</v>
      </c>
      <c r="B1172" s="20" t="s">
        <v>264</v>
      </c>
      <c r="C1172" s="54" t="s">
        <v>32</v>
      </c>
      <c r="D1172" s="21"/>
      <c r="E1172" s="27"/>
      <c r="F1172" s="27"/>
      <c r="G1172" s="24"/>
      <c r="H1172" s="27"/>
      <c r="I1172" s="24"/>
      <c r="J1172" s="27"/>
      <c r="K1172" s="24"/>
      <c r="L1172" s="107"/>
      <c r="M1172" s="24"/>
      <c r="N1172" s="69"/>
      <c r="O1172" s="24"/>
      <c r="P1172" s="69"/>
      <c r="Q1172" s="24"/>
      <c r="R1172" s="69"/>
      <c r="S1172" s="24"/>
      <c r="T1172" s="69">
        <f>T1173</f>
        <v>217.5</v>
      </c>
      <c r="U1172" s="24">
        <f t="shared" ref="U1172:U1176" si="310">S1172+T1172</f>
        <v>217.5</v>
      </c>
      <c r="V1172" s="69">
        <f>V1173</f>
        <v>857.7</v>
      </c>
      <c r="W1172" s="24">
        <f t="shared" si="305"/>
        <v>1075.2</v>
      </c>
      <c r="X1172" s="69">
        <f>X1173</f>
        <v>0</v>
      </c>
      <c r="Y1172" s="24">
        <f t="shared" si="279"/>
        <v>1075.2</v>
      </c>
      <c r="Z1172" s="189"/>
    </row>
    <row r="1173" spans="1:27" s="6" customFormat="1" x14ac:dyDescent="0.25">
      <c r="A1173" s="45" t="s">
        <v>33</v>
      </c>
      <c r="B1173" s="20" t="s">
        <v>264</v>
      </c>
      <c r="C1173" s="54" t="s">
        <v>34</v>
      </c>
      <c r="D1173" s="21"/>
      <c r="E1173" s="27"/>
      <c r="F1173" s="27"/>
      <c r="G1173" s="24"/>
      <c r="H1173" s="27"/>
      <c r="I1173" s="24"/>
      <c r="J1173" s="27"/>
      <c r="K1173" s="24"/>
      <c r="L1173" s="107"/>
      <c r="M1173" s="24"/>
      <c r="N1173" s="69"/>
      <c r="O1173" s="24"/>
      <c r="P1173" s="69"/>
      <c r="Q1173" s="24"/>
      <c r="R1173" s="69"/>
      <c r="S1173" s="24"/>
      <c r="T1173" s="69">
        <f>T1174</f>
        <v>217.5</v>
      </c>
      <c r="U1173" s="24">
        <f t="shared" si="310"/>
        <v>217.5</v>
      </c>
      <c r="V1173" s="69">
        <f>V1174</f>
        <v>857.7</v>
      </c>
      <c r="W1173" s="24">
        <f t="shared" si="305"/>
        <v>1075.2</v>
      </c>
      <c r="X1173" s="69">
        <f>X1174</f>
        <v>0</v>
      </c>
      <c r="Y1173" s="24">
        <f t="shared" si="279"/>
        <v>1075.2</v>
      </c>
      <c r="Z1173" s="189"/>
    </row>
    <row r="1174" spans="1:27" s="6" customFormat="1" x14ac:dyDescent="0.25">
      <c r="A1174" s="22" t="s">
        <v>50</v>
      </c>
      <c r="B1174" s="20" t="s">
        <v>264</v>
      </c>
      <c r="C1174" s="23" t="s">
        <v>51</v>
      </c>
      <c r="D1174" s="21"/>
      <c r="E1174" s="27"/>
      <c r="F1174" s="27"/>
      <c r="G1174" s="24"/>
      <c r="H1174" s="27"/>
      <c r="I1174" s="24"/>
      <c r="J1174" s="27"/>
      <c r="K1174" s="24"/>
      <c r="L1174" s="107"/>
      <c r="M1174" s="24"/>
      <c r="N1174" s="69"/>
      <c r="O1174" s="24"/>
      <c r="P1174" s="69"/>
      <c r="Q1174" s="24"/>
      <c r="R1174" s="69"/>
      <c r="S1174" s="24"/>
      <c r="T1174" s="69">
        <f>T1175</f>
        <v>217.5</v>
      </c>
      <c r="U1174" s="24">
        <f t="shared" si="310"/>
        <v>217.5</v>
      </c>
      <c r="V1174" s="69">
        <f>V1175</f>
        <v>857.7</v>
      </c>
      <c r="W1174" s="24">
        <f t="shared" si="305"/>
        <v>1075.2</v>
      </c>
      <c r="X1174" s="69">
        <f>X1175</f>
        <v>0</v>
      </c>
      <c r="Y1174" s="24">
        <f t="shared" si="279"/>
        <v>1075.2</v>
      </c>
      <c r="Z1174" s="189"/>
    </row>
    <row r="1175" spans="1:27" s="6" customFormat="1" ht="36.75" x14ac:dyDescent="0.25">
      <c r="A1175" s="16" t="s">
        <v>860</v>
      </c>
      <c r="B1175" s="20" t="s">
        <v>264</v>
      </c>
      <c r="C1175" s="20" t="s">
        <v>862</v>
      </c>
      <c r="D1175" s="21"/>
      <c r="E1175" s="27"/>
      <c r="F1175" s="27"/>
      <c r="G1175" s="24"/>
      <c r="H1175" s="27"/>
      <c r="I1175" s="24"/>
      <c r="J1175" s="27"/>
      <c r="K1175" s="24"/>
      <c r="L1175" s="107"/>
      <c r="M1175" s="24"/>
      <c r="N1175" s="69"/>
      <c r="O1175" s="24"/>
      <c r="P1175" s="69"/>
      <c r="Q1175" s="24"/>
      <c r="R1175" s="69"/>
      <c r="S1175" s="24"/>
      <c r="T1175" s="69">
        <f>T1176</f>
        <v>217.5</v>
      </c>
      <c r="U1175" s="24">
        <f t="shared" si="310"/>
        <v>217.5</v>
      </c>
      <c r="V1175" s="69">
        <f>V1176</f>
        <v>857.7</v>
      </c>
      <c r="W1175" s="24">
        <f t="shared" si="305"/>
        <v>1075.2</v>
      </c>
      <c r="X1175" s="69">
        <f>X1176</f>
        <v>0</v>
      </c>
      <c r="Y1175" s="24">
        <f t="shared" si="279"/>
        <v>1075.2</v>
      </c>
      <c r="Z1175" s="189"/>
    </row>
    <row r="1176" spans="1:27" s="6" customFormat="1" x14ac:dyDescent="0.25">
      <c r="A1176" s="30" t="s">
        <v>66</v>
      </c>
      <c r="B1176" s="21" t="s">
        <v>264</v>
      </c>
      <c r="C1176" s="21" t="s">
        <v>862</v>
      </c>
      <c r="D1176" s="21" t="s">
        <v>42</v>
      </c>
      <c r="E1176" s="27"/>
      <c r="F1176" s="27"/>
      <c r="G1176" s="24"/>
      <c r="H1176" s="27"/>
      <c r="I1176" s="24"/>
      <c r="J1176" s="27"/>
      <c r="K1176" s="24"/>
      <c r="L1176" s="107"/>
      <c r="M1176" s="24"/>
      <c r="N1176" s="69"/>
      <c r="O1176" s="24"/>
      <c r="P1176" s="69"/>
      <c r="Q1176" s="24"/>
      <c r="R1176" s="69"/>
      <c r="S1176" s="24"/>
      <c r="T1176" s="63">
        <v>217.5</v>
      </c>
      <c r="U1176" s="24">
        <f t="shared" si="310"/>
        <v>217.5</v>
      </c>
      <c r="V1176" s="94">
        <v>857.7</v>
      </c>
      <c r="W1176" s="24">
        <f t="shared" si="305"/>
        <v>1075.2</v>
      </c>
      <c r="X1176" s="69"/>
      <c r="Y1176" s="24">
        <f t="shared" si="279"/>
        <v>1075.2</v>
      </c>
      <c r="Z1176" s="189"/>
      <c r="AA1176" s="189">
        <f>Y1176+Z1176</f>
        <v>1075.2</v>
      </c>
    </row>
    <row r="1177" spans="1:27" s="6" customFormat="1" x14ac:dyDescent="0.25">
      <c r="A1177" s="45" t="s">
        <v>8</v>
      </c>
      <c r="B1177" s="20" t="s">
        <v>264</v>
      </c>
      <c r="C1177" s="54" t="s">
        <v>9</v>
      </c>
      <c r="D1177" s="21"/>
      <c r="E1177" s="27"/>
      <c r="F1177" s="27"/>
      <c r="G1177" s="24"/>
      <c r="H1177" s="27"/>
      <c r="I1177" s="24"/>
      <c r="J1177" s="27"/>
      <c r="K1177" s="24"/>
      <c r="L1177" s="18">
        <f>L1178</f>
        <v>6.1</v>
      </c>
      <c r="M1177" s="24">
        <f t="shared" si="301"/>
        <v>6.1</v>
      </c>
      <c r="N1177" s="18">
        <f>N1178</f>
        <v>0</v>
      </c>
      <c r="O1177" s="24">
        <f t="shared" si="302"/>
        <v>6.1</v>
      </c>
      <c r="P1177" s="18">
        <f>P1178</f>
        <v>0</v>
      </c>
      <c r="Q1177" s="24">
        <f t="shared" si="275"/>
        <v>6.1</v>
      </c>
      <c r="R1177" s="18">
        <f>R1178</f>
        <v>0</v>
      </c>
      <c r="S1177" s="24">
        <f t="shared" si="309"/>
        <v>6.1</v>
      </c>
      <c r="T1177" s="18">
        <f>T1178</f>
        <v>0</v>
      </c>
      <c r="U1177" s="24">
        <f t="shared" si="308"/>
        <v>6.1</v>
      </c>
      <c r="V1177" s="18">
        <f>V1178</f>
        <v>0</v>
      </c>
      <c r="W1177" s="24">
        <f t="shared" si="305"/>
        <v>6.1</v>
      </c>
      <c r="X1177" s="18">
        <f>X1178</f>
        <v>0</v>
      </c>
      <c r="Y1177" s="24">
        <f t="shared" si="279"/>
        <v>6.1</v>
      </c>
      <c r="Z1177" s="189"/>
    </row>
    <row r="1178" spans="1:27" ht="24.75" x14ac:dyDescent="0.25">
      <c r="A1178" s="22" t="s">
        <v>677</v>
      </c>
      <c r="B1178" s="20" t="s">
        <v>264</v>
      </c>
      <c r="C1178" s="41" t="s">
        <v>679</v>
      </c>
      <c r="D1178" s="21"/>
      <c r="E1178" s="27"/>
      <c r="F1178" s="27"/>
      <c r="G1178" s="24"/>
      <c r="H1178" s="27"/>
      <c r="I1178" s="24"/>
      <c r="J1178" s="27"/>
      <c r="K1178" s="24"/>
      <c r="L1178" s="18">
        <f>L1179</f>
        <v>6.1</v>
      </c>
      <c r="M1178" s="24">
        <f t="shared" si="301"/>
        <v>6.1</v>
      </c>
      <c r="N1178" s="18">
        <f>N1179</f>
        <v>0</v>
      </c>
      <c r="O1178" s="24">
        <f t="shared" si="302"/>
        <v>6.1</v>
      </c>
      <c r="P1178" s="18">
        <f>P1179</f>
        <v>0</v>
      </c>
      <c r="Q1178" s="24">
        <f t="shared" si="275"/>
        <v>6.1</v>
      </c>
      <c r="R1178" s="18">
        <f>R1179</f>
        <v>0</v>
      </c>
      <c r="S1178" s="24">
        <f t="shared" si="309"/>
        <v>6.1</v>
      </c>
      <c r="T1178" s="18">
        <f>T1179</f>
        <v>0</v>
      </c>
      <c r="U1178" s="24">
        <f t="shared" si="308"/>
        <v>6.1</v>
      </c>
      <c r="V1178" s="18">
        <f>V1179</f>
        <v>0</v>
      </c>
      <c r="W1178" s="24">
        <f t="shared" si="305"/>
        <v>6.1</v>
      </c>
      <c r="X1178" s="18">
        <f>X1179</f>
        <v>0</v>
      </c>
      <c r="Y1178" s="24">
        <f t="shared" si="279"/>
        <v>6.1</v>
      </c>
    </row>
    <row r="1179" spans="1:27" s="6" customFormat="1" ht="24.75" x14ac:dyDescent="0.25">
      <c r="A1179" s="64" t="s">
        <v>678</v>
      </c>
      <c r="B1179" s="21" t="s">
        <v>264</v>
      </c>
      <c r="C1179" s="42" t="s">
        <v>679</v>
      </c>
      <c r="D1179" s="65" t="s">
        <v>680</v>
      </c>
      <c r="E1179" s="27"/>
      <c r="F1179" s="27"/>
      <c r="G1179" s="24"/>
      <c r="H1179" s="27"/>
      <c r="I1179" s="24"/>
      <c r="J1179" s="27"/>
      <c r="K1179" s="24"/>
      <c r="L1179" s="91">
        <v>6.1</v>
      </c>
      <c r="M1179" s="24">
        <f t="shared" si="301"/>
        <v>6.1</v>
      </c>
      <c r="N1179" s="84"/>
      <c r="O1179" s="24">
        <f t="shared" si="302"/>
        <v>6.1</v>
      </c>
      <c r="P1179" s="84"/>
      <c r="Q1179" s="24">
        <f t="shared" si="275"/>
        <v>6.1</v>
      </c>
      <c r="R1179" s="84"/>
      <c r="S1179" s="24">
        <f t="shared" si="309"/>
        <v>6.1</v>
      </c>
      <c r="T1179" s="84"/>
      <c r="U1179" s="24">
        <f t="shared" si="308"/>
        <v>6.1</v>
      </c>
      <c r="V1179" s="84"/>
      <c r="W1179" s="24">
        <f t="shared" si="305"/>
        <v>6.1</v>
      </c>
      <c r="X1179" s="84"/>
      <c r="Y1179" s="24">
        <f t="shared" si="279"/>
        <v>6.1</v>
      </c>
      <c r="Z1179" s="189"/>
      <c r="AA1179" s="189">
        <f>Y1179+Z1179</f>
        <v>6.1</v>
      </c>
    </row>
    <row r="1180" spans="1:27" x14ac:dyDescent="0.25">
      <c r="A1180" s="22" t="s">
        <v>284</v>
      </c>
      <c r="B1180" s="23" t="s">
        <v>285</v>
      </c>
      <c r="C1180" s="23" t="s">
        <v>2</v>
      </c>
      <c r="D1180" s="23" t="s">
        <v>2</v>
      </c>
      <c r="E1180" s="24">
        <f t="shared" ref="E1180:X1183" si="311">E1181</f>
        <v>82.600000000000009</v>
      </c>
      <c r="F1180" s="24">
        <f t="shared" si="311"/>
        <v>0</v>
      </c>
      <c r="G1180" s="24">
        <f t="shared" si="298"/>
        <v>82.600000000000009</v>
      </c>
      <c r="H1180" s="24">
        <f t="shared" si="311"/>
        <v>0</v>
      </c>
      <c r="I1180" s="24">
        <f t="shared" si="299"/>
        <v>82.600000000000009</v>
      </c>
      <c r="J1180" s="24">
        <f>J1181+J1188</f>
        <v>929.5</v>
      </c>
      <c r="K1180" s="24">
        <f t="shared" si="300"/>
        <v>1012.1</v>
      </c>
      <c r="L1180" s="24">
        <f>L1181+L1188</f>
        <v>468.3</v>
      </c>
      <c r="M1180" s="24">
        <f t="shared" si="301"/>
        <v>1480.4</v>
      </c>
      <c r="N1180" s="24">
        <f>N1181+N1188</f>
        <v>10</v>
      </c>
      <c r="O1180" s="24">
        <f t="shared" si="302"/>
        <v>1490.4</v>
      </c>
      <c r="P1180" s="24">
        <f>P1181+P1188</f>
        <v>0</v>
      </c>
      <c r="Q1180" s="24">
        <f t="shared" si="275"/>
        <v>1490.4</v>
      </c>
      <c r="R1180" s="24">
        <f>R1181+R1188</f>
        <v>375.2</v>
      </c>
      <c r="S1180" s="24">
        <f t="shared" si="309"/>
        <v>1865.6000000000001</v>
      </c>
      <c r="T1180" s="24">
        <f>T1181+T1188</f>
        <v>0</v>
      </c>
      <c r="U1180" s="24">
        <f t="shared" si="308"/>
        <v>1865.6000000000001</v>
      </c>
      <c r="V1180" s="24">
        <f>V1181+V1188</f>
        <v>865.9</v>
      </c>
      <c r="W1180" s="24">
        <f t="shared" si="305"/>
        <v>2731.5</v>
      </c>
      <c r="X1180" s="24">
        <f>X1181+X1188</f>
        <v>8.8000000000000007</v>
      </c>
      <c r="Y1180" s="24">
        <f t="shared" si="279"/>
        <v>2740.3</v>
      </c>
    </row>
    <row r="1181" spans="1:27" ht="24.75" x14ac:dyDescent="0.25">
      <c r="A1181" s="22" t="s">
        <v>593</v>
      </c>
      <c r="B1181" s="23" t="s">
        <v>285</v>
      </c>
      <c r="C1181" s="23" t="s">
        <v>183</v>
      </c>
      <c r="D1181" s="23" t="s">
        <v>2</v>
      </c>
      <c r="E1181" s="24">
        <f t="shared" si="311"/>
        <v>82.600000000000009</v>
      </c>
      <c r="F1181" s="24">
        <f t="shared" si="311"/>
        <v>0</v>
      </c>
      <c r="G1181" s="24">
        <f t="shared" si="298"/>
        <v>82.600000000000009</v>
      </c>
      <c r="H1181" s="24">
        <f t="shared" si="311"/>
        <v>0</v>
      </c>
      <c r="I1181" s="24">
        <f t="shared" si="299"/>
        <v>82.600000000000009</v>
      </c>
      <c r="J1181" s="24">
        <f t="shared" si="311"/>
        <v>0</v>
      </c>
      <c r="K1181" s="24">
        <f t="shared" si="300"/>
        <v>82.600000000000009</v>
      </c>
      <c r="L1181" s="24">
        <f t="shared" si="311"/>
        <v>0</v>
      </c>
      <c r="M1181" s="24">
        <f t="shared" si="301"/>
        <v>82.600000000000009</v>
      </c>
      <c r="N1181" s="24">
        <f t="shared" si="311"/>
        <v>10</v>
      </c>
      <c r="O1181" s="24">
        <f t="shared" si="302"/>
        <v>92.600000000000009</v>
      </c>
      <c r="P1181" s="24">
        <f t="shared" si="311"/>
        <v>0</v>
      </c>
      <c r="Q1181" s="24">
        <f t="shared" si="275"/>
        <v>92.600000000000009</v>
      </c>
      <c r="R1181" s="24">
        <f t="shared" si="311"/>
        <v>0</v>
      </c>
      <c r="S1181" s="24">
        <f t="shared" si="309"/>
        <v>92.600000000000009</v>
      </c>
      <c r="T1181" s="24">
        <f t="shared" si="311"/>
        <v>0</v>
      </c>
      <c r="U1181" s="24">
        <f t="shared" si="308"/>
        <v>92.600000000000009</v>
      </c>
      <c r="V1181" s="24">
        <f t="shared" si="311"/>
        <v>0</v>
      </c>
      <c r="W1181" s="24">
        <f t="shared" si="305"/>
        <v>92.600000000000009</v>
      </c>
      <c r="X1181" s="24">
        <f t="shared" si="311"/>
        <v>8.8000000000000007</v>
      </c>
      <c r="Y1181" s="24">
        <f t="shared" si="279"/>
        <v>101.4</v>
      </c>
    </row>
    <row r="1182" spans="1:27" ht="24.75" x14ac:dyDescent="0.25">
      <c r="A1182" s="22" t="s">
        <v>597</v>
      </c>
      <c r="B1182" s="23" t="s">
        <v>285</v>
      </c>
      <c r="C1182" s="23" t="s">
        <v>212</v>
      </c>
      <c r="D1182" s="23" t="s">
        <v>2</v>
      </c>
      <c r="E1182" s="24">
        <f t="shared" si="311"/>
        <v>82.600000000000009</v>
      </c>
      <c r="F1182" s="24">
        <f t="shared" si="311"/>
        <v>0</v>
      </c>
      <c r="G1182" s="24">
        <f t="shared" si="298"/>
        <v>82.600000000000009</v>
      </c>
      <c r="H1182" s="24">
        <f t="shared" si="311"/>
        <v>0</v>
      </c>
      <c r="I1182" s="24">
        <f t="shared" si="299"/>
        <v>82.600000000000009</v>
      </c>
      <c r="J1182" s="24">
        <f t="shared" si="311"/>
        <v>0</v>
      </c>
      <c r="K1182" s="24">
        <f t="shared" si="300"/>
        <v>82.600000000000009</v>
      </c>
      <c r="L1182" s="24">
        <f t="shared" si="311"/>
        <v>0</v>
      </c>
      <c r="M1182" s="24">
        <f t="shared" si="301"/>
        <v>82.600000000000009</v>
      </c>
      <c r="N1182" s="24">
        <f t="shared" si="311"/>
        <v>10</v>
      </c>
      <c r="O1182" s="24">
        <f t="shared" si="302"/>
        <v>92.600000000000009</v>
      </c>
      <c r="P1182" s="24">
        <f t="shared" si="311"/>
        <v>0</v>
      </c>
      <c r="Q1182" s="24">
        <f t="shared" si="275"/>
        <v>92.600000000000009</v>
      </c>
      <c r="R1182" s="24">
        <f t="shared" si="311"/>
        <v>0</v>
      </c>
      <c r="S1182" s="24">
        <f t="shared" si="309"/>
        <v>92.600000000000009</v>
      </c>
      <c r="T1182" s="24">
        <f t="shared" si="311"/>
        <v>0</v>
      </c>
      <c r="U1182" s="24">
        <f t="shared" si="308"/>
        <v>92.600000000000009</v>
      </c>
      <c r="V1182" s="24">
        <f t="shared" si="311"/>
        <v>0</v>
      </c>
      <c r="W1182" s="24">
        <f t="shared" si="305"/>
        <v>92.600000000000009</v>
      </c>
      <c r="X1182" s="24">
        <f t="shared" si="311"/>
        <v>8.8000000000000007</v>
      </c>
      <c r="Y1182" s="24">
        <f t="shared" si="279"/>
        <v>101.4</v>
      </c>
    </row>
    <row r="1183" spans="1:27" ht="24.75" x14ac:dyDescent="0.25">
      <c r="A1183" s="22" t="s">
        <v>218</v>
      </c>
      <c r="B1183" s="23" t="s">
        <v>285</v>
      </c>
      <c r="C1183" s="23" t="s">
        <v>219</v>
      </c>
      <c r="D1183" s="23" t="s">
        <v>2</v>
      </c>
      <c r="E1183" s="24">
        <f t="shared" si="311"/>
        <v>82.600000000000009</v>
      </c>
      <c r="F1183" s="24">
        <f t="shared" si="311"/>
        <v>0</v>
      </c>
      <c r="G1183" s="24">
        <f t="shared" si="298"/>
        <v>82.600000000000009</v>
      </c>
      <c r="H1183" s="24">
        <f t="shared" si="311"/>
        <v>0</v>
      </c>
      <c r="I1183" s="24">
        <f t="shared" si="299"/>
        <v>82.600000000000009</v>
      </c>
      <c r="J1183" s="24">
        <f t="shared" si="311"/>
        <v>0</v>
      </c>
      <c r="K1183" s="24">
        <f t="shared" si="300"/>
        <v>82.600000000000009</v>
      </c>
      <c r="L1183" s="24">
        <f t="shared" si="311"/>
        <v>0</v>
      </c>
      <c r="M1183" s="24">
        <f t="shared" si="301"/>
        <v>82.600000000000009</v>
      </c>
      <c r="N1183" s="24">
        <f t="shared" si="311"/>
        <v>10</v>
      </c>
      <c r="O1183" s="24">
        <f t="shared" si="302"/>
        <v>92.600000000000009</v>
      </c>
      <c r="P1183" s="24">
        <f t="shared" si="311"/>
        <v>0</v>
      </c>
      <c r="Q1183" s="24">
        <f t="shared" si="275"/>
        <v>92.600000000000009</v>
      </c>
      <c r="R1183" s="24">
        <f t="shared" si="311"/>
        <v>0</v>
      </c>
      <c r="S1183" s="24">
        <f t="shared" si="309"/>
        <v>92.600000000000009</v>
      </c>
      <c r="T1183" s="24">
        <f t="shared" si="311"/>
        <v>0</v>
      </c>
      <c r="U1183" s="24">
        <f t="shared" si="308"/>
        <v>92.600000000000009</v>
      </c>
      <c r="V1183" s="24">
        <f t="shared" si="311"/>
        <v>0</v>
      </c>
      <c r="W1183" s="24">
        <f t="shared" si="305"/>
        <v>92.600000000000009</v>
      </c>
      <c r="X1183" s="24">
        <f t="shared" si="311"/>
        <v>8.8000000000000007</v>
      </c>
      <c r="Y1183" s="24">
        <f t="shared" si="279"/>
        <v>101.4</v>
      </c>
    </row>
    <row r="1184" spans="1:27" s="6" customFormat="1" ht="36.75" x14ac:dyDescent="0.25">
      <c r="A1184" s="22" t="s">
        <v>286</v>
      </c>
      <c r="B1184" s="23" t="s">
        <v>285</v>
      </c>
      <c r="C1184" s="23" t="s">
        <v>287</v>
      </c>
      <c r="D1184" s="23" t="s">
        <v>2</v>
      </c>
      <c r="E1184" s="24">
        <f>E1185+E1186+E1187</f>
        <v>82.600000000000009</v>
      </c>
      <c r="F1184" s="24">
        <f>F1185+F1186+F1187</f>
        <v>0</v>
      </c>
      <c r="G1184" s="24">
        <f t="shared" si="298"/>
        <v>82.600000000000009</v>
      </c>
      <c r="H1184" s="24">
        <f>H1185+H1186+H1187</f>
        <v>0</v>
      </c>
      <c r="I1184" s="24">
        <f t="shared" si="299"/>
        <v>82.600000000000009</v>
      </c>
      <c r="J1184" s="24">
        <f>J1185+J1186+J1187</f>
        <v>0</v>
      </c>
      <c r="K1184" s="24">
        <f t="shared" si="300"/>
        <v>82.600000000000009</v>
      </c>
      <c r="L1184" s="24">
        <f>L1185+L1186+L1187</f>
        <v>0</v>
      </c>
      <c r="M1184" s="24">
        <f t="shared" si="301"/>
        <v>82.600000000000009</v>
      </c>
      <c r="N1184" s="24">
        <f>N1185+N1186+N1187</f>
        <v>10</v>
      </c>
      <c r="O1184" s="24">
        <f t="shared" si="302"/>
        <v>92.600000000000009</v>
      </c>
      <c r="P1184" s="24">
        <f>P1185+P1186+P1187</f>
        <v>0</v>
      </c>
      <c r="Q1184" s="24">
        <f t="shared" si="275"/>
        <v>92.600000000000009</v>
      </c>
      <c r="R1184" s="24">
        <f>R1185+R1186+R1187</f>
        <v>0</v>
      </c>
      <c r="S1184" s="24">
        <f t="shared" si="309"/>
        <v>92.600000000000009</v>
      </c>
      <c r="T1184" s="24">
        <f>T1185+T1186+T1187</f>
        <v>0</v>
      </c>
      <c r="U1184" s="24">
        <f t="shared" si="308"/>
        <v>92.600000000000009</v>
      </c>
      <c r="V1184" s="24">
        <f>V1185+V1186+V1187</f>
        <v>0</v>
      </c>
      <c r="W1184" s="24">
        <f t="shared" si="305"/>
        <v>92.600000000000009</v>
      </c>
      <c r="X1184" s="24">
        <f>X1185+X1186+X1187</f>
        <v>8.8000000000000007</v>
      </c>
      <c r="Y1184" s="24">
        <f t="shared" si="279"/>
        <v>101.4</v>
      </c>
      <c r="Z1184" s="189"/>
    </row>
    <row r="1185" spans="1:27" s="6" customFormat="1" x14ac:dyDescent="0.25">
      <c r="A1185" s="25" t="s">
        <v>560</v>
      </c>
      <c r="B1185" s="26" t="s">
        <v>285</v>
      </c>
      <c r="C1185" s="26" t="s">
        <v>287</v>
      </c>
      <c r="D1185" s="26" t="s">
        <v>12</v>
      </c>
      <c r="E1185" s="27">
        <v>59.4</v>
      </c>
      <c r="F1185" s="27"/>
      <c r="G1185" s="24">
        <f t="shared" si="298"/>
        <v>59.4</v>
      </c>
      <c r="H1185" s="27"/>
      <c r="I1185" s="24">
        <f t="shared" si="299"/>
        <v>59.4</v>
      </c>
      <c r="J1185" s="27"/>
      <c r="K1185" s="24">
        <f t="shared" si="300"/>
        <v>59.4</v>
      </c>
      <c r="L1185" s="27"/>
      <c r="M1185" s="24">
        <f t="shared" si="301"/>
        <v>59.4</v>
      </c>
      <c r="N1185" s="27"/>
      <c r="O1185" s="24">
        <f t="shared" si="302"/>
        <v>59.4</v>
      </c>
      <c r="P1185" s="27"/>
      <c r="Q1185" s="24">
        <f t="shared" si="275"/>
        <v>59.4</v>
      </c>
      <c r="R1185" s="27"/>
      <c r="S1185" s="24">
        <f t="shared" si="309"/>
        <v>59.4</v>
      </c>
      <c r="T1185" s="125">
        <v>7</v>
      </c>
      <c r="U1185" s="24">
        <f t="shared" si="308"/>
        <v>66.400000000000006</v>
      </c>
      <c r="V1185" s="69"/>
      <c r="W1185" s="24">
        <f t="shared" si="305"/>
        <v>66.400000000000006</v>
      </c>
      <c r="X1185" s="43">
        <v>6.7</v>
      </c>
      <c r="Y1185" s="24">
        <f t="shared" si="279"/>
        <v>73.100000000000009</v>
      </c>
      <c r="Z1185" s="189"/>
      <c r="AA1185" s="189">
        <f t="shared" ref="AA1185:AA1187" si="312">Y1185+Z1185</f>
        <v>73.100000000000009</v>
      </c>
    </row>
    <row r="1186" spans="1:27" s="6" customFormat="1" ht="36.75" x14ac:dyDescent="0.25">
      <c r="A1186" s="25" t="s">
        <v>561</v>
      </c>
      <c r="B1186" s="26" t="s">
        <v>285</v>
      </c>
      <c r="C1186" s="26" t="s">
        <v>287</v>
      </c>
      <c r="D1186" s="26" t="s">
        <v>13</v>
      </c>
      <c r="E1186" s="27">
        <v>18</v>
      </c>
      <c r="F1186" s="27"/>
      <c r="G1186" s="24">
        <f t="shared" si="298"/>
        <v>18</v>
      </c>
      <c r="H1186" s="27"/>
      <c r="I1186" s="24">
        <f t="shared" si="299"/>
        <v>18</v>
      </c>
      <c r="J1186" s="27"/>
      <c r="K1186" s="24">
        <f t="shared" si="300"/>
        <v>18</v>
      </c>
      <c r="L1186" s="27"/>
      <c r="M1186" s="24">
        <f t="shared" si="301"/>
        <v>18</v>
      </c>
      <c r="N1186" s="27"/>
      <c r="O1186" s="24">
        <f t="shared" si="302"/>
        <v>18</v>
      </c>
      <c r="P1186" s="27"/>
      <c r="Q1186" s="24">
        <f t="shared" si="275"/>
        <v>18</v>
      </c>
      <c r="R1186" s="27"/>
      <c r="S1186" s="24">
        <f t="shared" si="309"/>
        <v>18</v>
      </c>
      <c r="T1186" s="125">
        <v>3</v>
      </c>
      <c r="U1186" s="24">
        <f t="shared" si="308"/>
        <v>21</v>
      </c>
      <c r="V1186" s="69"/>
      <c r="W1186" s="24">
        <f t="shared" si="305"/>
        <v>21</v>
      </c>
      <c r="X1186" s="43">
        <v>2.1</v>
      </c>
      <c r="Y1186" s="24">
        <f t="shared" si="279"/>
        <v>23.1</v>
      </c>
      <c r="Z1186" s="189"/>
      <c r="AA1186" s="189">
        <f t="shared" si="312"/>
        <v>23.1</v>
      </c>
    </row>
    <row r="1187" spans="1:27" s="6" customFormat="1" x14ac:dyDescent="0.25">
      <c r="A1187" s="25" t="s">
        <v>66</v>
      </c>
      <c r="B1187" s="26" t="s">
        <v>285</v>
      </c>
      <c r="C1187" s="26" t="s">
        <v>287</v>
      </c>
      <c r="D1187" s="26" t="s">
        <v>42</v>
      </c>
      <c r="E1187" s="27">
        <v>5.2</v>
      </c>
      <c r="F1187" s="27"/>
      <c r="G1187" s="24">
        <f t="shared" si="298"/>
        <v>5.2</v>
      </c>
      <c r="H1187" s="27"/>
      <c r="I1187" s="24">
        <f t="shared" si="299"/>
        <v>5.2</v>
      </c>
      <c r="J1187" s="27"/>
      <c r="K1187" s="24">
        <f t="shared" si="300"/>
        <v>5.2</v>
      </c>
      <c r="L1187" s="27"/>
      <c r="M1187" s="24">
        <f t="shared" si="301"/>
        <v>5.2</v>
      </c>
      <c r="N1187" s="43">
        <v>10</v>
      </c>
      <c r="O1187" s="24">
        <f t="shared" si="302"/>
        <v>15.2</v>
      </c>
      <c r="P1187" s="69"/>
      <c r="Q1187" s="24">
        <f t="shared" si="275"/>
        <v>15.2</v>
      </c>
      <c r="R1187" s="69"/>
      <c r="S1187" s="24">
        <f t="shared" si="309"/>
        <v>15.2</v>
      </c>
      <c r="T1187" s="125">
        <v>-10</v>
      </c>
      <c r="U1187" s="24">
        <f t="shared" si="308"/>
        <v>5.1999999999999993</v>
      </c>
      <c r="V1187" s="69"/>
      <c r="W1187" s="24">
        <f t="shared" si="305"/>
        <v>5.1999999999999993</v>
      </c>
      <c r="X1187" s="69"/>
      <c r="Y1187" s="24">
        <f t="shared" si="279"/>
        <v>5.1999999999999993</v>
      </c>
      <c r="Z1187" s="189"/>
      <c r="AA1187" s="189">
        <f t="shared" si="312"/>
        <v>5.1999999999999993</v>
      </c>
    </row>
    <row r="1188" spans="1:27" s="6" customFormat="1" x14ac:dyDescent="0.25">
      <c r="A1188" s="40" t="s">
        <v>8</v>
      </c>
      <c r="B1188" s="20" t="s">
        <v>285</v>
      </c>
      <c r="C1188" s="41" t="s">
        <v>9</v>
      </c>
      <c r="D1188" s="41" t="s">
        <v>2</v>
      </c>
      <c r="E1188" s="27"/>
      <c r="F1188" s="27"/>
      <c r="G1188" s="24"/>
      <c r="H1188" s="27"/>
      <c r="I1188" s="24"/>
      <c r="J1188" s="18">
        <f>J1189</f>
        <v>929.5</v>
      </c>
      <c r="K1188" s="24">
        <f t="shared" si="300"/>
        <v>929.5</v>
      </c>
      <c r="L1188" s="18">
        <f>L1189</f>
        <v>468.3</v>
      </c>
      <c r="M1188" s="24">
        <f t="shared" si="301"/>
        <v>1397.8</v>
      </c>
      <c r="N1188" s="18">
        <f>N1189</f>
        <v>0</v>
      </c>
      <c r="O1188" s="24">
        <f t="shared" si="302"/>
        <v>1397.8</v>
      </c>
      <c r="P1188" s="18">
        <f>P1189</f>
        <v>0</v>
      </c>
      <c r="Q1188" s="24">
        <f t="shared" si="275"/>
        <v>1397.8</v>
      </c>
      <c r="R1188" s="18">
        <f>R1189</f>
        <v>375.2</v>
      </c>
      <c r="S1188" s="24">
        <f t="shared" si="309"/>
        <v>1773</v>
      </c>
      <c r="T1188" s="18">
        <f>T1189</f>
        <v>0</v>
      </c>
      <c r="U1188" s="24">
        <f t="shared" si="308"/>
        <v>1773</v>
      </c>
      <c r="V1188" s="18">
        <f>V1189</f>
        <v>865.9</v>
      </c>
      <c r="W1188" s="24">
        <f t="shared" si="305"/>
        <v>2638.9</v>
      </c>
      <c r="X1188" s="18">
        <f>X1189</f>
        <v>0</v>
      </c>
      <c r="Y1188" s="24">
        <f t="shared" si="279"/>
        <v>2638.9</v>
      </c>
      <c r="Z1188" s="189"/>
    </row>
    <row r="1189" spans="1:27" ht="24.75" x14ac:dyDescent="0.25">
      <c r="A1189" s="40" t="s">
        <v>677</v>
      </c>
      <c r="B1189" s="20" t="s">
        <v>285</v>
      </c>
      <c r="C1189" s="41" t="s">
        <v>679</v>
      </c>
      <c r="D1189" s="41" t="s">
        <v>2</v>
      </c>
      <c r="E1189" s="27"/>
      <c r="F1189" s="27"/>
      <c r="G1189" s="24"/>
      <c r="H1189" s="27"/>
      <c r="I1189" s="24"/>
      <c r="J1189" s="18">
        <f>J1190</f>
        <v>929.5</v>
      </c>
      <c r="K1189" s="24">
        <f t="shared" si="300"/>
        <v>929.5</v>
      </c>
      <c r="L1189" s="18">
        <f>L1190</f>
        <v>468.3</v>
      </c>
      <c r="M1189" s="24">
        <f t="shared" si="301"/>
        <v>1397.8</v>
      </c>
      <c r="N1189" s="18">
        <f>N1190</f>
        <v>0</v>
      </c>
      <c r="O1189" s="24">
        <f t="shared" si="302"/>
        <v>1397.8</v>
      </c>
      <c r="P1189" s="18">
        <f>P1190</f>
        <v>0</v>
      </c>
      <c r="Q1189" s="24">
        <f t="shared" si="275"/>
        <v>1397.8</v>
      </c>
      <c r="R1189" s="18">
        <f>R1190</f>
        <v>375.2</v>
      </c>
      <c r="S1189" s="24">
        <f t="shared" si="309"/>
        <v>1773</v>
      </c>
      <c r="T1189" s="18">
        <f>T1190</f>
        <v>0</v>
      </c>
      <c r="U1189" s="24">
        <f t="shared" si="308"/>
        <v>1773</v>
      </c>
      <c r="V1189" s="18">
        <f>V1190</f>
        <v>865.9</v>
      </c>
      <c r="W1189" s="24">
        <f t="shared" si="305"/>
        <v>2638.9</v>
      </c>
      <c r="X1189" s="18">
        <f>X1190</f>
        <v>0</v>
      </c>
      <c r="Y1189" s="24">
        <f t="shared" si="279"/>
        <v>2638.9</v>
      </c>
    </row>
    <row r="1190" spans="1:27" ht="30" customHeight="1" x14ac:dyDescent="0.25">
      <c r="A1190" s="30" t="s">
        <v>678</v>
      </c>
      <c r="B1190" s="21" t="s">
        <v>285</v>
      </c>
      <c r="C1190" s="42" t="s">
        <v>679</v>
      </c>
      <c r="D1190" s="42" t="s">
        <v>680</v>
      </c>
      <c r="E1190" s="27"/>
      <c r="F1190" s="27"/>
      <c r="G1190" s="24"/>
      <c r="H1190" s="27"/>
      <c r="I1190" s="24"/>
      <c r="J1190" s="63">
        <f>813.3+116.2</f>
        <v>929.5</v>
      </c>
      <c r="K1190" s="24">
        <f t="shared" si="300"/>
        <v>929.5</v>
      </c>
      <c r="L1190" s="107">
        <v>468.3</v>
      </c>
      <c r="M1190" s="24">
        <f t="shared" si="301"/>
        <v>1397.8</v>
      </c>
      <c r="N1190" s="69"/>
      <c r="O1190" s="24">
        <f t="shared" si="302"/>
        <v>1397.8</v>
      </c>
      <c r="P1190" s="69"/>
      <c r="Q1190" s="24">
        <f t="shared" si="275"/>
        <v>1397.8</v>
      </c>
      <c r="R1190" s="39">
        <v>375.2</v>
      </c>
      <c r="S1190" s="24">
        <f t="shared" si="309"/>
        <v>1773</v>
      </c>
      <c r="T1190" s="69"/>
      <c r="U1190" s="24">
        <f t="shared" si="308"/>
        <v>1773</v>
      </c>
      <c r="V1190" s="94">
        <v>865.9</v>
      </c>
      <c r="W1190" s="24">
        <f t="shared" si="305"/>
        <v>2638.9</v>
      </c>
      <c r="X1190" s="69"/>
      <c r="Y1190" s="24">
        <f t="shared" si="279"/>
        <v>2638.9</v>
      </c>
      <c r="AA1190" s="189">
        <f>Y1190+Z1190</f>
        <v>2638.9</v>
      </c>
    </row>
    <row r="1191" spans="1:27" x14ac:dyDescent="0.25">
      <c r="A1191" s="34" t="s">
        <v>288</v>
      </c>
      <c r="B1191" s="35" t="s">
        <v>289</v>
      </c>
      <c r="C1191" s="35" t="s">
        <v>2</v>
      </c>
      <c r="D1191" s="35" t="s">
        <v>2</v>
      </c>
      <c r="E1191" s="36">
        <f t="shared" ref="E1191:X1194" si="313">E1192</f>
        <v>6403.2</v>
      </c>
      <c r="F1191" s="36">
        <f t="shared" si="313"/>
        <v>0</v>
      </c>
      <c r="G1191" s="36">
        <f t="shared" si="298"/>
        <v>6403.2</v>
      </c>
      <c r="H1191" s="36">
        <f t="shared" si="313"/>
        <v>0</v>
      </c>
      <c r="I1191" s="36">
        <f t="shared" si="299"/>
        <v>6403.2</v>
      </c>
      <c r="J1191" s="36">
        <f t="shared" si="313"/>
        <v>-1</v>
      </c>
      <c r="K1191" s="36">
        <f t="shared" si="300"/>
        <v>6402.2</v>
      </c>
      <c r="L1191" s="36">
        <f t="shared" si="313"/>
        <v>-562.1</v>
      </c>
      <c r="M1191" s="36">
        <f t="shared" si="301"/>
        <v>5840.0999999999995</v>
      </c>
      <c r="N1191" s="36">
        <f t="shared" si="313"/>
        <v>0</v>
      </c>
      <c r="O1191" s="36">
        <f t="shared" si="302"/>
        <v>5840.0999999999995</v>
      </c>
      <c r="P1191" s="36">
        <f t="shared" si="313"/>
        <v>0</v>
      </c>
      <c r="Q1191" s="36">
        <f t="shared" si="275"/>
        <v>5840.0999999999995</v>
      </c>
      <c r="R1191" s="36">
        <f t="shared" si="313"/>
        <v>0</v>
      </c>
      <c r="S1191" s="36">
        <f t="shared" si="309"/>
        <v>5840.0999999999995</v>
      </c>
      <c r="T1191" s="36">
        <f t="shared" si="313"/>
        <v>-1350</v>
      </c>
      <c r="U1191" s="36">
        <f t="shared" si="308"/>
        <v>4490.0999999999995</v>
      </c>
      <c r="V1191" s="36">
        <f t="shared" si="313"/>
        <v>0</v>
      </c>
      <c r="W1191" s="36">
        <f t="shared" si="305"/>
        <v>4490.0999999999995</v>
      </c>
      <c r="X1191" s="36">
        <f t="shared" si="313"/>
        <v>0</v>
      </c>
      <c r="Y1191" s="36">
        <f t="shared" si="279"/>
        <v>4490.0999999999995</v>
      </c>
    </row>
    <row r="1192" spans="1:27" x14ac:dyDescent="0.25">
      <c r="A1192" s="22" t="s">
        <v>290</v>
      </c>
      <c r="B1192" s="23" t="s">
        <v>291</v>
      </c>
      <c r="C1192" s="23" t="s">
        <v>2</v>
      </c>
      <c r="D1192" s="23" t="s">
        <v>2</v>
      </c>
      <c r="E1192" s="24">
        <f t="shared" si="313"/>
        <v>6403.2</v>
      </c>
      <c r="F1192" s="24">
        <f t="shared" si="313"/>
        <v>0</v>
      </c>
      <c r="G1192" s="24">
        <f t="shared" si="298"/>
        <v>6403.2</v>
      </c>
      <c r="H1192" s="24">
        <f t="shared" si="313"/>
        <v>0</v>
      </c>
      <c r="I1192" s="24">
        <f t="shared" si="299"/>
        <v>6403.2</v>
      </c>
      <c r="J1192" s="24">
        <f t="shared" si="313"/>
        <v>-1</v>
      </c>
      <c r="K1192" s="24">
        <f t="shared" si="300"/>
        <v>6402.2</v>
      </c>
      <c r="L1192" s="24">
        <f t="shared" si="313"/>
        <v>-562.1</v>
      </c>
      <c r="M1192" s="24">
        <f t="shared" si="301"/>
        <v>5840.0999999999995</v>
      </c>
      <c r="N1192" s="24">
        <f t="shared" si="313"/>
        <v>0</v>
      </c>
      <c r="O1192" s="24">
        <f t="shared" si="302"/>
        <v>5840.0999999999995</v>
      </c>
      <c r="P1192" s="24">
        <f t="shared" si="313"/>
        <v>0</v>
      </c>
      <c r="Q1192" s="24">
        <f t="shared" si="275"/>
        <v>5840.0999999999995</v>
      </c>
      <c r="R1192" s="24">
        <f t="shared" si="313"/>
        <v>0</v>
      </c>
      <c r="S1192" s="24">
        <f t="shared" si="309"/>
        <v>5840.0999999999995</v>
      </c>
      <c r="T1192" s="24">
        <f t="shared" si="313"/>
        <v>-1350</v>
      </c>
      <c r="U1192" s="24">
        <f t="shared" si="308"/>
        <v>4490.0999999999995</v>
      </c>
      <c r="V1192" s="24">
        <f t="shared" si="313"/>
        <v>0</v>
      </c>
      <c r="W1192" s="24">
        <f t="shared" si="305"/>
        <v>4490.0999999999995</v>
      </c>
      <c r="X1192" s="24">
        <f t="shared" si="313"/>
        <v>0</v>
      </c>
      <c r="Y1192" s="24">
        <f t="shared" si="279"/>
        <v>4490.0999999999995</v>
      </c>
    </row>
    <row r="1193" spans="1:27" ht="24.75" x14ac:dyDescent="0.25">
      <c r="A1193" s="22" t="s">
        <v>591</v>
      </c>
      <c r="B1193" s="23" t="s">
        <v>291</v>
      </c>
      <c r="C1193" s="23" t="s">
        <v>138</v>
      </c>
      <c r="D1193" s="23" t="s">
        <v>2</v>
      </c>
      <c r="E1193" s="24">
        <f t="shared" si="313"/>
        <v>6403.2</v>
      </c>
      <c r="F1193" s="24">
        <f t="shared" si="313"/>
        <v>0</v>
      </c>
      <c r="G1193" s="24">
        <f t="shared" si="298"/>
        <v>6403.2</v>
      </c>
      <c r="H1193" s="24">
        <f t="shared" si="313"/>
        <v>0</v>
      </c>
      <c r="I1193" s="24">
        <f t="shared" si="299"/>
        <v>6403.2</v>
      </c>
      <c r="J1193" s="24">
        <f t="shared" si="313"/>
        <v>-1</v>
      </c>
      <c r="K1193" s="24">
        <f t="shared" si="300"/>
        <v>6402.2</v>
      </c>
      <c r="L1193" s="24">
        <f t="shared" si="313"/>
        <v>-562.1</v>
      </c>
      <c r="M1193" s="24">
        <f t="shared" si="301"/>
        <v>5840.0999999999995</v>
      </c>
      <c r="N1193" s="24">
        <f t="shared" si="313"/>
        <v>0</v>
      </c>
      <c r="O1193" s="24">
        <f t="shared" si="302"/>
        <v>5840.0999999999995</v>
      </c>
      <c r="P1193" s="24">
        <f t="shared" si="313"/>
        <v>0</v>
      </c>
      <c r="Q1193" s="24">
        <f t="shared" si="275"/>
        <v>5840.0999999999995</v>
      </c>
      <c r="R1193" s="24">
        <f t="shared" si="313"/>
        <v>0</v>
      </c>
      <c r="S1193" s="24">
        <f t="shared" si="309"/>
        <v>5840.0999999999995</v>
      </c>
      <c r="T1193" s="24">
        <f t="shared" si="313"/>
        <v>-1350</v>
      </c>
      <c r="U1193" s="24">
        <f t="shared" si="308"/>
        <v>4490.0999999999995</v>
      </c>
      <c r="V1193" s="24">
        <f t="shared" si="313"/>
        <v>0</v>
      </c>
      <c r="W1193" s="24">
        <f t="shared" si="305"/>
        <v>4490.0999999999995</v>
      </c>
      <c r="X1193" s="24">
        <f t="shared" si="313"/>
        <v>0</v>
      </c>
      <c r="Y1193" s="24">
        <f t="shared" si="279"/>
        <v>4490.0999999999995</v>
      </c>
    </row>
    <row r="1194" spans="1:27" ht="24.75" x14ac:dyDescent="0.25">
      <c r="A1194" s="22" t="s">
        <v>592</v>
      </c>
      <c r="B1194" s="23" t="s">
        <v>291</v>
      </c>
      <c r="C1194" s="23" t="s">
        <v>139</v>
      </c>
      <c r="D1194" s="23" t="s">
        <v>2</v>
      </c>
      <c r="E1194" s="24">
        <f t="shared" si="313"/>
        <v>6403.2</v>
      </c>
      <c r="F1194" s="24">
        <f t="shared" si="313"/>
        <v>0</v>
      </c>
      <c r="G1194" s="24">
        <f t="shared" si="298"/>
        <v>6403.2</v>
      </c>
      <c r="H1194" s="24">
        <f t="shared" si="313"/>
        <v>0</v>
      </c>
      <c r="I1194" s="24">
        <f t="shared" si="299"/>
        <v>6403.2</v>
      </c>
      <c r="J1194" s="24">
        <f t="shared" si="313"/>
        <v>-1</v>
      </c>
      <c r="K1194" s="24">
        <f t="shared" si="300"/>
        <v>6402.2</v>
      </c>
      <c r="L1194" s="24">
        <f t="shared" si="313"/>
        <v>-562.1</v>
      </c>
      <c r="M1194" s="24">
        <f t="shared" si="301"/>
        <v>5840.0999999999995</v>
      </c>
      <c r="N1194" s="24">
        <f t="shared" si="313"/>
        <v>0</v>
      </c>
      <c r="O1194" s="24">
        <f t="shared" si="302"/>
        <v>5840.0999999999995</v>
      </c>
      <c r="P1194" s="24">
        <f t="shared" si="313"/>
        <v>0</v>
      </c>
      <c r="Q1194" s="24">
        <f t="shared" si="275"/>
        <v>5840.0999999999995</v>
      </c>
      <c r="R1194" s="24">
        <f t="shared" si="313"/>
        <v>0</v>
      </c>
      <c r="S1194" s="24">
        <f t="shared" si="309"/>
        <v>5840.0999999999995</v>
      </c>
      <c r="T1194" s="24">
        <f t="shared" si="313"/>
        <v>-1350</v>
      </c>
      <c r="U1194" s="24">
        <f t="shared" si="308"/>
        <v>4490.0999999999995</v>
      </c>
      <c r="V1194" s="24">
        <f t="shared" si="313"/>
        <v>0</v>
      </c>
      <c r="W1194" s="24">
        <f t="shared" si="305"/>
        <v>4490.0999999999995</v>
      </c>
      <c r="X1194" s="24">
        <f t="shared" si="313"/>
        <v>0</v>
      </c>
      <c r="Y1194" s="24">
        <f t="shared" si="279"/>
        <v>4490.0999999999995</v>
      </c>
    </row>
    <row r="1195" spans="1:27" s="6" customFormat="1" x14ac:dyDescent="0.25">
      <c r="A1195" s="22" t="s">
        <v>279</v>
      </c>
      <c r="B1195" s="23" t="s">
        <v>291</v>
      </c>
      <c r="C1195" s="23" t="s">
        <v>280</v>
      </c>
      <c r="D1195" s="23" t="s">
        <v>2</v>
      </c>
      <c r="E1195" s="24">
        <f>E1196+E1198</f>
        <v>6403.2</v>
      </c>
      <c r="F1195" s="24">
        <f>F1196+F1198</f>
        <v>0</v>
      </c>
      <c r="G1195" s="24">
        <f t="shared" si="298"/>
        <v>6403.2</v>
      </c>
      <c r="H1195" s="24">
        <f>H1196+H1198</f>
        <v>0</v>
      </c>
      <c r="I1195" s="24">
        <f t="shared" si="299"/>
        <v>6403.2</v>
      </c>
      <c r="J1195" s="24">
        <f>J1196+J1198</f>
        <v>-1</v>
      </c>
      <c r="K1195" s="24">
        <f t="shared" si="300"/>
        <v>6402.2</v>
      </c>
      <c r="L1195" s="24">
        <f>L1196+L1198</f>
        <v>-562.1</v>
      </c>
      <c r="M1195" s="24">
        <f t="shared" si="301"/>
        <v>5840.0999999999995</v>
      </c>
      <c r="N1195" s="24">
        <f>N1196+N1198</f>
        <v>0</v>
      </c>
      <c r="O1195" s="24">
        <f t="shared" si="302"/>
        <v>5840.0999999999995</v>
      </c>
      <c r="P1195" s="24">
        <f>P1196+P1198</f>
        <v>0</v>
      </c>
      <c r="Q1195" s="24">
        <f t="shared" si="275"/>
        <v>5840.0999999999995</v>
      </c>
      <c r="R1195" s="24">
        <f>R1196+R1198</f>
        <v>0</v>
      </c>
      <c r="S1195" s="24">
        <f t="shared" si="309"/>
        <v>5840.0999999999995</v>
      </c>
      <c r="T1195" s="24">
        <f>T1196+T1198</f>
        <v>-1350</v>
      </c>
      <c r="U1195" s="24">
        <f t="shared" si="308"/>
        <v>4490.0999999999995</v>
      </c>
      <c r="V1195" s="24">
        <f>V1196+V1198</f>
        <v>0</v>
      </c>
      <c r="W1195" s="24">
        <f t="shared" si="305"/>
        <v>4490.0999999999995</v>
      </c>
      <c r="X1195" s="24">
        <f>X1196+X1198</f>
        <v>0</v>
      </c>
      <c r="Y1195" s="24">
        <f t="shared" si="279"/>
        <v>4490.0999999999995</v>
      </c>
      <c r="Z1195" s="189"/>
    </row>
    <row r="1196" spans="1:27" s="6" customFormat="1" x14ac:dyDescent="0.25">
      <c r="A1196" s="22" t="s">
        <v>292</v>
      </c>
      <c r="B1196" s="23" t="s">
        <v>291</v>
      </c>
      <c r="C1196" s="23" t="s">
        <v>293</v>
      </c>
      <c r="D1196" s="23" t="s">
        <v>2</v>
      </c>
      <c r="E1196" s="24">
        <f>E1197</f>
        <v>6310</v>
      </c>
      <c r="F1196" s="24">
        <f>F1197</f>
        <v>0</v>
      </c>
      <c r="G1196" s="24">
        <f t="shared" si="298"/>
        <v>6310</v>
      </c>
      <c r="H1196" s="24">
        <f>H1197</f>
        <v>0</v>
      </c>
      <c r="I1196" s="24">
        <f t="shared" si="299"/>
        <v>6310</v>
      </c>
      <c r="J1196" s="24">
        <f>J1197</f>
        <v>0</v>
      </c>
      <c r="K1196" s="24">
        <f t="shared" si="300"/>
        <v>6310</v>
      </c>
      <c r="L1196" s="24">
        <f>L1197</f>
        <v>-562.1</v>
      </c>
      <c r="M1196" s="24">
        <f t="shared" si="301"/>
        <v>5747.9</v>
      </c>
      <c r="N1196" s="24">
        <f>N1197</f>
        <v>0</v>
      </c>
      <c r="O1196" s="24">
        <f t="shared" si="302"/>
        <v>5747.9</v>
      </c>
      <c r="P1196" s="24">
        <f>P1197</f>
        <v>0</v>
      </c>
      <c r="Q1196" s="24">
        <f t="shared" si="275"/>
        <v>5747.9</v>
      </c>
      <c r="R1196" s="24">
        <f>R1197</f>
        <v>0</v>
      </c>
      <c r="S1196" s="24">
        <f t="shared" si="309"/>
        <v>5747.9</v>
      </c>
      <c r="T1196" s="24">
        <f>T1197</f>
        <v>-1350</v>
      </c>
      <c r="U1196" s="24">
        <f t="shared" si="308"/>
        <v>4397.8999999999996</v>
      </c>
      <c r="V1196" s="24">
        <f>V1197</f>
        <v>0</v>
      </c>
      <c r="W1196" s="24">
        <f t="shared" si="305"/>
        <v>4397.8999999999996</v>
      </c>
      <c r="X1196" s="24">
        <f>X1197</f>
        <v>0</v>
      </c>
      <c r="Y1196" s="24">
        <f t="shared" si="279"/>
        <v>4397.8999999999996</v>
      </c>
      <c r="Z1196" s="189"/>
    </row>
    <row r="1197" spans="1:27" s="6" customFormat="1" x14ac:dyDescent="0.25">
      <c r="A1197" s="25" t="s">
        <v>66</v>
      </c>
      <c r="B1197" s="26" t="s">
        <v>291</v>
      </c>
      <c r="C1197" s="26" t="s">
        <v>293</v>
      </c>
      <c r="D1197" s="26" t="s">
        <v>42</v>
      </c>
      <c r="E1197" s="27">
        <v>6310</v>
      </c>
      <c r="F1197" s="27"/>
      <c r="G1197" s="24">
        <f t="shared" si="298"/>
        <v>6310</v>
      </c>
      <c r="H1197" s="27"/>
      <c r="I1197" s="24">
        <f t="shared" si="299"/>
        <v>6310</v>
      </c>
      <c r="J1197" s="27"/>
      <c r="K1197" s="24">
        <f t="shared" si="300"/>
        <v>6310</v>
      </c>
      <c r="L1197" s="107">
        <v>-562.1</v>
      </c>
      <c r="M1197" s="24">
        <f t="shared" si="301"/>
        <v>5747.9</v>
      </c>
      <c r="N1197" s="69"/>
      <c r="O1197" s="24">
        <f t="shared" si="302"/>
        <v>5747.9</v>
      </c>
      <c r="P1197" s="69"/>
      <c r="Q1197" s="24">
        <f t="shared" si="275"/>
        <v>5747.9</v>
      </c>
      <c r="R1197" s="69"/>
      <c r="S1197" s="24">
        <f t="shared" si="309"/>
        <v>5747.9</v>
      </c>
      <c r="T1197" s="39">
        <f>-1000-350</f>
        <v>-1350</v>
      </c>
      <c r="U1197" s="24">
        <f t="shared" si="308"/>
        <v>4397.8999999999996</v>
      </c>
      <c r="V1197" s="69"/>
      <c r="W1197" s="24">
        <f t="shared" si="305"/>
        <v>4397.8999999999996</v>
      </c>
      <c r="X1197" s="69"/>
      <c r="Y1197" s="24">
        <f t="shared" si="279"/>
        <v>4397.8999999999996</v>
      </c>
      <c r="Z1197" s="189"/>
      <c r="AA1197" s="189">
        <f>Y1197+Z1197</f>
        <v>4397.8999999999996</v>
      </c>
    </row>
    <row r="1198" spans="1:27" s="6" customFormat="1" ht="24.75" x14ac:dyDescent="0.25">
      <c r="A1198" s="22" t="s">
        <v>294</v>
      </c>
      <c r="B1198" s="23" t="s">
        <v>291</v>
      </c>
      <c r="C1198" s="23" t="s">
        <v>295</v>
      </c>
      <c r="D1198" s="23" t="s">
        <v>2</v>
      </c>
      <c r="E1198" s="24">
        <f>E1199</f>
        <v>93.2</v>
      </c>
      <c r="F1198" s="24">
        <f>F1199</f>
        <v>0</v>
      </c>
      <c r="G1198" s="24">
        <f t="shared" si="298"/>
        <v>93.2</v>
      </c>
      <c r="H1198" s="24">
        <f>H1199</f>
        <v>0</v>
      </c>
      <c r="I1198" s="24">
        <f t="shared" si="299"/>
        <v>93.2</v>
      </c>
      <c r="J1198" s="24">
        <f>J1199</f>
        <v>-1</v>
      </c>
      <c r="K1198" s="24">
        <f t="shared" si="300"/>
        <v>92.2</v>
      </c>
      <c r="L1198" s="24">
        <f>L1199</f>
        <v>0</v>
      </c>
      <c r="M1198" s="24">
        <f t="shared" si="301"/>
        <v>92.2</v>
      </c>
      <c r="N1198" s="24">
        <f>N1199</f>
        <v>0</v>
      </c>
      <c r="O1198" s="24">
        <f t="shared" si="302"/>
        <v>92.2</v>
      </c>
      <c r="P1198" s="24">
        <f>P1199</f>
        <v>0</v>
      </c>
      <c r="Q1198" s="24">
        <f t="shared" si="275"/>
        <v>92.2</v>
      </c>
      <c r="R1198" s="24">
        <f>R1199</f>
        <v>0</v>
      </c>
      <c r="S1198" s="24">
        <f t="shared" si="309"/>
        <v>92.2</v>
      </c>
      <c r="T1198" s="24">
        <f>T1199</f>
        <v>0</v>
      </c>
      <c r="U1198" s="24">
        <f t="shared" si="308"/>
        <v>92.2</v>
      </c>
      <c r="V1198" s="24">
        <f>V1199</f>
        <v>0</v>
      </c>
      <c r="W1198" s="24">
        <f t="shared" si="305"/>
        <v>92.2</v>
      </c>
      <c r="X1198" s="24">
        <f>X1199</f>
        <v>0</v>
      </c>
      <c r="Y1198" s="24">
        <f t="shared" si="279"/>
        <v>92.2</v>
      </c>
      <c r="Z1198" s="189"/>
    </row>
    <row r="1199" spans="1:27" s="6" customFormat="1" x14ac:dyDescent="0.25">
      <c r="A1199" s="25" t="s">
        <v>66</v>
      </c>
      <c r="B1199" s="26" t="s">
        <v>291</v>
      </c>
      <c r="C1199" s="26" t="s">
        <v>295</v>
      </c>
      <c r="D1199" s="26" t="s">
        <v>42</v>
      </c>
      <c r="E1199" s="27">
        <v>93.2</v>
      </c>
      <c r="F1199" s="27"/>
      <c r="G1199" s="24">
        <f t="shared" si="298"/>
        <v>93.2</v>
      </c>
      <c r="H1199" s="27"/>
      <c r="I1199" s="24">
        <f t="shared" si="299"/>
        <v>93.2</v>
      </c>
      <c r="J1199" s="63">
        <v>-1</v>
      </c>
      <c r="K1199" s="24">
        <f t="shared" si="300"/>
        <v>92.2</v>
      </c>
      <c r="L1199" s="69"/>
      <c r="M1199" s="24">
        <f t="shared" si="301"/>
        <v>92.2</v>
      </c>
      <c r="N1199" s="69"/>
      <c r="O1199" s="24">
        <f t="shared" si="302"/>
        <v>92.2</v>
      </c>
      <c r="P1199" s="69"/>
      <c r="Q1199" s="24">
        <f t="shared" si="275"/>
        <v>92.2</v>
      </c>
      <c r="R1199" s="69"/>
      <c r="S1199" s="24">
        <f t="shared" si="309"/>
        <v>92.2</v>
      </c>
      <c r="T1199" s="69"/>
      <c r="U1199" s="24">
        <f t="shared" si="308"/>
        <v>92.2</v>
      </c>
      <c r="V1199" s="69"/>
      <c r="W1199" s="24">
        <f t="shared" si="305"/>
        <v>92.2</v>
      </c>
      <c r="X1199" s="69"/>
      <c r="Y1199" s="24">
        <f t="shared" si="279"/>
        <v>92.2</v>
      </c>
      <c r="Z1199" s="189"/>
      <c r="AA1199" s="189">
        <f>Y1199+Z1199</f>
        <v>92.2</v>
      </c>
    </row>
    <row r="1200" spans="1:27" s="6" customFormat="1" x14ac:dyDescent="0.25">
      <c r="A1200" s="34" t="s">
        <v>296</v>
      </c>
      <c r="B1200" s="35" t="s">
        <v>297</v>
      </c>
      <c r="C1200" s="35" t="s">
        <v>2</v>
      </c>
      <c r="D1200" s="35" t="s">
        <v>2</v>
      </c>
      <c r="E1200" s="36">
        <f>E1201+E1267+E1403+E1437+E1449+E1466</f>
        <v>1591015.9000000001</v>
      </c>
      <c r="F1200" s="36">
        <f>F1201+F1267+F1403+F1437+F1449+F1466</f>
        <v>536033.60000000009</v>
      </c>
      <c r="G1200" s="36">
        <f t="shared" si="298"/>
        <v>2127049.5</v>
      </c>
      <c r="H1200" s="36">
        <f>H1201+H1267+H1403+H1437+H1449+H1466</f>
        <v>-1117.1999999999971</v>
      </c>
      <c r="I1200" s="36">
        <f t="shared" si="299"/>
        <v>2125932.2999999998</v>
      </c>
      <c r="J1200" s="36">
        <f>J1201+J1267+J1403+J1437+J1449+J1466</f>
        <v>133630.5</v>
      </c>
      <c r="K1200" s="36">
        <f t="shared" si="300"/>
        <v>2259562.7999999998</v>
      </c>
      <c r="L1200" s="36">
        <f>L1201+L1267+L1403+L1437+L1449+L1466</f>
        <v>88762.5</v>
      </c>
      <c r="M1200" s="36">
        <f t="shared" si="301"/>
        <v>2348325.2999999998</v>
      </c>
      <c r="N1200" s="36">
        <f>N1201+N1267+N1403+N1437+N1449+N1466</f>
        <v>40384.100000000006</v>
      </c>
      <c r="O1200" s="36">
        <f t="shared" si="302"/>
        <v>2388709.4</v>
      </c>
      <c r="P1200" s="36">
        <f>P1201+P1267+P1403+P1437+P1449+P1466</f>
        <v>9119.5</v>
      </c>
      <c r="Q1200" s="36">
        <f t="shared" si="275"/>
        <v>2397828.9</v>
      </c>
      <c r="R1200" s="36">
        <f>R1201+R1267+R1403+R1437+R1449+R1466</f>
        <v>10930.7</v>
      </c>
      <c r="S1200" s="36">
        <f t="shared" si="309"/>
        <v>2408759.6</v>
      </c>
      <c r="T1200" s="36">
        <f>T1201+T1267+T1403+T1437+T1449+T1466</f>
        <v>28096.799999999996</v>
      </c>
      <c r="U1200" s="36">
        <f t="shared" si="308"/>
        <v>2436856.4</v>
      </c>
      <c r="V1200" s="36">
        <f>V1201+V1267+V1403+V1437+V1449+V1466</f>
        <v>-13629.3</v>
      </c>
      <c r="W1200" s="36">
        <f t="shared" si="305"/>
        <v>2423227.1</v>
      </c>
      <c r="X1200" s="36">
        <f>X1201+X1267+X1403+X1437+X1449+X1466</f>
        <v>77616.5</v>
      </c>
      <c r="Y1200" s="36">
        <f t="shared" si="279"/>
        <v>2500843.6</v>
      </c>
      <c r="Z1200" s="189"/>
    </row>
    <row r="1201" spans="1:27" x14ac:dyDescent="0.25">
      <c r="A1201" s="22" t="s">
        <v>298</v>
      </c>
      <c r="B1201" s="23" t="s">
        <v>299</v>
      </c>
      <c r="C1201" s="23" t="s">
        <v>2</v>
      </c>
      <c r="D1201" s="23" t="s">
        <v>2</v>
      </c>
      <c r="E1201" s="24">
        <f>E1202</f>
        <v>456332.2</v>
      </c>
      <c r="F1201" s="24">
        <f>F1202</f>
        <v>104177.5</v>
      </c>
      <c r="G1201" s="24">
        <f t="shared" si="298"/>
        <v>560509.69999999995</v>
      </c>
      <c r="H1201" s="24">
        <f>H1202+H1251</f>
        <v>-38928.300000000003</v>
      </c>
      <c r="I1201" s="24">
        <f t="shared" si="299"/>
        <v>521581.39999999997</v>
      </c>
      <c r="J1201" s="24">
        <f>J1202+J1251</f>
        <v>84684.7</v>
      </c>
      <c r="K1201" s="24">
        <f t="shared" si="300"/>
        <v>606266.1</v>
      </c>
      <c r="L1201" s="24">
        <f>L1202+L1251+L1264</f>
        <v>50351.6</v>
      </c>
      <c r="M1201" s="24">
        <f t="shared" si="301"/>
        <v>656617.69999999995</v>
      </c>
      <c r="N1201" s="24">
        <f>N1202+N1251+N1264</f>
        <v>52896.2</v>
      </c>
      <c r="O1201" s="24">
        <f t="shared" si="302"/>
        <v>709513.89999999991</v>
      </c>
      <c r="P1201" s="24">
        <f>P1202+P1251+P1264</f>
        <v>-815.80000000000018</v>
      </c>
      <c r="Q1201" s="24">
        <f t="shared" si="275"/>
        <v>708698.09999999986</v>
      </c>
      <c r="R1201" s="24">
        <f>R1202+R1251+R1264</f>
        <v>8010.2</v>
      </c>
      <c r="S1201" s="24">
        <f t="shared" si="309"/>
        <v>716708.29999999981</v>
      </c>
      <c r="T1201" s="24">
        <f>T1202+T1251+T1264</f>
        <v>521.79999999999995</v>
      </c>
      <c r="U1201" s="24">
        <f t="shared" si="308"/>
        <v>717230.09999999986</v>
      </c>
      <c r="V1201" s="24">
        <f>V1202+V1251+V1264</f>
        <v>-11524.3</v>
      </c>
      <c r="W1201" s="24">
        <f t="shared" si="305"/>
        <v>705705.79999999981</v>
      </c>
      <c r="X1201" s="24">
        <f>X1202+X1251+X1264</f>
        <v>21219.599999999999</v>
      </c>
      <c r="Y1201" s="24">
        <f t="shared" si="279"/>
        <v>726925.39999999979</v>
      </c>
    </row>
    <row r="1202" spans="1:27" s="6" customFormat="1" x14ac:dyDescent="0.25">
      <c r="A1202" s="22" t="s">
        <v>75</v>
      </c>
      <c r="B1202" s="23" t="s">
        <v>299</v>
      </c>
      <c r="C1202" s="23" t="s">
        <v>76</v>
      </c>
      <c r="D1202" s="23" t="s">
        <v>2</v>
      </c>
      <c r="E1202" s="24">
        <f>E1203+E1213+E1217</f>
        <v>456332.2</v>
      </c>
      <c r="F1202" s="24">
        <f>F1203+F1213+F1217</f>
        <v>104177.5</v>
      </c>
      <c r="G1202" s="24">
        <f t="shared" si="298"/>
        <v>560509.69999999995</v>
      </c>
      <c r="H1202" s="24">
        <f>H1203+H1213+H1217</f>
        <v>-39000</v>
      </c>
      <c r="I1202" s="24">
        <f t="shared" si="299"/>
        <v>521509.69999999995</v>
      </c>
      <c r="J1202" s="24">
        <f>J1203+J1213+J1217</f>
        <v>84684.7</v>
      </c>
      <c r="K1202" s="24">
        <f t="shared" si="300"/>
        <v>606194.39999999991</v>
      </c>
      <c r="L1202" s="24">
        <f>L1203+L1213+L1217</f>
        <v>50178.5</v>
      </c>
      <c r="M1202" s="24">
        <f t="shared" si="301"/>
        <v>656372.89999999991</v>
      </c>
      <c r="N1202" s="24">
        <f>N1203+N1213+N1217</f>
        <v>51699.199999999997</v>
      </c>
      <c r="O1202" s="24">
        <f t="shared" si="302"/>
        <v>708072.09999999986</v>
      </c>
      <c r="P1202" s="24">
        <f>P1203+P1213+P1217</f>
        <v>-815.80000000000018</v>
      </c>
      <c r="Q1202" s="24">
        <f t="shared" si="275"/>
        <v>707256.29999999981</v>
      </c>
      <c r="R1202" s="24">
        <f>R1203+R1213+R1217</f>
        <v>8010.2</v>
      </c>
      <c r="S1202" s="24">
        <f t="shared" si="309"/>
        <v>715266.49999999977</v>
      </c>
      <c r="T1202" s="24">
        <f>T1203+T1213+T1217</f>
        <v>521.79999999999995</v>
      </c>
      <c r="U1202" s="24">
        <f t="shared" si="308"/>
        <v>715788.29999999981</v>
      </c>
      <c r="V1202" s="24">
        <f>V1203+V1213+V1217</f>
        <v>-11524.3</v>
      </c>
      <c r="W1202" s="24">
        <f t="shared" si="305"/>
        <v>704263.99999999977</v>
      </c>
      <c r="X1202" s="24">
        <f>X1203+X1213+X1217</f>
        <v>21213.3</v>
      </c>
      <c r="Y1202" s="24">
        <f t="shared" si="279"/>
        <v>725477.29999999981</v>
      </c>
      <c r="Z1202" s="189"/>
    </row>
    <row r="1203" spans="1:27" x14ac:dyDescent="0.25">
      <c r="A1203" s="22" t="s">
        <v>300</v>
      </c>
      <c r="B1203" s="23" t="s">
        <v>299</v>
      </c>
      <c r="C1203" s="23" t="s">
        <v>301</v>
      </c>
      <c r="D1203" s="23" t="s">
        <v>2</v>
      </c>
      <c r="E1203" s="24">
        <f>E1204</f>
        <v>383035.2</v>
      </c>
      <c r="F1203" s="24">
        <f>F1204</f>
        <v>0</v>
      </c>
      <c r="G1203" s="24">
        <f t="shared" si="298"/>
        <v>383035.2</v>
      </c>
      <c r="H1203" s="24">
        <f>H1204</f>
        <v>0</v>
      </c>
      <c r="I1203" s="24">
        <f t="shared" si="299"/>
        <v>383035.2</v>
      </c>
      <c r="J1203" s="24">
        <f>J1204</f>
        <v>0</v>
      </c>
      <c r="K1203" s="24">
        <f t="shared" si="300"/>
        <v>383035.2</v>
      </c>
      <c r="L1203" s="24">
        <f>L1204</f>
        <v>11000</v>
      </c>
      <c r="M1203" s="24">
        <f t="shared" si="301"/>
        <v>394035.20000000001</v>
      </c>
      <c r="N1203" s="24">
        <f>N1204</f>
        <v>15732.6</v>
      </c>
      <c r="O1203" s="24">
        <f t="shared" si="302"/>
        <v>409767.8</v>
      </c>
      <c r="P1203" s="24">
        <f>P1204</f>
        <v>2234.6999999999998</v>
      </c>
      <c r="Q1203" s="24">
        <f t="shared" ref="Q1203:Q1310" si="314">O1203+P1203</f>
        <v>412002.5</v>
      </c>
      <c r="R1203" s="24">
        <f>R1204</f>
        <v>156.19999999999999</v>
      </c>
      <c r="S1203" s="24">
        <f t="shared" si="309"/>
        <v>412158.7</v>
      </c>
      <c r="T1203" s="24">
        <f>T1204</f>
        <v>2233.1</v>
      </c>
      <c r="U1203" s="24">
        <f t="shared" si="308"/>
        <v>414391.8</v>
      </c>
      <c r="V1203" s="24">
        <f>V1204</f>
        <v>-7970.9</v>
      </c>
      <c r="W1203" s="24">
        <f t="shared" si="305"/>
        <v>406420.89999999997</v>
      </c>
      <c r="X1203" s="24">
        <f>X1204</f>
        <v>41704.800000000003</v>
      </c>
      <c r="Y1203" s="24">
        <f t="shared" si="279"/>
        <v>448125.69999999995</v>
      </c>
    </row>
    <row r="1204" spans="1:27" s="6" customFormat="1" x14ac:dyDescent="0.25">
      <c r="A1204" s="22" t="s">
        <v>302</v>
      </c>
      <c r="B1204" s="23" t="s">
        <v>299</v>
      </c>
      <c r="C1204" s="23" t="s">
        <v>303</v>
      </c>
      <c r="D1204" s="23" t="s">
        <v>2</v>
      </c>
      <c r="E1204" s="24">
        <f>E1207+E1210</f>
        <v>383035.2</v>
      </c>
      <c r="F1204" s="24">
        <f>F1207+F1210</f>
        <v>0</v>
      </c>
      <c r="G1204" s="24">
        <f t="shared" si="298"/>
        <v>383035.2</v>
      </c>
      <c r="H1204" s="24">
        <f>H1207+H1210</f>
        <v>0</v>
      </c>
      <c r="I1204" s="24">
        <f t="shared" si="299"/>
        <v>383035.2</v>
      </c>
      <c r="J1204" s="24">
        <f>J1207+J1210</f>
        <v>0</v>
      </c>
      <c r="K1204" s="24">
        <f t="shared" si="300"/>
        <v>383035.2</v>
      </c>
      <c r="L1204" s="24">
        <f>L1207+L1210</f>
        <v>11000</v>
      </c>
      <c r="M1204" s="24">
        <f t="shared" si="301"/>
        <v>394035.20000000001</v>
      </c>
      <c r="N1204" s="24">
        <f>N1207+N1210</f>
        <v>15732.6</v>
      </c>
      <c r="O1204" s="24">
        <f t="shared" si="302"/>
        <v>409767.8</v>
      </c>
      <c r="P1204" s="24">
        <f>P1207+P1210</f>
        <v>2234.6999999999998</v>
      </c>
      <c r="Q1204" s="24">
        <f t="shared" si="314"/>
        <v>412002.5</v>
      </c>
      <c r="R1204" s="24">
        <f>R1207+R1210+R1205</f>
        <v>156.19999999999999</v>
      </c>
      <c r="S1204" s="24">
        <f t="shared" si="309"/>
        <v>412158.7</v>
      </c>
      <c r="T1204" s="24">
        <f>T1207+T1210+T1205</f>
        <v>2233.1</v>
      </c>
      <c r="U1204" s="24">
        <f t="shared" si="308"/>
        <v>414391.8</v>
      </c>
      <c r="V1204" s="24">
        <f>V1207+V1210+V1205</f>
        <v>-7970.9</v>
      </c>
      <c r="W1204" s="24">
        <f t="shared" si="305"/>
        <v>406420.89999999997</v>
      </c>
      <c r="X1204" s="24">
        <f>X1207+X1210+X1205</f>
        <v>41704.800000000003</v>
      </c>
      <c r="Y1204" s="24">
        <f t="shared" si="279"/>
        <v>448125.69999999995</v>
      </c>
      <c r="Z1204" s="189"/>
    </row>
    <row r="1205" spans="1:27" s="6" customFormat="1" x14ac:dyDescent="0.25">
      <c r="A1205" s="16" t="s">
        <v>769</v>
      </c>
      <c r="B1205" s="20" t="s">
        <v>299</v>
      </c>
      <c r="C1205" s="20" t="s">
        <v>1243</v>
      </c>
      <c r="D1205" s="20" t="s">
        <v>2</v>
      </c>
      <c r="E1205" s="24"/>
      <c r="F1205" s="24"/>
      <c r="G1205" s="24"/>
      <c r="H1205" s="24"/>
      <c r="I1205" s="24"/>
      <c r="J1205" s="24"/>
      <c r="K1205" s="24"/>
      <c r="L1205" s="24"/>
      <c r="M1205" s="24"/>
      <c r="N1205" s="24"/>
      <c r="O1205" s="24"/>
      <c r="P1205" s="24"/>
      <c r="Q1205" s="24"/>
      <c r="R1205" s="18">
        <f>R1206</f>
        <v>156.19999999999999</v>
      </c>
      <c r="S1205" s="24">
        <f t="shared" si="309"/>
        <v>156.19999999999999</v>
      </c>
      <c r="T1205" s="18">
        <f>T1206</f>
        <v>0</v>
      </c>
      <c r="U1205" s="24">
        <f t="shared" si="308"/>
        <v>156.19999999999999</v>
      </c>
      <c r="V1205" s="18">
        <f>V1206</f>
        <v>0</v>
      </c>
      <c r="W1205" s="24">
        <f t="shared" si="305"/>
        <v>156.19999999999999</v>
      </c>
      <c r="X1205" s="18">
        <f>X1206</f>
        <v>0</v>
      </c>
      <c r="Y1205" s="24">
        <f t="shared" si="279"/>
        <v>156.19999999999999</v>
      </c>
      <c r="Z1205" s="189"/>
    </row>
    <row r="1206" spans="1:27" s="6" customFormat="1" x14ac:dyDescent="0.25">
      <c r="A1206" s="30" t="s">
        <v>574</v>
      </c>
      <c r="B1206" s="21" t="s">
        <v>299</v>
      </c>
      <c r="C1206" s="21" t="s">
        <v>1243</v>
      </c>
      <c r="D1206" s="21" t="s">
        <v>81</v>
      </c>
      <c r="E1206" s="24"/>
      <c r="F1206" s="24"/>
      <c r="G1206" s="24"/>
      <c r="H1206" s="24"/>
      <c r="I1206" s="24"/>
      <c r="J1206" s="24"/>
      <c r="K1206" s="24"/>
      <c r="L1206" s="24"/>
      <c r="M1206" s="24"/>
      <c r="N1206" s="24"/>
      <c r="O1206" s="24"/>
      <c r="P1206" s="24"/>
      <c r="Q1206" s="24"/>
      <c r="R1206" s="43">
        <v>156.19999999999999</v>
      </c>
      <c r="S1206" s="24">
        <f t="shared" si="309"/>
        <v>156.19999999999999</v>
      </c>
      <c r="T1206" s="69"/>
      <c r="U1206" s="24">
        <f t="shared" si="308"/>
        <v>156.19999999999999</v>
      </c>
      <c r="V1206" s="69"/>
      <c r="W1206" s="24">
        <f t="shared" si="305"/>
        <v>156.19999999999999</v>
      </c>
      <c r="X1206" s="69"/>
      <c r="Y1206" s="24">
        <f t="shared" si="279"/>
        <v>156.19999999999999</v>
      </c>
      <c r="Z1206" s="189"/>
      <c r="AA1206" s="189">
        <f>Y1206+Z1206</f>
        <v>156.19999999999999</v>
      </c>
    </row>
    <row r="1207" spans="1:27" s="6" customFormat="1" ht="36.75" x14ac:dyDescent="0.25">
      <c r="A1207" s="22" t="s">
        <v>306</v>
      </c>
      <c r="B1207" s="23" t="s">
        <v>299</v>
      </c>
      <c r="C1207" s="23" t="s">
        <v>307</v>
      </c>
      <c r="D1207" s="23" t="s">
        <v>2</v>
      </c>
      <c r="E1207" s="24">
        <f>E1208+E1209</f>
        <v>303848.40000000002</v>
      </c>
      <c r="F1207" s="24">
        <f>F1208+F1209</f>
        <v>0</v>
      </c>
      <c r="G1207" s="24">
        <f t="shared" si="298"/>
        <v>303848.40000000002</v>
      </c>
      <c r="H1207" s="24">
        <f>H1208+H1209</f>
        <v>0</v>
      </c>
      <c r="I1207" s="24">
        <f t="shared" si="299"/>
        <v>303848.40000000002</v>
      </c>
      <c r="J1207" s="24">
        <f>J1208+J1209</f>
        <v>0</v>
      </c>
      <c r="K1207" s="24">
        <f t="shared" si="300"/>
        <v>303848.40000000002</v>
      </c>
      <c r="L1207" s="24">
        <f>L1208+L1209</f>
        <v>0</v>
      </c>
      <c r="M1207" s="24">
        <f t="shared" si="301"/>
        <v>303848.40000000002</v>
      </c>
      <c r="N1207" s="24">
        <f>N1208+N1209</f>
        <v>12320.6</v>
      </c>
      <c r="O1207" s="24">
        <f t="shared" si="302"/>
        <v>316169</v>
      </c>
      <c r="P1207" s="24">
        <f>P1208+P1209</f>
        <v>0</v>
      </c>
      <c r="Q1207" s="24">
        <f t="shared" si="314"/>
        <v>316169</v>
      </c>
      <c r="R1207" s="24">
        <f>R1208+R1209</f>
        <v>0</v>
      </c>
      <c r="S1207" s="24">
        <f t="shared" si="309"/>
        <v>316169</v>
      </c>
      <c r="T1207" s="24">
        <f>T1208+T1209</f>
        <v>2233.1</v>
      </c>
      <c r="U1207" s="24">
        <f t="shared" si="308"/>
        <v>318402.09999999998</v>
      </c>
      <c r="V1207" s="24">
        <f>V1208+V1209</f>
        <v>0</v>
      </c>
      <c r="W1207" s="24">
        <f t="shared" si="305"/>
        <v>318402.09999999998</v>
      </c>
      <c r="X1207" s="24">
        <f>X1208+X1209</f>
        <v>34412</v>
      </c>
      <c r="Y1207" s="24">
        <f t="shared" si="279"/>
        <v>352814.1</v>
      </c>
      <c r="Z1207" s="189"/>
    </row>
    <row r="1208" spans="1:27" s="6" customFormat="1" ht="36.75" x14ac:dyDescent="0.25">
      <c r="A1208" s="25" t="s">
        <v>573</v>
      </c>
      <c r="B1208" s="26" t="s">
        <v>299</v>
      </c>
      <c r="C1208" s="26" t="s">
        <v>307</v>
      </c>
      <c r="D1208" s="26" t="s">
        <v>83</v>
      </c>
      <c r="E1208" s="27">
        <v>292619.40000000002</v>
      </c>
      <c r="F1208" s="27"/>
      <c r="G1208" s="24">
        <f t="shared" si="298"/>
        <v>292619.40000000002</v>
      </c>
      <c r="H1208" s="27"/>
      <c r="I1208" s="24">
        <f t="shared" si="299"/>
        <v>292619.40000000002</v>
      </c>
      <c r="J1208" s="27"/>
      <c r="K1208" s="24">
        <f t="shared" si="300"/>
        <v>292619.40000000002</v>
      </c>
      <c r="L1208" s="27"/>
      <c r="M1208" s="24">
        <f t="shared" si="301"/>
        <v>292619.40000000002</v>
      </c>
      <c r="N1208" s="43">
        <v>12320.6</v>
      </c>
      <c r="O1208" s="24">
        <f t="shared" si="302"/>
        <v>304940</v>
      </c>
      <c r="P1208" s="69"/>
      <c r="Q1208" s="24">
        <f t="shared" si="314"/>
        <v>304940</v>
      </c>
      <c r="R1208" s="69"/>
      <c r="S1208" s="24">
        <f t="shared" si="309"/>
        <v>304940</v>
      </c>
      <c r="T1208" s="125">
        <f>2233.1-556</f>
        <v>1677.1</v>
      </c>
      <c r="U1208" s="24">
        <f t="shared" si="308"/>
        <v>306617.09999999998</v>
      </c>
      <c r="V1208" s="69"/>
      <c r="W1208" s="24">
        <f t="shared" si="305"/>
        <v>306617.09999999998</v>
      </c>
      <c r="X1208" s="43">
        <v>33357.699999999997</v>
      </c>
      <c r="Y1208" s="24">
        <f t="shared" si="279"/>
        <v>339974.8</v>
      </c>
      <c r="Z1208" s="189"/>
      <c r="AA1208" s="189">
        <f t="shared" ref="AA1208:AA1209" si="315">Y1208+Z1208</f>
        <v>339974.8</v>
      </c>
    </row>
    <row r="1209" spans="1:27" s="6" customFormat="1" ht="36.75" x14ac:dyDescent="0.25">
      <c r="A1209" s="25" t="s">
        <v>308</v>
      </c>
      <c r="B1209" s="26" t="s">
        <v>299</v>
      </c>
      <c r="C1209" s="26" t="s">
        <v>307</v>
      </c>
      <c r="D1209" s="26" t="s">
        <v>305</v>
      </c>
      <c r="E1209" s="27">
        <v>11229</v>
      </c>
      <c r="F1209" s="27"/>
      <c r="G1209" s="24">
        <f t="shared" si="298"/>
        <v>11229</v>
      </c>
      <c r="H1209" s="27"/>
      <c r="I1209" s="24">
        <f t="shared" si="299"/>
        <v>11229</v>
      </c>
      <c r="J1209" s="27"/>
      <c r="K1209" s="24">
        <f t="shared" si="300"/>
        <v>11229</v>
      </c>
      <c r="L1209" s="27"/>
      <c r="M1209" s="24">
        <f t="shared" si="301"/>
        <v>11229</v>
      </c>
      <c r="N1209" s="27"/>
      <c r="O1209" s="24">
        <f t="shared" si="302"/>
        <v>11229</v>
      </c>
      <c r="P1209" s="27"/>
      <c r="Q1209" s="24">
        <f t="shared" si="314"/>
        <v>11229</v>
      </c>
      <c r="R1209" s="27"/>
      <c r="S1209" s="24">
        <f t="shared" si="309"/>
        <v>11229</v>
      </c>
      <c r="T1209" s="125">
        <v>556</v>
      </c>
      <c r="U1209" s="24">
        <f t="shared" si="308"/>
        <v>11785</v>
      </c>
      <c r="V1209" s="69"/>
      <c r="W1209" s="24">
        <f t="shared" si="305"/>
        <v>11785</v>
      </c>
      <c r="X1209" s="43">
        <v>1054.3</v>
      </c>
      <c r="Y1209" s="24">
        <f t="shared" si="279"/>
        <v>12839.3</v>
      </c>
      <c r="Z1209" s="189"/>
      <c r="AA1209" s="189">
        <f t="shared" si="315"/>
        <v>12839.3</v>
      </c>
    </row>
    <row r="1210" spans="1:27" s="6" customFormat="1" ht="36.75" x14ac:dyDescent="0.25">
      <c r="A1210" s="22" t="s">
        <v>37</v>
      </c>
      <c r="B1210" s="23" t="s">
        <v>299</v>
      </c>
      <c r="C1210" s="23" t="s">
        <v>304</v>
      </c>
      <c r="D1210" s="23" t="s">
        <v>2</v>
      </c>
      <c r="E1210" s="24">
        <f>E1211+E1212</f>
        <v>79186.799999999988</v>
      </c>
      <c r="F1210" s="24">
        <f>F1211+F1212</f>
        <v>0</v>
      </c>
      <c r="G1210" s="24">
        <f t="shared" si="298"/>
        <v>79186.799999999988</v>
      </c>
      <c r="H1210" s="24">
        <f>H1211+H1212</f>
        <v>0</v>
      </c>
      <c r="I1210" s="24">
        <f t="shared" si="299"/>
        <v>79186.799999999988</v>
      </c>
      <c r="J1210" s="24">
        <f>J1211+J1212</f>
        <v>0</v>
      </c>
      <c r="K1210" s="24">
        <f t="shared" si="300"/>
        <v>79186.799999999988</v>
      </c>
      <c r="L1210" s="24">
        <f>L1211+L1212</f>
        <v>11000</v>
      </c>
      <c r="M1210" s="24">
        <f t="shared" si="301"/>
        <v>90186.799999999988</v>
      </c>
      <c r="N1210" s="24">
        <f>N1211+N1212</f>
        <v>3412</v>
      </c>
      <c r="O1210" s="24">
        <f t="shared" si="302"/>
        <v>93598.799999999988</v>
      </c>
      <c r="P1210" s="24">
        <f>P1211+P1212</f>
        <v>2234.6999999999998</v>
      </c>
      <c r="Q1210" s="24">
        <f t="shared" si="314"/>
        <v>95833.499999999985</v>
      </c>
      <c r="R1210" s="24">
        <f>R1211+R1212</f>
        <v>0</v>
      </c>
      <c r="S1210" s="24">
        <f t="shared" si="309"/>
        <v>95833.499999999985</v>
      </c>
      <c r="T1210" s="24">
        <f>T1211+T1212</f>
        <v>0</v>
      </c>
      <c r="U1210" s="24">
        <f t="shared" si="308"/>
        <v>95833.499999999985</v>
      </c>
      <c r="V1210" s="183">
        <f>V1211+V1212</f>
        <v>-7970.9</v>
      </c>
      <c r="W1210" s="24">
        <f t="shared" si="305"/>
        <v>87862.599999999991</v>
      </c>
      <c r="X1210" s="183">
        <f>X1211+X1212</f>
        <v>7292.8</v>
      </c>
      <c r="Y1210" s="24">
        <f t="shared" si="279"/>
        <v>95155.4</v>
      </c>
      <c r="Z1210" s="189"/>
    </row>
    <row r="1211" spans="1:27" s="6" customFormat="1" ht="36.75" x14ac:dyDescent="0.25">
      <c r="A1211" s="25" t="s">
        <v>573</v>
      </c>
      <c r="B1211" s="26" t="s">
        <v>299</v>
      </c>
      <c r="C1211" s="26" t="s">
        <v>304</v>
      </c>
      <c r="D1211" s="26" t="s">
        <v>83</v>
      </c>
      <c r="E1211" s="27">
        <f>89140.9-14412</f>
        <v>74728.899999999994</v>
      </c>
      <c r="F1211" s="27"/>
      <c r="G1211" s="24">
        <f t="shared" si="298"/>
        <v>74728.899999999994</v>
      </c>
      <c r="H1211" s="27"/>
      <c r="I1211" s="24">
        <f t="shared" si="299"/>
        <v>74728.899999999994</v>
      </c>
      <c r="J1211" s="27"/>
      <c r="K1211" s="24">
        <f t="shared" si="300"/>
        <v>74728.899999999994</v>
      </c>
      <c r="L1211" s="107">
        <v>11000</v>
      </c>
      <c r="M1211" s="24">
        <f t="shared" si="301"/>
        <v>85728.9</v>
      </c>
      <c r="N1211" s="63">
        <v>3412</v>
      </c>
      <c r="O1211" s="24">
        <f t="shared" si="302"/>
        <v>89140.9</v>
      </c>
      <c r="P1211" s="39">
        <f>1931.9+1477-752.9-430+8.7</f>
        <v>2234.6999999999998</v>
      </c>
      <c r="Q1211" s="24">
        <f t="shared" si="314"/>
        <v>91375.599999999991</v>
      </c>
      <c r="R1211" s="69"/>
      <c r="S1211" s="24">
        <f t="shared" si="309"/>
        <v>91375.599999999991</v>
      </c>
      <c r="T1211" s="69"/>
      <c r="U1211" s="24">
        <f t="shared" si="308"/>
        <v>91375.599999999991</v>
      </c>
      <c r="V1211" s="39">
        <f>-5000-2500-470.9</f>
        <v>-7970.9</v>
      </c>
      <c r="W1211" s="24">
        <f t="shared" si="305"/>
        <v>83404.7</v>
      </c>
      <c r="X1211" s="109">
        <f>5000+2500+590.7</f>
        <v>8090.7</v>
      </c>
      <c r="Y1211" s="24">
        <f t="shared" si="279"/>
        <v>91495.4</v>
      </c>
      <c r="Z1211" s="189">
        <v>590.70000000000005</v>
      </c>
      <c r="AA1211" s="189">
        <f t="shared" ref="AA1211:AA1212" si="316">Y1211+Z1211</f>
        <v>92086.099999999991</v>
      </c>
    </row>
    <row r="1212" spans="1:27" ht="36.75" x14ac:dyDescent="0.25">
      <c r="A1212" s="25" t="s">
        <v>308</v>
      </c>
      <c r="B1212" s="26" t="s">
        <v>299</v>
      </c>
      <c r="C1212" s="26" t="s">
        <v>304</v>
      </c>
      <c r="D1212" s="26" t="s">
        <v>305</v>
      </c>
      <c r="E1212" s="27">
        <v>4457.8999999999996</v>
      </c>
      <c r="F1212" s="27"/>
      <c r="G1212" s="24">
        <f t="shared" si="298"/>
        <v>4457.8999999999996</v>
      </c>
      <c r="H1212" s="27"/>
      <c r="I1212" s="24">
        <f t="shared" si="299"/>
        <v>4457.8999999999996</v>
      </c>
      <c r="J1212" s="27"/>
      <c r="K1212" s="24">
        <f t="shared" si="300"/>
        <v>4457.8999999999996</v>
      </c>
      <c r="L1212" s="27"/>
      <c r="M1212" s="24">
        <f t="shared" si="301"/>
        <v>4457.8999999999996</v>
      </c>
      <c r="N1212" s="27"/>
      <c r="O1212" s="24">
        <f t="shared" si="302"/>
        <v>4457.8999999999996</v>
      </c>
      <c r="P1212" s="27"/>
      <c r="Q1212" s="24">
        <f t="shared" si="314"/>
        <v>4457.8999999999996</v>
      </c>
      <c r="R1212" s="27"/>
      <c r="S1212" s="24">
        <f t="shared" si="309"/>
        <v>4457.8999999999996</v>
      </c>
      <c r="T1212" s="69"/>
      <c r="U1212" s="24">
        <f t="shared" si="308"/>
        <v>4457.8999999999996</v>
      </c>
      <c r="V1212" s="69"/>
      <c r="W1212" s="24">
        <f t="shared" si="305"/>
        <v>4457.8999999999996</v>
      </c>
      <c r="X1212" s="39">
        <v>-797.9</v>
      </c>
      <c r="Y1212" s="24">
        <f t="shared" si="279"/>
        <v>3659.9999999999995</v>
      </c>
      <c r="Z1212" s="61">
        <v>-797.9</v>
      </c>
      <c r="AA1212" s="189">
        <f t="shared" si="316"/>
        <v>2862.0999999999995</v>
      </c>
    </row>
    <row r="1213" spans="1:27" x14ac:dyDescent="0.25">
      <c r="A1213" s="22" t="s">
        <v>309</v>
      </c>
      <c r="B1213" s="23" t="s">
        <v>299</v>
      </c>
      <c r="C1213" s="23" t="s">
        <v>310</v>
      </c>
      <c r="D1213" s="23" t="s">
        <v>2</v>
      </c>
      <c r="E1213" s="24">
        <f t="shared" ref="E1213:X1215" si="317">E1214</f>
        <v>11478.2</v>
      </c>
      <c r="F1213" s="24">
        <f t="shared" si="317"/>
        <v>0</v>
      </c>
      <c r="G1213" s="24">
        <f t="shared" si="298"/>
        <v>11478.2</v>
      </c>
      <c r="H1213" s="24">
        <f t="shared" si="317"/>
        <v>0</v>
      </c>
      <c r="I1213" s="24">
        <f t="shared" si="299"/>
        <v>11478.2</v>
      </c>
      <c r="J1213" s="24">
        <f t="shared" si="317"/>
        <v>0</v>
      </c>
      <c r="K1213" s="24">
        <f t="shared" si="300"/>
        <v>11478.2</v>
      </c>
      <c r="L1213" s="24">
        <f t="shared" si="317"/>
        <v>0</v>
      </c>
      <c r="M1213" s="24">
        <f t="shared" si="301"/>
        <v>11478.2</v>
      </c>
      <c r="N1213" s="24">
        <f>N1214+N1248</f>
        <v>29182</v>
      </c>
      <c r="O1213" s="24">
        <f t="shared" si="302"/>
        <v>40660.199999999997</v>
      </c>
      <c r="P1213" s="24">
        <f>P1214+P1248</f>
        <v>0</v>
      </c>
      <c r="Q1213" s="24">
        <f t="shared" si="314"/>
        <v>40660.199999999997</v>
      </c>
      <c r="R1213" s="24">
        <f>R1214+R1248</f>
        <v>0</v>
      </c>
      <c r="S1213" s="24">
        <f t="shared" si="309"/>
        <v>40660.199999999997</v>
      </c>
      <c r="T1213" s="24">
        <f>T1214+T1248</f>
        <v>1.4</v>
      </c>
      <c r="U1213" s="24">
        <f t="shared" si="308"/>
        <v>40661.599999999999</v>
      </c>
      <c r="V1213" s="24">
        <f>V1214+V1248</f>
        <v>0</v>
      </c>
      <c r="W1213" s="24">
        <f t="shared" si="305"/>
        <v>40661.599999999999</v>
      </c>
      <c r="X1213" s="24">
        <f>X1214+X1248</f>
        <v>12207.1</v>
      </c>
      <c r="Y1213" s="24">
        <f t="shared" si="279"/>
        <v>52868.7</v>
      </c>
    </row>
    <row r="1214" spans="1:27" s="6" customFormat="1" x14ac:dyDescent="0.25">
      <c r="A1214" s="22" t="s">
        <v>311</v>
      </c>
      <c r="B1214" s="23" t="s">
        <v>299</v>
      </c>
      <c r="C1214" s="23" t="s">
        <v>312</v>
      </c>
      <c r="D1214" s="23" t="s">
        <v>2</v>
      </c>
      <c r="E1214" s="24">
        <f t="shared" si="317"/>
        <v>11478.2</v>
      </c>
      <c r="F1214" s="24">
        <f t="shared" si="317"/>
        <v>0</v>
      </c>
      <c r="G1214" s="24">
        <f t="shared" si="298"/>
        <v>11478.2</v>
      </c>
      <c r="H1214" s="24">
        <f t="shared" si="317"/>
        <v>0</v>
      </c>
      <c r="I1214" s="24">
        <f t="shared" si="299"/>
        <v>11478.2</v>
      </c>
      <c r="J1214" s="24">
        <f t="shared" si="317"/>
        <v>0</v>
      </c>
      <c r="K1214" s="24">
        <f t="shared" si="300"/>
        <v>11478.2</v>
      </c>
      <c r="L1214" s="24">
        <f t="shared" si="317"/>
        <v>0</v>
      </c>
      <c r="M1214" s="24">
        <f t="shared" si="301"/>
        <v>11478.2</v>
      </c>
      <c r="N1214" s="24">
        <f t="shared" si="317"/>
        <v>0</v>
      </c>
      <c r="O1214" s="24">
        <f t="shared" si="302"/>
        <v>11478.2</v>
      </c>
      <c r="P1214" s="24">
        <f t="shared" si="317"/>
        <v>0</v>
      </c>
      <c r="Q1214" s="24">
        <f t="shared" si="314"/>
        <v>11478.2</v>
      </c>
      <c r="R1214" s="24">
        <f t="shared" si="317"/>
        <v>0</v>
      </c>
      <c r="S1214" s="24">
        <f t="shared" si="309"/>
        <v>11478.2</v>
      </c>
      <c r="T1214" s="24">
        <f t="shared" si="317"/>
        <v>0</v>
      </c>
      <c r="U1214" s="24">
        <f t="shared" si="308"/>
        <v>11478.2</v>
      </c>
      <c r="V1214" s="24">
        <f t="shared" si="317"/>
        <v>0</v>
      </c>
      <c r="W1214" s="24">
        <f t="shared" si="305"/>
        <v>11478.2</v>
      </c>
      <c r="X1214" s="24">
        <f t="shared" si="317"/>
        <v>-1943.6</v>
      </c>
      <c r="Y1214" s="24">
        <f t="shared" si="279"/>
        <v>9534.6</v>
      </c>
      <c r="Z1214" s="189"/>
    </row>
    <row r="1215" spans="1:27" ht="24.75" x14ac:dyDescent="0.25">
      <c r="A1215" s="22" t="s">
        <v>313</v>
      </c>
      <c r="B1215" s="23" t="s">
        <v>299</v>
      </c>
      <c r="C1215" s="23" t="s">
        <v>314</v>
      </c>
      <c r="D1215" s="23" t="s">
        <v>2</v>
      </c>
      <c r="E1215" s="24">
        <f t="shared" si="317"/>
        <v>11478.2</v>
      </c>
      <c r="F1215" s="24">
        <f t="shared" si="317"/>
        <v>0</v>
      </c>
      <c r="G1215" s="24">
        <f t="shared" si="298"/>
        <v>11478.2</v>
      </c>
      <c r="H1215" s="24">
        <f t="shared" si="317"/>
        <v>0</v>
      </c>
      <c r="I1215" s="24">
        <f t="shared" si="299"/>
        <v>11478.2</v>
      </c>
      <c r="J1215" s="24">
        <f t="shared" si="317"/>
        <v>0</v>
      </c>
      <c r="K1215" s="24">
        <f t="shared" si="300"/>
        <v>11478.2</v>
      </c>
      <c r="L1215" s="24">
        <f t="shared" si="317"/>
        <v>0</v>
      </c>
      <c r="M1215" s="24">
        <f t="shared" si="301"/>
        <v>11478.2</v>
      </c>
      <c r="N1215" s="24">
        <f t="shared" si="317"/>
        <v>0</v>
      </c>
      <c r="O1215" s="24">
        <f t="shared" si="302"/>
        <v>11478.2</v>
      </c>
      <c r="P1215" s="24">
        <f t="shared" si="317"/>
        <v>0</v>
      </c>
      <c r="Q1215" s="24">
        <f t="shared" si="314"/>
        <v>11478.2</v>
      </c>
      <c r="R1215" s="24">
        <f t="shared" si="317"/>
        <v>0</v>
      </c>
      <c r="S1215" s="24">
        <f t="shared" si="309"/>
        <v>11478.2</v>
      </c>
      <c r="T1215" s="24">
        <f t="shared" si="317"/>
        <v>0</v>
      </c>
      <c r="U1215" s="24">
        <f t="shared" si="308"/>
        <v>11478.2</v>
      </c>
      <c r="V1215" s="24">
        <f t="shared" si="317"/>
        <v>0</v>
      </c>
      <c r="W1215" s="24">
        <f t="shared" si="305"/>
        <v>11478.2</v>
      </c>
      <c r="X1215" s="24">
        <f t="shared" si="317"/>
        <v>-1943.6</v>
      </c>
      <c r="Y1215" s="24">
        <f t="shared" si="279"/>
        <v>9534.6</v>
      </c>
    </row>
    <row r="1216" spans="1:27" ht="24.75" x14ac:dyDescent="0.25">
      <c r="A1216" s="25" t="s">
        <v>563</v>
      </c>
      <c r="B1216" s="26" t="s">
        <v>299</v>
      </c>
      <c r="C1216" s="26" t="s">
        <v>314</v>
      </c>
      <c r="D1216" s="26" t="s">
        <v>315</v>
      </c>
      <c r="E1216" s="27">
        <v>11478.2</v>
      </c>
      <c r="F1216" s="27"/>
      <c r="G1216" s="24">
        <f t="shared" si="298"/>
        <v>11478.2</v>
      </c>
      <c r="H1216" s="27"/>
      <c r="I1216" s="24">
        <f t="shared" si="299"/>
        <v>11478.2</v>
      </c>
      <c r="J1216" s="27"/>
      <c r="K1216" s="24">
        <f t="shared" si="300"/>
        <v>11478.2</v>
      </c>
      <c r="L1216" s="27"/>
      <c r="M1216" s="24">
        <f t="shared" si="301"/>
        <v>11478.2</v>
      </c>
      <c r="N1216" s="27"/>
      <c r="O1216" s="24">
        <f t="shared" si="302"/>
        <v>11478.2</v>
      </c>
      <c r="P1216" s="27"/>
      <c r="Q1216" s="24">
        <f t="shared" si="314"/>
        <v>11478.2</v>
      </c>
      <c r="R1216" s="27"/>
      <c r="S1216" s="24">
        <f t="shared" si="309"/>
        <v>11478.2</v>
      </c>
      <c r="T1216" s="69"/>
      <c r="U1216" s="24">
        <f t="shared" si="308"/>
        <v>11478.2</v>
      </c>
      <c r="V1216" s="69"/>
      <c r="W1216" s="24">
        <f t="shared" si="305"/>
        <v>11478.2</v>
      </c>
      <c r="X1216" s="39">
        <v>-1943.6</v>
      </c>
      <c r="Y1216" s="24">
        <f t="shared" si="279"/>
        <v>9534.6</v>
      </c>
      <c r="Z1216" s="61">
        <v>-1943.6</v>
      </c>
      <c r="AA1216" s="189">
        <f>Y1216+Z1216</f>
        <v>7591</v>
      </c>
    </row>
    <row r="1217" spans="1:27" s="6" customFormat="1" ht="24.75" x14ac:dyDescent="0.25">
      <c r="A1217" s="22" t="s">
        <v>77</v>
      </c>
      <c r="B1217" s="23" t="s">
        <v>299</v>
      </c>
      <c r="C1217" s="23" t="s">
        <v>78</v>
      </c>
      <c r="D1217" s="23" t="s">
        <v>2</v>
      </c>
      <c r="E1217" s="24">
        <f>E1218+E1225</f>
        <v>61818.8</v>
      </c>
      <c r="F1217" s="24">
        <f>F1218+F1225</f>
        <v>104177.5</v>
      </c>
      <c r="G1217" s="24">
        <f t="shared" si="298"/>
        <v>165996.29999999999</v>
      </c>
      <c r="H1217" s="24">
        <f>H1218+H1225</f>
        <v>-39000</v>
      </c>
      <c r="I1217" s="24">
        <f t="shared" si="299"/>
        <v>126996.29999999999</v>
      </c>
      <c r="J1217" s="24">
        <f>J1218+J1225+J1246</f>
        <v>84684.7</v>
      </c>
      <c r="K1217" s="24">
        <f t="shared" si="300"/>
        <v>211681</v>
      </c>
      <c r="L1217" s="24">
        <f>L1218+L1225+L1246</f>
        <v>39178.5</v>
      </c>
      <c r="M1217" s="24">
        <f t="shared" si="301"/>
        <v>250859.5</v>
      </c>
      <c r="N1217" s="24">
        <f>N1218+N1225+N1246</f>
        <v>6784.6</v>
      </c>
      <c r="O1217" s="24">
        <f t="shared" si="302"/>
        <v>257644.1</v>
      </c>
      <c r="P1217" s="24">
        <f>P1218+P1225+P1246</f>
        <v>-3050.5</v>
      </c>
      <c r="Q1217" s="24">
        <f t="shared" si="314"/>
        <v>254593.6</v>
      </c>
      <c r="R1217" s="24">
        <f>R1218+R1225+R1246</f>
        <v>7854</v>
      </c>
      <c r="S1217" s="24">
        <f t="shared" si="309"/>
        <v>262447.59999999998</v>
      </c>
      <c r="T1217" s="24">
        <f>T1218+T1225+T1246</f>
        <v>-1712.7</v>
      </c>
      <c r="U1217" s="24">
        <f t="shared" si="308"/>
        <v>260734.89999999997</v>
      </c>
      <c r="V1217" s="24">
        <f>V1218+V1225+V1246</f>
        <v>-3553.4</v>
      </c>
      <c r="W1217" s="24">
        <f t="shared" si="305"/>
        <v>257181.49999999997</v>
      </c>
      <c r="X1217" s="24">
        <f>X1218+X1225+X1246</f>
        <v>-32698.600000000002</v>
      </c>
      <c r="Y1217" s="24">
        <f t="shared" si="279"/>
        <v>224482.89999999997</v>
      </c>
      <c r="Z1217" s="189"/>
    </row>
    <row r="1218" spans="1:27" s="6" customFormat="1" x14ac:dyDescent="0.25">
      <c r="A1218" s="22" t="s">
        <v>316</v>
      </c>
      <c r="B1218" s="23" t="s">
        <v>299</v>
      </c>
      <c r="C1218" s="23" t="s">
        <v>317</v>
      </c>
      <c r="D1218" s="23" t="s">
        <v>2</v>
      </c>
      <c r="E1218" s="24">
        <f>E1219+E1222</f>
        <v>14568.8</v>
      </c>
      <c r="F1218" s="24">
        <f>F1219+F1222</f>
        <v>-12255</v>
      </c>
      <c r="G1218" s="24">
        <f t="shared" si="298"/>
        <v>2313.7999999999993</v>
      </c>
      <c r="H1218" s="24">
        <f>H1219+H1222</f>
        <v>0</v>
      </c>
      <c r="I1218" s="24">
        <f t="shared" si="299"/>
        <v>2313.7999999999993</v>
      </c>
      <c r="J1218" s="24">
        <f>J1219+J1222</f>
        <v>0</v>
      </c>
      <c r="K1218" s="24">
        <f t="shared" si="300"/>
        <v>2313.7999999999993</v>
      </c>
      <c r="L1218" s="24">
        <f>L1219+L1222</f>
        <v>964.6</v>
      </c>
      <c r="M1218" s="24">
        <f t="shared" si="301"/>
        <v>3278.3999999999992</v>
      </c>
      <c r="N1218" s="24">
        <f>N1219+N1222</f>
        <v>2800.5</v>
      </c>
      <c r="O1218" s="24">
        <f t="shared" si="302"/>
        <v>6078.9</v>
      </c>
      <c r="P1218" s="24">
        <f>P1219+P1222</f>
        <v>0</v>
      </c>
      <c r="Q1218" s="24">
        <f t="shared" si="314"/>
        <v>6078.9</v>
      </c>
      <c r="R1218" s="24">
        <f>R1219+R1222</f>
        <v>1579.2</v>
      </c>
      <c r="S1218" s="24">
        <f t="shared" si="309"/>
        <v>7658.0999999999995</v>
      </c>
      <c r="T1218" s="24">
        <f>T1219+T1222</f>
        <v>0</v>
      </c>
      <c r="U1218" s="24">
        <f t="shared" si="308"/>
        <v>7658.0999999999995</v>
      </c>
      <c r="V1218" s="24">
        <f>V1219+V1222</f>
        <v>0</v>
      </c>
      <c r="W1218" s="24">
        <f t="shared" si="305"/>
        <v>7658.0999999999995</v>
      </c>
      <c r="X1218" s="24">
        <f>X1219+X1222</f>
        <v>0</v>
      </c>
      <c r="Y1218" s="24">
        <f t="shared" si="279"/>
        <v>7658.0999999999995</v>
      </c>
      <c r="Z1218" s="189"/>
    </row>
    <row r="1219" spans="1:27" s="6" customFormat="1" x14ac:dyDescent="0.25">
      <c r="A1219" s="22" t="s">
        <v>318</v>
      </c>
      <c r="B1219" s="23" t="s">
        <v>299</v>
      </c>
      <c r="C1219" s="23" t="s">
        <v>319</v>
      </c>
      <c r="D1219" s="23" t="s">
        <v>2</v>
      </c>
      <c r="E1219" s="24">
        <f>E1220</f>
        <v>12255</v>
      </c>
      <c r="F1219" s="24">
        <f>F1220</f>
        <v>-12255</v>
      </c>
      <c r="G1219" s="24">
        <f t="shared" si="298"/>
        <v>0</v>
      </c>
      <c r="H1219" s="24">
        <f>H1220</f>
        <v>0</v>
      </c>
      <c r="I1219" s="24">
        <f t="shared" si="299"/>
        <v>0</v>
      </c>
      <c r="J1219" s="24">
        <f>J1220</f>
        <v>0</v>
      </c>
      <c r="K1219" s="24">
        <f t="shared" si="300"/>
        <v>0</v>
      </c>
      <c r="L1219" s="24">
        <f>L1220</f>
        <v>964.6</v>
      </c>
      <c r="M1219" s="24">
        <f t="shared" si="301"/>
        <v>964.6</v>
      </c>
      <c r="N1219" s="24">
        <f>N1220</f>
        <v>2280.4</v>
      </c>
      <c r="O1219" s="24">
        <f t="shared" si="302"/>
        <v>3245</v>
      </c>
      <c r="P1219" s="24">
        <f>P1220</f>
        <v>0</v>
      </c>
      <c r="Q1219" s="24">
        <f t="shared" si="314"/>
        <v>3245</v>
      </c>
      <c r="R1219" s="24">
        <f>R1220+R1221</f>
        <v>2398.4</v>
      </c>
      <c r="S1219" s="24">
        <f t="shared" si="309"/>
        <v>5643.4</v>
      </c>
      <c r="T1219" s="24">
        <f>T1220+T1221</f>
        <v>0</v>
      </c>
      <c r="U1219" s="24">
        <f t="shared" si="308"/>
        <v>5643.4</v>
      </c>
      <c r="V1219" s="24">
        <f>V1220+V1221</f>
        <v>0</v>
      </c>
      <c r="W1219" s="24">
        <f t="shared" si="305"/>
        <v>5643.4</v>
      </c>
      <c r="X1219" s="24">
        <f>X1220+X1221</f>
        <v>0</v>
      </c>
      <c r="Y1219" s="24">
        <f t="shared" si="279"/>
        <v>5643.4</v>
      </c>
      <c r="Z1219" s="189"/>
    </row>
    <row r="1220" spans="1:27" x14ac:dyDescent="0.25">
      <c r="A1220" s="25" t="s">
        <v>574</v>
      </c>
      <c r="B1220" s="26" t="s">
        <v>299</v>
      </c>
      <c r="C1220" s="26" t="s">
        <v>319</v>
      </c>
      <c r="D1220" s="26" t="s">
        <v>81</v>
      </c>
      <c r="E1220" s="27">
        <v>12255</v>
      </c>
      <c r="F1220" s="63">
        <v>-12255</v>
      </c>
      <c r="G1220" s="24">
        <f t="shared" si="298"/>
        <v>0</v>
      </c>
      <c r="H1220" s="69"/>
      <c r="I1220" s="24">
        <f t="shared" si="299"/>
        <v>0</v>
      </c>
      <c r="J1220" s="69"/>
      <c r="K1220" s="24">
        <f t="shared" si="300"/>
        <v>0</v>
      </c>
      <c r="L1220" s="107">
        <v>964.6</v>
      </c>
      <c r="M1220" s="24">
        <f t="shared" si="301"/>
        <v>964.6</v>
      </c>
      <c r="N1220" s="63">
        <v>2280.4</v>
      </c>
      <c r="O1220" s="24">
        <f t="shared" si="302"/>
        <v>3245</v>
      </c>
      <c r="P1220" s="69"/>
      <c r="Q1220" s="24">
        <f t="shared" si="314"/>
        <v>3245</v>
      </c>
      <c r="R1220" s="39">
        <v>2392.4</v>
      </c>
      <c r="S1220" s="24">
        <f t="shared" si="309"/>
        <v>5637.4</v>
      </c>
      <c r="T1220" s="69"/>
      <c r="U1220" s="24">
        <f t="shared" si="308"/>
        <v>5637.4</v>
      </c>
      <c r="V1220" s="69"/>
      <c r="W1220" s="24">
        <f t="shared" si="305"/>
        <v>5637.4</v>
      </c>
      <c r="X1220" s="69"/>
      <c r="Y1220" s="24">
        <f t="shared" si="279"/>
        <v>5637.4</v>
      </c>
      <c r="AA1220" s="189">
        <f t="shared" ref="AA1220:AA1221" si="318">Y1220+Z1220</f>
        <v>5637.4</v>
      </c>
    </row>
    <row r="1221" spans="1:27" x14ac:dyDescent="0.25">
      <c r="A1221" s="25" t="s">
        <v>321</v>
      </c>
      <c r="B1221" s="26" t="s">
        <v>299</v>
      </c>
      <c r="C1221" s="26" t="s">
        <v>319</v>
      </c>
      <c r="D1221" s="26" t="s">
        <v>322</v>
      </c>
      <c r="E1221" s="27"/>
      <c r="F1221" s="63"/>
      <c r="G1221" s="24"/>
      <c r="H1221" s="69"/>
      <c r="I1221" s="24"/>
      <c r="J1221" s="69"/>
      <c r="K1221" s="24"/>
      <c r="L1221" s="107"/>
      <c r="M1221" s="24"/>
      <c r="N1221" s="63"/>
      <c r="O1221" s="24"/>
      <c r="P1221" s="69"/>
      <c r="Q1221" s="24"/>
      <c r="R1221" s="39">
        <v>6</v>
      </c>
      <c r="S1221" s="24">
        <f t="shared" si="309"/>
        <v>6</v>
      </c>
      <c r="T1221" s="69"/>
      <c r="U1221" s="24">
        <f t="shared" si="308"/>
        <v>6</v>
      </c>
      <c r="V1221" s="69"/>
      <c r="W1221" s="24">
        <f t="shared" si="305"/>
        <v>6</v>
      </c>
      <c r="X1221" s="69"/>
      <c r="Y1221" s="24">
        <f t="shared" si="279"/>
        <v>6</v>
      </c>
      <c r="AA1221" s="189">
        <f t="shared" si="318"/>
        <v>6</v>
      </c>
    </row>
    <row r="1222" spans="1:27" s="6" customFormat="1" x14ac:dyDescent="0.25">
      <c r="A1222" s="22" t="s">
        <v>49</v>
      </c>
      <c r="B1222" s="23" t="s">
        <v>299</v>
      </c>
      <c r="C1222" s="23" t="s">
        <v>320</v>
      </c>
      <c r="D1222" s="23" t="s">
        <v>2</v>
      </c>
      <c r="E1222" s="24">
        <f>E1223+E1224</f>
        <v>2313.8000000000002</v>
      </c>
      <c r="F1222" s="24">
        <f>F1223+F1224</f>
        <v>0</v>
      </c>
      <c r="G1222" s="24">
        <f t="shared" si="298"/>
        <v>2313.8000000000002</v>
      </c>
      <c r="H1222" s="24">
        <f>H1223+H1224</f>
        <v>0</v>
      </c>
      <c r="I1222" s="24">
        <f t="shared" si="299"/>
        <v>2313.8000000000002</v>
      </c>
      <c r="J1222" s="24">
        <f>J1223+J1224</f>
        <v>0</v>
      </c>
      <c r="K1222" s="24">
        <f t="shared" si="300"/>
        <v>2313.8000000000002</v>
      </c>
      <c r="L1222" s="24">
        <f>L1223+L1224</f>
        <v>0</v>
      </c>
      <c r="M1222" s="24">
        <f t="shared" si="301"/>
        <v>2313.8000000000002</v>
      </c>
      <c r="N1222" s="24">
        <f>N1223+N1224</f>
        <v>520.1</v>
      </c>
      <c r="O1222" s="24">
        <f t="shared" si="302"/>
        <v>2833.9</v>
      </c>
      <c r="P1222" s="24">
        <f>P1223+P1224</f>
        <v>0</v>
      </c>
      <c r="Q1222" s="24">
        <f t="shared" si="314"/>
        <v>2833.9</v>
      </c>
      <c r="R1222" s="24">
        <f>R1223+R1224</f>
        <v>-819.2</v>
      </c>
      <c r="S1222" s="24">
        <f t="shared" si="309"/>
        <v>2014.7</v>
      </c>
      <c r="T1222" s="24">
        <f>T1223+T1224</f>
        <v>0</v>
      </c>
      <c r="U1222" s="24">
        <f t="shared" si="308"/>
        <v>2014.7</v>
      </c>
      <c r="V1222" s="24">
        <f>V1223+V1224</f>
        <v>0</v>
      </c>
      <c r="W1222" s="24">
        <f t="shared" si="305"/>
        <v>2014.7</v>
      </c>
      <c r="X1222" s="24">
        <f>X1223+X1224</f>
        <v>0</v>
      </c>
      <c r="Y1222" s="24">
        <f t="shared" si="279"/>
        <v>2014.7</v>
      </c>
      <c r="Z1222" s="189"/>
    </row>
    <row r="1223" spans="1:27" s="6" customFormat="1" x14ac:dyDescent="0.25">
      <c r="A1223" s="25" t="s">
        <v>574</v>
      </c>
      <c r="B1223" s="26" t="s">
        <v>299</v>
      </c>
      <c r="C1223" s="26" t="s">
        <v>320</v>
      </c>
      <c r="D1223" s="26" t="s">
        <v>81</v>
      </c>
      <c r="E1223" s="27">
        <v>2245.8000000000002</v>
      </c>
      <c r="F1223" s="27"/>
      <c r="G1223" s="24">
        <f t="shared" si="298"/>
        <v>2245.8000000000002</v>
      </c>
      <c r="H1223" s="27"/>
      <c r="I1223" s="24">
        <f t="shared" si="299"/>
        <v>2245.8000000000002</v>
      </c>
      <c r="J1223" s="27"/>
      <c r="K1223" s="24">
        <f t="shared" si="300"/>
        <v>2245.8000000000002</v>
      </c>
      <c r="L1223" s="27"/>
      <c r="M1223" s="24">
        <f t="shared" si="301"/>
        <v>2245.8000000000002</v>
      </c>
      <c r="N1223" s="39">
        <v>503.1</v>
      </c>
      <c r="O1223" s="24">
        <f t="shared" si="302"/>
        <v>2748.9</v>
      </c>
      <c r="P1223" s="69"/>
      <c r="Q1223" s="24">
        <f t="shared" si="314"/>
        <v>2748.9</v>
      </c>
      <c r="R1223" s="39">
        <v>-797</v>
      </c>
      <c r="S1223" s="24">
        <f t="shared" si="309"/>
        <v>1951.9</v>
      </c>
      <c r="T1223" s="69"/>
      <c r="U1223" s="24">
        <f t="shared" si="308"/>
        <v>1951.9</v>
      </c>
      <c r="V1223" s="69"/>
      <c r="W1223" s="24">
        <f t="shared" si="305"/>
        <v>1951.9</v>
      </c>
      <c r="X1223" s="69"/>
      <c r="Y1223" s="24">
        <f t="shared" si="279"/>
        <v>1951.9</v>
      </c>
      <c r="Z1223" s="189"/>
      <c r="AA1223" s="189">
        <f t="shared" ref="AA1223:AA1224" si="319">Y1223+Z1223</f>
        <v>1951.9</v>
      </c>
    </row>
    <row r="1224" spans="1:27" s="6" customFormat="1" x14ac:dyDescent="0.25">
      <c r="A1224" s="25" t="s">
        <v>321</v>
      </c>
      <c r="B1224" s="26" t="s">
        <v>299</v>
      </c>
      <c r="C1224" s="26" t="s">
        <v>320</v>
      </c>
      <c r="D1224" s="26" t="s">
        <v>322</v>
      </c>
      <c r="E1224" s="27">
        <v>68</v>
      </c>
      <c r="F1224" s="27"/>
      <c r="G1224" s="24">
        <f t="shared" si="298"/>
        <v>68</v>
      </c>
      <c r="H1224" s="27"/>
      <c r="I1224" s="24">
        <f t="shared" si="299"/>
        <v>68</v>
      </c>
      <c r="J1224" s="27"/>
      <c r="K1224" s="24">
        <f t="shared" si="300"/>
        <v>68</v>
      </c>
      <c r="L1224" s="27"/>
      <c r="M1224" s="24">
        <f t="shared" si="301"/>
        <v>68</v>
      </c>
      <c r="N1224" s="39">
        <v>17</v>
      </c>
      <c r="O1224" s="24">
        <f t="shared" si="302"/>
        <v>85</v>
      </c>
      <c r="P1224" s="69"/>
      <c r="Q1224" s="24">
        <f t="shared" si="314"/>
        <v>85</v>
      </c>
      <c r="R1224" s="39">
        <v>-22.2</v>
      </c>
      <c r="S1224" s="24">
        <f t="shared" si="309"/>
        <v>62.8</v>
      </c>
      <c r="T1224" s="69"/>
      <c r="U1224" s="24">
        <f t="shared" si="308"/>
        <v>62.8</v>
      </c>
      <c r="V1224" s="94"/>
      <c r="W1224" s="24">
        <f t="shared" si="305"/>
        <v>62.8</v>
      </c>
      <c r="X1224" s="69"/>
      <c r="Y1224" s="24">
        <f t="shared" si="279"/>
        <v>62.8</v>
      </c>
      <c r="Z1224" s="189"/>
      <c r="AA1224" s="189">
        <f t="shared" si="319"/>
        <v>62.8</v>
      </c>
    </row>
    <row r="1225" spans="1:27" ht="24.75" x14ac:dyDescent="0.25">
      <c r="A1225" s="22" t="s">
        <v>323</v>
      </c>
      <c r="B1225" s="23" t="s">
        <v>299</v>
      </c>
      <c r="C1225" s="23" t="s">
        <v>324</v>
      </c>
      <c r="D1225" s="23" t="s">
        <v>2</v>
      </c>
      <c r="E1225" s="24">
        <f>E1229+E1236+E1240+E1238+E1226+E1243</f>
        <v>47250</v>
      </c>
      <c r="F1225" s="24">
        <f>F1229+F1236+F1240+F1238+F1226+F1243+F1231</f>
        <v>116432.5</v>
      </c>
      <c r="G1225" s="24">
        <f t="shared" si="298"/>
        <v>163682.5</v>
      </c>
      <c r="H1225" s="24">
        <f>H1229+H1236+H1240+H1238+H1226+H1243+H1231</f>
        <v>-39000</v>
      </c>
      <c r="I1225" s="24">
        <f t="shared" si="299"/>
        <v>124682.5</v>
      </c>
      <c r="J1225" s="24">
        <f>J1229+J1236+J1240+J1238+J1226+J1243+J1231</f>
        <v>0</v>
      </c>
      <c r="K1225" s="24">
        <f t="shared" si="300"/>
        <v>124682.5</v>
      </c>
      <c r="L1225" s="24">
        <f>L1229+L1236+L1240+L1238+L1226+L1243+L1231+L1234</f>
        <v>-103080.1</v>
      </c>
      <c r="M1225" s="24">
        <f t="shared" si="301"/>
        <v>21602.399999999994</v>
      </c>
      <c r="N1225" s="24">
        <f>N1229+N1236+N1240+N1238+N1226+N1243+N1231+N1234</f>
        <v>3984.1</v>
      </c>
      <c r="O1225" s="24">
        <f t="shared" si="302"/>
        <v>25586.499999999993</v>
      </c>
      <c r="P1225" s="24">
        <f>P1229+P1236+P1240+P1238+P1226+P1243+P1231+P1234</f>
        <v>-3050.5</v>
      </c>
      <c r="Q1225" s="24">
        <f t="shared" si="314"/>
        <v>22535.999999999993</v>
      </c>
      <c r="R1225" s="24">
        <f>R1229+R1236+R1240+R1238+R1226+R1243+R1231+R1234</f>
        <v>6274.8</v>
      </c>
      <c r="S1225" s="24">
        <f t="shared" si="309"/>
        <v>28810.799999999992</v>
      </c>
      <c r="T1225" s="24">
        <f>T1229+T1236+T1240+T1238+T1226+T1243+T1231+T1234</f>
        <v>-1712.7</v>
      </c>
      <c r="U1225" s="24">
        <f t="shared" si="308"/>
        <v>27098.099999999991</v>
      </c>
      <c r="V1225" s="24">
        <f>V1229+V1236+V1240+V1238+V1226+V1243+V1231+V1234</f>
        <v>-3553.4</v>
      </c>
      <c r="W1225" s="24">
        <f t="shared" si="305"/>
        <v>23544.69999999999</v>
      </c>
      <c r="X1225" s="24">
        <f>X1229+X1236+X1240+X1238+X1226+X1243+X1231+X1234</f>
        <v>4908.2</v>
      </c>
      <c r="Y1225" s="24">
        <f t="shared" si="279"/>
        <v>28452.899999999991</v>
      </c>
    </row>
    <row r="1226" spans="1:27" s="6" customFormat="1" x14ac:dyDescent="0.25">
      <c r="A1226" s="22" t="s">
        <v>235</v>
      </c>
      <c r="B1226" s="23" t="s">
        <v>299</v>
      </c>
      <c r="C1226" s="23" t="s">
        <v>339</v>
      </c>
      <c r="D1226" s="23" t="s">
        <v>2</v>
      </c>
      <c r="E1226" s="24">
        <f>E1228</f>
        <v>28400</v>
      </c>
      <c r="F1226" s="24">
        <f>F1228</f>
        <v>112500</v>
      </c>
      <c r="G1226" s="24">
        <f t="shared" si="298"/>
        <v>140900</v>
      </c>
      <c r="H1226" s="24">
        <f>H1228</f>
        <v>-39000</v>
      </c>
      <c r="I1226" s="24">
        <f t="shared" si="299"/>
        <v>101900</v>
      </c>
      <c r="J1226" s="24">
        <f>J1228+J1227</f>
        <v>0</v>
      </c>
      <c r="K1226" s="24">
        <f t="shared" si="300"/>
        <v>101900</v>
      </c>
      <c r="L1226" s="24">
        <f>L1228+L1227</f>
        <v>-92625.2</v>
      </c>
      <c r="M1226" s="24">
        <f t="shared" si="301"/>
        <v>9274.8000000000029</v>
      </c>
      <c r="N1226" s="24">
        <f>N1228+N1227</f>
        <v>2321.5</v>
      </c>
      <c r="O1226" s="24">
        <f t="shared" si="302"/>
        <v>11596.300000000003</v>
      </c>
      <c r="P1226" s="24">
        <f>P1228+P1227</f>
        <v>0</v>
      </c>
      <c r="Q1226" s="24">
        <f t="shared" si="314"/>
        <v>11596.300000000003</v>
      </c>
      <c r="R1226" s="24">
        <f>R1228+R1227</f>
        <v>-375.2</v>
      </c>
      <c r="S1226" s="24">
        <f t="shared" si="309"/>
        <v>11221.100000000002</v>
      </c>
      <c r="T1226" s="24">
        <f>T1228+T1227</f>
        <v>-1466.4</v>
      </c>
      <c r="U1226" s="24">
        <f t="shared" si="308"/>
        <v>9754.7000000000025</v>
      </c>
      <c r="V1226" s="24">
        <f>V1228+V1227</f>
        <v>-1311</v>
      </c>
      <c r="W1226" s="24">
        <f t="shared" si="305"/>
        <v>8443.7000000000025</v>
      </c>
      <c r="X1226" s="24">
        <f>X1228+X1227</f>
        <v>241</v>
      </c>
      <c r="Y1226" s="24">
        <f t="shared" si="279"/>
        <v>8684.7000000000025</v>
      </c>
      <c r="Z1226" s="189"/>
    </row>
    <row r="1227" spans="1:27" x14ac:dyDescent="0.25">
      <c r="A1227" s="64" t="s">
        <v>567</v>
      </c>
      <c r="B1227" s="21" t="s">
        <v>299</v>
      </c>
      <c r="C1227" s="21" t="s">
        <v>339</v>
      </c>
      <c r="D1227" s="21" t="s">
        <v>43</v>
      </c>
      <c r="E1227" s="24"/>
      <c r="F1227" s="24"/>
      <c r="G1227" s="24"/>
      <c r="H1227" s="24"/>
      <c r="I1227" s="24"/>
      <c r="J1227" s="63">
        <v>3200</v>
      </c>
      <c r="K1227" s="24">
        <f t="shared" si="300"/>
        <v>3200</v>
      </c>
      <c r="L1227" s="107">
        <v>1900</v>
      </c>
      <c r="M1227" s="24">
        <f t="shared" si="301"/>
        <v>5100</v>
      </c>
      <c r="N1227" s="63">
        <v>-2925.2</v>
      </c>
      <c r="O1227" s="24">
        <f t="shared" si="302"/>
        <v>2174.8000000000002</v>
      </c>
      <c r="P1227" s="69"/>
      <c r="Q1227" s="24">
        <f t="shared" si="314"/>
        <v>2174.8000000000002</v>
      </c>
      <c r="R1227" s="39">
        <v>-375.2</v>
      </c>
      <c r="S1227" s="24">
        <f t="shared" si="309"/>
        <v>1799.6000000000001</v>
      </c>
      <c r="T1227" s="69"/>
      <c r="U1227" s="24">
        <f t="shared" si="308"/>
        <v>1799.6000000000001</v>
      </c>
      <c r="V1227" s="69"/>
      <c r="W1227" s="24">
        <f t="shared" si="305"/>
        <v>1799.6000000000001</v>
      </c>
      <c r="X1227" s="69"/>
      <c r="Y1227" s="24">
        <f t="shared" si="279"/>
        <v>1799.6000000000001</v>
      </c>
      <c r="AA1227" s="189">
        <f t="shared" ref="AA1227:AA1228" si="320">Y1227+Z1227</f>
        <v>1799.6000000000001</v>
      </c>
    </row>
    <row r="1228" spans="1:27" ht="24.75" x14ac:dyDescent="0.25">
      <c r="A1228" s="25" t="s">
        <v>572</v>
      </c>
      <c r="B1228" s="26" t="s">
        <v>299</v>
      </c>
      <c r="C1228" s="26" t="s">
        <v>339</v>
      </c>
      <c r="D1228" s="26" t="s">
        <v>241</v>
      </c>
      <c r="E1228" s="27">
        <v>28400</v>
      </c>
      <c r="F1228" s="39">
        <v>112500</v>
      </c>
      <c r="G1228" s="24">
        <f t="shared" si="298"/>
        <v>140900</v>
      </c>
      <c r="H1228" s="39">
        <v>-39000</v>
      </c>
      <c r="I1228" s="24">
        <f t="shared" si="299"/>
        <v>101900</v>
      </c>
      <c r="J1228" s="63">
        <v>-3200</v>
      </c>
      <c r="K1228" s="24">
        <f t="shared" si="300"/>
        <v>98700</v>
      </c>
      <c r="L1228" s="96">
        <f>-22202.6-13000-5952.8-363.5-700-223.4-300-1500-2000-45900-442-40.9-1900</f>
        <v>-94525.2</v>
      </c>
      <c r="M1228" s="24">
        <f t="shared" si="301"/>
        <v>4174.8000000000029</v>
      </c>
      <c r="N1228" s="63">
        <v>5246.7</v>
      </c>
      <c r="O1228" s="24">
        <f t="shared" si="302"/>
        <v>9421.5000000000036</v>
      </c>
      <c r="P1228" s="69"/>
      <c r="Q1228" s="24">
        <f t="shared" si="314"/>
        <v>9421.5000000000036</v>
      </c>
      <c r="R1228" s="19"/>
      <c r="S1228" s="24">
        <f t="shared" si="309"/>
        <v>9421.5000000000036</v>
      </c>
      <c r="T1228" s="39">
        <f>-1.4-1465</f>
        <v>-1466.4</v>
      </c>
      <c r="U1228" s="24">
        <f t="shared" si="308"/>
        <v>7955.100000000004</v>
      </c>
      <c r="V1228" s="94">
        <v>-1311</v>
      </c>
      <c r="W1228" s="24">
        <f t="shared" si="305"/>
        <v>6644.100000000004</v>
      </c>
      <c r="X1228" s="39">
        <v>241</v>
      </c>
      <c r="Y1228" s="24">
        <f t="shared" si="279"/>
        <v>6885.100000000004</v>
      </c>
      <c r="Z1228" s="61">
        <v>241</v>
      </c>
      <c r="AA1228" s="189">
        <f t="shared" si="320"/>
        <v>7126.100000000004</v>
      </c>
    </row>
    <row r="1229" spans="1:27" s="6" customFormat="1" ht="24.75" x14ac:dyDescent="0.25">
      <c r="A1229" s="22" t="s">
        <v>234</v>
      </c>
      <c r="B1229" s="23" t="s">
        <v>299</v>
      </c>
      <c r="C1229" s="23" t="s">
        <v>325</v>
      </c>
      <c r="D1229" s="23" t="s">
        <v>2</v>
      </c>
      <c r="E1229" s="24">
        <f>E1230</f>
        <v>2000</v>
      </c>
      <c r="F1229" s="24">
        <f>F1230</f>
        <v>0</v>
      </c>
      <c r="G1229" s="24">
        <f t="shared" si="298"/>
        <v>2000</v>
      </c>
      <c r="H1229" s="24">
        <f>H1230</f>
        <v>0</v>
      </c>
      <c r="I1229" s="24">
        <f t="shared" si="299"/>
        <v>2000</v>
      </c>
      <c r="J1229" s="24">
        <f>J1230</f>
        <v>0</v>
      </c>
      <c r="K1229" s="24">
        <f t="shared" si="300"/>
        <v>2000</v>
      </c>
      <c r="L1229" s="24">
        <f>L1230</f>
        <v>0</v>
      </c>
      <c r="M1229" s="24">
        <f t="shared" si="301"/>
        <v>2000</v>
      </c>
      <c r="N1229" s="24">
        <f>N1230</f>
        <v>0</v>
      </c>
      <c r="O1229" s="24">
        <f t="shared" si="302"/>
        <v>2000</v>
      </c>
      <c r="P1229" s="24">
        <f>P1230</f>
        <v>437.6</v>
      </c>
      <c r="Q1229" s="24">
        <f t="shared" si="314"/>
        <v>2437.6</v>
      </c>
      <c r="R1229" s="24">
        <f>R1230</f>
        <v>0</v>
      </c>
      <c r="S1229" s="24">
        <f t="shared" si="309"/>
        <v>2437.6</v>
      </c>
      <c r="T1229" s="24">
        <f>T1230</f>
        <v>0</v>
      </c>
      <c r="U1229" s="24">
        <f t="shared" si="308"/>
        <v>2437.6</v>
      </c>
      <c r="V1229" s="183">
        <f>V1230</f>
        <v>-2000</v>
      </c>
      <c r="W1229" s="24">
        <f t="shared" si="305"/>
        <v>437.59999999999991</v>
      </c>
      <c r="X1229" s="183">
        <f>X1230</f>
        <v>0</v>
      </c>
      <c r="Y1229" s="24">
        <f t="shared" si="279"/>
        <v>437.59999999999991</v>
      </c>
      <c r="Z1229" s="189"/>
    </row>
    <row r="1230" spans="1:27" s="6" customFormat="1" x14ac:dyDescent="0.25">
      <c r="A1230" s="25" t="s">
        <v>574</v>
      </c>
      <c r="B1230" s="26" t="s">
        <v>299</v>
      </c>
      <c r="C1230" s="26" t="s">
        <v>325</v>
      </c>
      <c r="D1230" s="26" t="s">
        <v>81</v>
      </c>
      <c r="E1230" s="27">
        <v>2000</v>
      </c>
      <c r="F1230" s="27"/>
      <c r="G1230" s="24">
        <f t="shared" si="298"/>
        <v>2000</v>
      </c>
      <c r="H1230" s="27"/>
      <c r="I1230" s="24">
        <f t="shared" si="299"/>
        <v>2000</v>
      </c>
      <c r="J1230" s="27"/>
      <c r="K1230" s="24">
        <f t="shared" si="300"/>
        <v>2000</v>
      </c>
      <c r="L1230" s="27"/>
      <c r="M1230" s="24">
        <f t="shared" si="301"/>
        <v>2000</v>
      </c>
      <c r="N1230" s="39"/>
      <c r="O1230" s="24">
        <f t="shared" si="302"/>
        <v>2000</v>
      </c>
      <c r="P1230" s="39">
        <f>300+137.6</f>
        <v>437.6</v>
      </c>
      <c r="Q1230" s="24">
        <f t="shared" si="314"/>
        <v>2437.6</v>
      </c>
      <c r="R1230" s="69"/>
      <c r="S1230" s="24">
        <f t="shared" si="309"/>
        <v>2437.6</v>
      </c>
      <c r="T1230" s="69"/>
      <c r="U1230" s="24">
        <f t="shared" si="308"/>
        <v>2437.6</v>
      </c>
      <c r="V1230" s="39">
        <v>-2000</v>
      </c>
      <c r="W1230" s="24">
        <f t="shared" si="305"/>
        <v>437.59999999999991</v>
      </c>
      <c r="X1230" s="109">
        <f>2000-2000</f>
        <v>0</v>
      </c>
      <c r="Y1230" s="24">
        <f t="shared" si="279"/>
        <v>437.59999999999991</v>
      </c>
      <c r="Z1230" s="189">
        <v>-2000</v>
      </c>
      <c r="AA1230" s="189">
        <f>Y1230+Z1230</f>
        <v>-1562.4</v>
      </c>
    </row>
    <row r="1231" spans="1:27" s="6" customFormat="1" x14ac:dyDescent="0.25">
      <c r="A1231" s="22" t="s">
        <v>658</v>
      </c>
      <c r="B1231" s="20" t="s">
        <v>299</v>
      </c>
      <c r="C1231" s="66" t="s">
        <v>683</v>
      </c>
      <c r="D1231" s="65"/>
      <c r="E1231" s="27"/>
      <c r="F1231" s="18">
        <f>F1232+F1233</f>
        <v>3932.5</v>
      </c>
      <c r="G1231" s="24">
        <f t="shared" si="298"/>
        <v>3932.5</v>
      </c>
      <c r="H1231" s="18">
        <f>H1232+H1233</f>
        <v>0</v>
      </c>
      <c r="I1231" s="24">
        <f t="shared" si="299"/>
        <v>3932.5</v>
      </c>
      <c r="J1231" s="18">
        <f>J1232+J1233</f>
        <v>0</v>
      </c>
      <c r="K1231" s="24">
        <f t="shared" si="300"/>
        <v>3932.5</v>
      </c>
      <c r="L1231" s="18">
        <f>L1232+L1233</f>
        <v>0</v>
      </c>
      <c r="M1231" s="24">
        <f t="shared" si="301"/>
        <v>3932.5</v>
      </c>
      <c r="N1231" s="18">
        <f>N1232+N1233</f>
        <v>1607</v>
      </c>
      <c r="O1231" s="24">
        <f t="shared" si="302"/>
        <v>5539.5</v>
      </c>
      <c r="P1231" s="18">
        <f>P1232+P1233</f>
        <v>-3488.1</v>
      </c>
      <c r="Q1231" s="24">
        <f t="shared" si="314"/>
        <v>2051.4</v>
      </c>
      <c r="R1231" s="18">
        <f>R1232+R1233</f>
        <v>6650</v>
      </c>
      <c r="S1231" s="24">
        <f t="shared" si="309"/>
        <v>8701.4</v>
      </c>
      <c r="T1231" s="18">
        <f>T1232+T1233</f>
        <v>0</v>
      </c>
      <c r="U1231" s="24">
        <f t="shared" si="308"/>
        <v>8701.4</v>
      </c>
      <c r="V1231" s="18">
        <f>V1232+V1233</f>
        <v>0</v>
      </c>
      <c r="W1231" s="24">
        <f t="shared" si="305"/>
        <v>8701.4</v>
      </c>
      <c r="X1231" s="18">
        <f>X1232+X1233</f>
        <v>4667.2</v>
      </c>
      <c r="Y1231" s="24">
        <f t="shared" si="279"/>
        <v>13368.599999999999</v>
      </c>
      <c r="Z1231" s="189"/>
    </row>
    <row r="1232" spans="1:27" s="6" customFormat="1" x14ac:dyDescent="0.25">
      <c r="A1232" s="64" t="s">
        <v>574</v>
      </c>
      <c r="B1232" s="21" t="s">
        <v>299</v>
      </c>
      <c r="C1232" s="67" t="s">
        <v>683</v>
      </c>
      <c r="D1232" s="65" t="s">
        <v>81</v>
      </c>
      <c r="E1232" s="27"/>
      <c r="F1232" s="63">
        <v>3870</v>
      </c>
      <c r="G1232" s="24">
        <f t="shared" ref="G1232:G1233" si="321">E1232+F1232</f>
        <v>3870</v>
      </c>
      <c r="H1232" s="69"/>
      <c r="I1232" s="24">
        <f t="shared" ref="I1232:I1343" si="322">G1232+H1232</f>
        <v>3870</v>
      </c>
      <c r="J1232" s="69"/>
      <c r="K1232" s="24">
        <f t="shared" ref="K1232:K1343" si="323">I1232+J1232</f>
        <v>3870</v>
      </c>
      <c r="L1232" s="69"/>
      <c r="M1232" s="24">
        <f t="shared" ref="M1232:M1343" si="324">K1232+L1232</f>
        <v>3870</v>
      </c>
      <c r="N1232" s="63">
        <f>1189.3+417.7</f>
        <v>1607</v>
      </c>
      <c r="O1232" s="24">
        <f t="shared" ref="O1232:O1343" si="325">M1232+N1232</f>
        <v>5477</v>
      </c>
      <c r="P1232" s="94">
        <v>-3425.6</v>
      </c>
      <c r="Q1232" s="24">
        <f t="shared" si="314"/>
        <v>2051.4</v>
      </c>
      <c r="R1232" s="39">
        <f>2500+4150</f>
        <v>6650</v>
      </c>
      <c r="S1232" s="24">
        <f t="shared" si="309"/>
        <v>8701.4</v>
      </c>
      <c r="T1232" s="69"/>
      <c r="U1232" s="24">
        <f t="shared" si="308"/>
        <v>8701.4</v>
      </c>
      <c r="V1232" s="69"/>
      <c r="W1232" s="24">
        <f t="shared" si="305"/>
        <v>8701.4</v>
      </c>
      <c r="X1232" s="39">
        <v>4667.2</v>
      </c>
      <c r="Y1232" s="24">
        <f t="shared" si="279"/>
        <v>13368.599999999999</v>
      </c>
      <c r="Z1232" s="189">
        <v>4667.2</v>
      </c>
      <c r="AA1232" s="189">
        <f t="shared" ref="AA1232:AA1233" si="326">Y1232+Z1232</f>
        <v>18035.8</v>
      </c>
    </row>
    <row r="1233" spans="1:27" s="6" customFormat="1" hidden="1" x14ac:dyDescent="0.25">
      <c r="A1233" s="25" t="s">
        <v>321</v>
      </c>
      <c r="B1233" s="26" t="s">
        <v>299</v>
      </c>
      <c r="C1233" s="67" t="s">
        <v>683</v>
      </c>
      <c r="D1233" s="26" t="s">
        <v>322</v>
      </c>
      <c r="E1233" s="27"/>
      <c r="F1233" s="63">
        <v>62.5</v>
      </c>
      <c r="G1233" s="24">
        <f t="shared" si="321"/>
        <v>62.5</v>
      </c>
      <c r="H1233" s="69"/>
      <c r="I1233" s="24">
        <f t="shared" si="322"/>
        <v>62.5</v>
      </c>
      <c r="J1233" s="69"/>
      <c r="K1233" s="24">
        <f t="shared" si="323"/>
        <v>62.5</v>
      </c>
      <c r="L1233" s="69"/>
      <c r="M1233" s="24">
        <f t="shared" si="324"/>
        <v>62.5</v>
      </c>
      <c r="N1233" s="69"/>
      <c r="O1233" s="24">
        <f t="shared" si="325"/>
        <v>62.5</v>
      </c>
      <c r="P1233" s="94">
        <v>-62.5</v>
      </c>
      <c r="Q1233" s="24">
        <f t="shared" si="314"/>
        <v>0</v>
      </c>
      <c r="R1233" s="69"/>
      <c r="S1233" s="24">
        <f t="shared" si="309"/>
        <v>0</v>
      </c>
      <c r="T1233" s="69"/>
      <c r="U1233" s="24">
        <f t="shared" si="308"/>
        <v>0</v>
      </c>
      <c r="V1233" s="69"/>
      <c r="W1233" s="24">
        <f t="shared" si="305"/>
        <v>0</v>
      </c>
      <c r="X1233" s="69"/>
      <c r="Y1233" s="24">
        <f t="shared" si="279"/>
        <v>0</v>
      </c>
      <c r="Z1233" s="189"/>
      <c r="AA1233" s="189">
        <f t="shared" si="326"/>
        <v>0</v>
      </c>
    </row>
    <row r="1234" spans="1:27" x14ac:dyDescent="0.25">
      <c r="A1234" s="16" t="s">
        <v>811</v>
      </c>
      <c r="B1234" s="20" t="s">
        <v>299</v>
      </c>
      <c r="C1234" s="20" t="s">
        <v>814</v>
      </c>
      <c r="D1234" s="21"/>
      <c r="E1234" s="27"/>
      <c r="F1234" s="63"/>
      <c r="G1234" s="24"/>
      <c r="H1234" s="69"/>
      <c r="I1234" s="24"/>
      <c r="J1234" s="69"/>
      <c r="K1234" s="24"/>
      <c r="L1234" s="18">
        <f>L1235</f>
        <v>383.7</v>
      </c>
      <c r="M1234" s="24">
        <f t="shared" si="324"/>
        <v>383.7</v>
      </c>
      <c r="N1234" s="18">
        <f>N1235</f>
        <v>0</v>
      </c>
      <c r="O1234" s="24">
        <f t="shared" si="325"/>
        <v>383.7</v>
      </c>
      <c r="P1234" s="18">
        <f>P1235</f>
        <v>0</v>
      </c>
      <c r="Q1234" s="24">
        <f t="shared" si="314"/>
        <v>383.7</v>
      </c>
      <c r="R1234" s="18">
        <f>R1235</f>
        <v>0</v>
      </c>
      <c r="S1234" s="24">
        <f t="shared" si="309"/>
        <v>383.7</v>
      </c>
      <c r="T1234" s="18">
        <f>T1235</f>
        <v>-56.1</v>
      </c>
      <c r="U1234" s="24">
        <f t="shared" si="308"/>
        <v>327.59999999999997</v>
      </c>
      <c r="V1234" s="18">
        <f>V1235</f>
        <v>0</v>
      </c>
      <c r="W1234" s="24">
        <f t="shared" si="305"/>
        <v>327.59999999999997</v>
      </c>
      <c r="X1234" s="18">
        <f>X1235</f>
        <v>0</v>
      </c>
      <c r="Y1234" s="24">
        <f t="shared" si="279"/>
        <v>327.59999999999997</v>
      </c>
    </row>
    <row r="1235" spans="1:27" x14ac:dyDescent="0.25">
      <c r="A1235" s="17" t="s">
        <v>574</v>
      </c>
      <c r="B1235" s="21" t="s">
        <v>299</v>
      </c>
      <c r="C1235" s="21" t="s">
        <v>814</v>
      </c>
      <c r="D1235" s="21" t="s">
        <v>81</v>
      </c>
      <c r="E1235" s="27"/>
      <c r="F1235" s="63"/>
      <c r="G1235" s="24"/>
      <c r="H1235" s="69"/>
      <c r="I1235" s="24"/>
      <c r="J1235" s="69"/>
      <c r="K1235" s="24"/>
      <c r="L1235" s="96">
        <v>383.7</v>
      </c>
      <c r="M1235" s="24">
        <f t="shared" si="324"/>
        <v>383.7</v>
      </c>
      <c r="N1235" s="69"/>
      <c r="O1235" s="24">
        <f t="shared" si="325"/>
        <v>383.7</v>
      </c>
      <c r="P1235" s="69"/>
      <c r="Q1235" s="24">
        <f t="shared" si="314"/>
        <v>383.7</v>
      </c>
      <c r="R1235" s="69"/>
      <c r="S1235" s="24">
        <f t="shared" si="309"/>
        <v>383.7</v>
      </c>
      <c r="T1235" s="63">
        <v>-56.1</v>
      </c>
      <c r="U1235" s="24">
        <f t="shared" si="308"/>
        <v>327.59999999999997</v>
      </c>
      <c r="V1235" s="69"/>
      <c r="W1235" s="24">
        <f t="shared" si="305"/>
        <v>327.59999999999997</v>
      </c>
      <c r="X1235" s="69"/>
      <c r="Y1235" s="24">
        <f t="shared" si="279"/>
        <v>327.59999999999997</v>
      </c>
      <c r="AA1235" s="189">
        <f>Y1235+Z1235</f>
        <v>327.59999999999997</v>
      </c>
    </row>
    <row r="1236" spans="1:27" ht="24.75" x14ac:dyDescent="0.25">
      <c r="A1236" s="22" t="s">
        <v>618</v>
      </c>
      <c r="B1236" s="23" t="s">
        <v>299</v>
      </c>
      <c r="C1236" s="23" t="s">
        <v>616</v>
      </c>
      <c r="D1236" s="23" t="s">
        <v>2</v>
      </c>
      <c r="E1236" s="24">
        <f>E1237</f>
        <v>300</v>
      </c>
      <c r="F1236" s="24">
        <f>F1237</f>
        <v>0</v>
      </c>
      <c r="G1236" s="24">
        <f t="shared" ref="G1236:G1352" si="327">E1236+F1236</f>
        <v>300</v>
      </c>
      <c r="H1236" s="24">
        <f>H1237</f>
        <v>0</v>
      </c>
      <c r="I1236" s="24">
        <f t="shared" si="322"/>
        <v>300</v>
      </c>
      <c r="J1236" s="24">
        <f>J1237</f>
        <v>0</v>
      </c>
      <c r="K1236" s="24">
        <f t="shared" si="323"/>
        <v>300</v>
      </c>
      <c r="L1236" s="24">
        <f>L1237</f>
        <v>0</v>
      </c>
      <c r="M1236" s="24">
        <f t="shared" si="324"/>
        <v>300</v>
      </c>
      <c r="N1236" s="24">
        <f>N1237</f>
        <v>0</v>
      </c>
      <c r="O1236" s="24">
        <f t="shared" si="325"/>
        <v>300</v>
      </c>
      <c r="P1236" s="24">
        <f>P1237</f>
        <v>0</v>
      </c>
      <c r="Q1236" s="24">
        <f t="shared" si="314"/>
        <v>300</v>
      </c>
      <c r="R1236" s="24">
        <f>R1237</f>
        <v>0</v>
      </c>
      <c r="S1236" s="24">
        <f t="shared" si="309"/>
        <v>300</v>
      </c>
      <c r="T1236" s="24">
        <f>T1237</f>
        <v>0</v>
      </c>
      <c r="U1236" s="24">
        <f t="shared" si="308"/>
        <v>300</v>
      </c>
      <c r="V1236" s="24">
        <f>V1237</f>
        <v>0</v>
      </c>
      <c r="W1236" s="24">
        <f t="shared" si="305"/>
        <v>300</v>
      </c>
      <c r="X1236" s="24">
        <f>X1237</f>
        <v>0</v>
      </c>
      <c r="Y1236" s="24">
        <f t="shared" si="279"/>
        <v>300</v>
      </c>
    </row>
    <row r="1237" spans="1:27" x14ac:dyDescent="0.25">
      <c r="A1237" s="25" t="s">
        <v>574</v>
      </c>
      <c r="B1237" s="26" t="s">
        <v>299</v>
      </c>
      <c r="C1237" s="26" t="s">
        <v>616</v>
      </c>
      <c r="D1237" s="26" t="s">
        <v>81</v>
      </c>
      <c r="E1237" s="27">
        <v>300</v>
      </c>
      <c r="F1237" s="27"/>
      <c r="G1237" s="24">
        <f t="shared" si="327"/>
        <v>300</v>
      </c>
      <c r="H1237" s="27"/>
      <c r="I1237" s="24">
        <f t="shared" si="322"/>
        <v>300</v>
      </c>
      <c r="J1237" s="27"/>
      <c r="K1237" s="24">
        <f t="shared" si="323"/>
        <v>300</v>
      </c>
      <c r="L1237" s="27"/>
      <c r="M1237" s="24">
        <f t="shared" si="324"/>
        <v>300</v>
      </c>
      <c r="N1237" s="27"/>
      <c r="O1237" s="24">
        <f t="shared" si="325"/>
        <v>300</v>
      </c>
      <c r="P1237" s="27"/>
      <c r="Q1237" s="24">
        <f t="shared" si="314"/>
        <v>300</v>
      </c>
      <c r="R1237" s="27"/>
      <c r="S1237" s="24">
        <f t="shared" si="309"/>
        <v>300</v>
      </c>
      <c r="T1237" s="69"/>
      <c r="U1237" s="24">
        <f t="shared" si="308"/>
        <v>300</v>
      </c>
      <c r="V1237" s="69"/>
      <c r="W1237" s="24">
        <f t="shared" si="305"/>
        <v>300</v>
      </c>
      <c r="X1237" s="69"/>
      <c r="Y1237" s="24">
        <f t="shared" si="279"/>
        <v>300</v>
      </c>
      <c r="AA1237" s="189">
        <f>Y1237+Z1237</f>
        <v>300</v>
      </c>
    </row>
    <row r="1238" spans="1:27" ht="36.75" x14ac:dyDescent="0.25">
      <c r="A1238" s="22" t="s">
        <v>619</v>
      </c>
      <c r="B1238" s="23" t="s">
        <v>299</v>
      </c>
      <c r="C1238" s="23" t="s">
        <v>636</v>
      </c>
      <c r="D1238" s="23" t="s">
        <v>2</v>
      </c>
      <c r="E1238" s="24">
        <f>E1239</f>
        <v>850</v>
      </c>
      <c r="F1238" s="24">
        <f>F1239</f>
        <v>0</v>
      </c>
      <c r="G1238" s="24">
        <f t="shared" si="327"/>
        <v>850</v>
      </c>
      <c r="H1238" s="24">
        <f>H1239</f>
        <v>0</v>
      </c>
      <c r="I1238" s="24">
        <f t="shared" si="322"/>
        <v>850</v>
      </c>
      <c r="J1238" s="24">
        <f>J1239</f>
        <v>0</v>
      </c>
      <c r="K1238" s="24">
        <f t="shared" si="323"/>
        <v>850</v>
      </c>
      <c r="L1238" s="24">
        <f>L1239</f>
        <v>300</v>
      </c>
      <c r="M1238" s="24">
        <f t="shared" si="324"/>
        <v>1150</v>
      </c>
      <c r="N1238" s="24">
        <f>N1239</f>
        <v>0</v>
      </c>
      <c r="O1238" s="24">
        <f t="shared" si="325"/>
        <v>1150</v>
      </c>
      <c r="P1238" s="24">
        <f>P1239</f>
        <v>0</v>
      </c>
      <c r="Q1238" s="24">
        <f t="shared" si="314"/>
        <v>1150</v>
      </c>
      <c r="R1238" s="24">
        <f>R1239</f>
        <v>0</v>
      </c>
      <c r="S1238" s="24">
        <f t="shared" si="309"/>
        <v>1150</v>
      </c>
      <c r="T1238" s="24">
        <f>T1239</f>
        <v>0</v>
      </c>
      <c r="U1238" s="24">
        <f t="shared" si="308"/>
        <v>1150</v>
      </c>
      <c r="V1238" s="24">
        <f>V1239</f>
        <v>-168</v>
      </c>
      <c r="W1238" s="24">
        <f t="shared" si="305"/>
        <v>982</v>
      </c>
      <c r="X1238" s="24">
        <f>X1239</f>
        <v>0</v>
      </c>
      <c r="Y1238" s="24">
        <f t="shared" si="279"/>
        <v>982</v>
      </c>
    </row>
    <row r="1239" spans="1:27" x14ac:dyDescent="0.25">
      <c r="A1239" s="25" t="s">
        <v>574</v>
      </c>
      <c r="B1239" s="26" t="s">
        <v>299</v>
      </c>
      <c r="C1239" s="26" t="s">
        <v>636</v>
      </c>
      <c r="D1239" s="26" t="s">
        <v>81</v>
      </c>
      <c r="E1239" s="27">
        <v>850</v>
      </c>
      <c r="F1239" s="27"/>
      <c r="G1239" s="24">
        <f t="shared" si="327"/>
        <v>850</v>
      </c>
      <c r="H1239" s="27"/>
      <c r="I1239" s="24">
        <f t="shared" si="322"/>
        <v>850</v>
      </c>
      <c r="J1239" s="27"/>
      <c r="K1239" s="24">
        <f t="shared" si="323"/>
        <v>850</v>
      </c>
      <c r="L1239" s="39">
        <v>300</v>
      </c>
      <c r="M1239" s="24">
        <f t="shared" si="324"/>
        <v>1150</v>
      </c>
      <c r="N1239" s="69"/>
      <c r="O1239" s="24">
        <f t="shared" si="325"/>
        <v>1150</v>
      </c>
      <c r="P1239" s="69"/>
      <c r="Q1239" s="24">
        <f t="shared" si="314"/>
        <v>1150</v>
      </c>
      <c r="R1239" s="69"/>
      <c r="S1239" s="24">
        <f t="shared" si="309"/>
        <v>1150</v>
      </c>
      <c r="T1239" s="69"/>
      <c r="U1239" s="24">
        <f t="shared" si="308"/>
        <v>1150</v>
      </c>
      <c r="V1239" s="94">
        <v>-168</v>
      </c>
      <c r="W1239" s="24">
        <f t="shared" si="305"/>
        <v>982</v>
      </c>
      <c r="X1239" s="69"/>
      <c r="Y1239" s="24">
        <f t="shared" si="279"/>
        <v>982</v>
      </c>
      <c r="AA1239" s="189">
        <f>Y1239+Z1239</f>
        <v>982</v>
      </c>
    </row>
    <row r="1240" spans="1:27" s="6" customFormat="1" ht="36.75" x14ac:dyDescent="0.25">
      <c r="A1240" s="22" t="s">
        <v>326</v>
      </c>
      <c r="B1240" s="23" t="s">
        <v>299</v>
      </c>
      <c r="C1240" s="23" t="s">
        <v>327</v>
      </c>
      <c r="D1240" s="23" t="s">
        <v>2</v>
      </c>
      <c r="E1240" s="24">
        <f>E1241</f>
        <v>1000</v>
      </c>
      <c r="F1240" s="24">
        <f>F1241</f>
        <v>0</v>
      </c>
      <c r="G1240" s="24">
        <f t="shared" si="327"/>
        <v>1000</v>
      </c>
      <c r="H1240" s="24">
        <f>H1241</f>
        <v>0</v>
      </c>
      <c r="I1240" s="24">
        <f t="shared" si="322"/>
        <v>1000</v>
      </c>
      <c r="J1240" s="24">
        <f>J1241</f>
        <v>0</v>
      </c>
      <c r="K1240" s="24">
        <f t="shared" si="323"/>
        <v>1000</v>
      </c>
      <c r="L1240" s="24">
        <f>L1241</f>
        <v>0</v>
      </c>
      <c r="M1240" s="24">
        <f t="shared" si="324"/>
        <v>1000</v>
      </c>
      <c r="N1240" s="24">
        <f>N1241+N1242</f>
        <v>55.6</v>
      </c>
      <c r="O1240" s="24">
        <f t="shared" si="325"/>
        <v>1055.5999999999999</v>
      </c>
      <c r="P1240" s="24">
        <f>P1241+P1242</f>
        <v>0</v>
      </c>
      <c r="Q1240" s="24">
        <f t="shared" si="314"/>
        <v>1055.5999999999999</v>
      </c>
      <c r="R1240" s="24">
        <f>R1241+R1242</f>
        <v>0</v>
      </c>
      <c r="S1240" s="24">
        <f t="shared" si="309"/>
        <v>1055.5999999999999</v>
      </c>
      <c r="T1240" s="24">
        <f>T1241+T1242</f>
        <v>-190.20000000000002</v>
      </c>
      <c r="U1240" s="24">
        <f t="shared" si="308"/>
        <v>865.39999999999986</v>
      </c>
      <c r="V1240" s="24">
        <f>V1241+V1242</f>
        <v>-74.400000000000006</v>
      </c>
      <c r="W1240" s="24">
        <f t="shared" si="305"/>
        <v>790.99999999999989</v>
      </c>
      <c r="X1240" s="24">
        <f>X1241+X1242</f>
        <v>0</v>
      </c>
      <c r="Y1240" s="24">
        <f t="shared" si="279"/>
        <v>790.99999999999989</v>
      </c>
      <c r="Z1240" s="189"/>
    </row>
    <row r="1241" spans="1:27" x14ac:dyDescent="0.25">
      <c r="A1241" s="25" t="s">
        <v>574</v>
      </c>
      <c r="B1241" s="26" t="s">
        <v>299</v>
      </c>
      <c r="C1241" s="26" t="s">
        <v>327</v>
      </c>
      <c r="D1241" s="26" t="s">
        <v>81</v>
      </c>
      <c r="E1241" s="27">
        <v>1000</v>
      </c>
      <c r="F1241" s="27"/>
      <c r="G1241" s="24">
        <f t="shared" si="327"/>
        <v>1000</v>
      </c>
      <c r="H1241" s="27"/>
      <c r="I1241" s="24">
        <f t="shared" si="322"/>
        <v>1000</v>
      </c>
      <c r="J1241" s="27"/>
      <c r="K1241" s="24">
        <f t="shared" si="323"/>
        <v>1000</v>
      </c>
      <c r="L1241" s="27"/>
      <c r="M1241" s="24">
        <f t="shared" si="324"/>
        <v>1000</v>
      </c>
      <c r="N1241" s="63">
        <v>-39.4</v>
      </c>
      <c r="O1241" s="24">
        <f t="shared" si="325"/>
        <v>960.6</v>
      </c>
      <c r="P1241" s="69"/>
      <c r="Q1241" s="24">
        <f t="shared" si="314"/>
        <v>960.6</v>
      </c>
      <c r="R1241" s="69"/>
      <c r="S1241" s="24">
        <f t="shared" si="309"/>
        <v>960.6</v>
      </c>
      <c r="T1241" s="63">
        <v>-181.9</v>
      </c>
      <c r="U1241" s="24">
        <f t="shared" si="308"/>
        <v>778.7</v>
      </c>
      <c r="V1241" s="94">
        <v>-60.9</v>
      </c>
      <c r="W1241" s="24">
        <f t="shared" si="305"/>
        <v>717.80000000000007</v>
      </c>
      <c r="X1241" s="69"/>
      <c r="Y1241" s="24">
        <f t="shared" si="279"/>
        <v>717.80000000000007</v>
      </c>
      <c r="AA1241" s="189">
        <f t="shared" ref="AA1241:AA1242" si="328">Y1241+Z1241</f>
        <v>717.80000000000007</v>
      </c>
    </row>
    <row r="1242" spans="1:27" x14ac:dyDescent="0.25">
      <c r="A1242" s="25" t="s">
        <v>321</v>
      </c>
      <c r="B1242" s="21" t="s">
        <v>299</v>
      </c>
      <c r="C1242" s="21" t="s">
        <v>327</v>
      </c>
      <c r="D1242" s="21" t="s">
        <v>322</v>
      </c>
      <c r="E1242" s="27"/>
      <c r="F1242" s="27"/>
      <c r="G1242" s="24"/>
      <c r="H1242" s="27"/>
      <c r="I1242" s="24"/>
      <c r="J1242" s="27"/>
      <c r="K1242" s="24"/>
      <c r="L1242" s="27"/>
      <c r="M1242" s="24"/>
      <c r="N1242" s="63">
        <v>95</v>
      </c>
      <c r="O1242" s="24">
        <f t="shared" si="325"/>
        <v>95</v>
      </c>
      <c r="P1242" s="69"/>
      <c r="Q1242" s="24">
        <f t="shared" si="314"/>
        <v>95</v>
      </c>
      <c r="R1242" s="69"/>
      <c r="S1242" s="24">
        <f t="shared" si="309"/>
        <v>95</v>
      </c>
      <c r="T1242" s="63">
        <v>-8.3000000000000007</v>
      </c>
      <c r="U1242" s="24">
        <f t="shared" si="308"/>
        <v>86.7</v>
      </c>
      <c r="V1242" s="94">
        <v>-13.5</v>
      </c>
      <c r="W1242" s="24">
        <f t="shared" si="305"/>
        <v>73.2</v>
      </c>
      <c r="X1242" s="69"/>
      <c r="Y1242" s="24">
        <f t="shared" si="279"/>
        <v>73.2</v>
      </c>
      <c r="AA1242" s="189">
        <f t="shared" si="328"/>
        <v>73.2</v>
      </c>
    </row>
    <row r="1243" spans="1:27" ht="24.75" x14ac:dyDescent="0.25">
      <c r="A1243" s="22" t="s">
        <v>642</v>
      </c>
      <c r="B1243" s="23" t="s">
        <v>299</v>
      </c>
      <c r="C1243" s="23" t="s">
        <v>641</v>
      </c>
      <c r="D1243" s="23" t="s">
        <v>2</v>
      </c>
      <c r="E1243" s="24">
        <f>E1244+E1245</f>
        <v>14700</v>
      </c>
      <c r="F1243" s="24">
        <f>F1244+F1245</f>
        <v>0</v>
      </c>
      <c r="G1243" s="24">
        <f t="shared" si="327"/>
        <v>14700</v>
      </c>
      <c r="H1243" s="24">
        <f>H1244+H1245</f>
        <v>0</v>
      </c>
      <c r="I1243" s="24">
        <f t="shared" si="322"/>
        <v>14700</v>
      </c>
      <c r="J1243" s="24">
        <f>J1244+J1245</f>
        <v>0</v>
      </c>
      <c r="K1243" s="24">
        <f t="shared" si="323"/>
        <v>14700</v>
      </c>
      <c r="L1243" s="24">
        <f>L1244+L1245</f>
        <v>-11138.6</v>
      </c>
      <c r="M1243" s="24">
        <f t="shared" si="324"/>
        <v>3561.3999999999996</v>
      </c>
      <c r="N1243" s="24">
        <f>N1244+N1245</f>
        <v>0</v>
      </c>
      <c r="O1243" s="24">
        <f t="shared" si="325"/>
        <v>3561.3999999999996</v>
      </c>
      <c r="P1243" s="24">
        <f>P1244+P1245</f>
        <v>0</v>
      </c>
      <c r="Q1243" s="24">
        <f t="shared" si="314"/>
        <v>3561.3999999999996</v>
      </c>
      <c r="R1243" s="24">
        <f>R1244+R1245</f>
        <v>0</v>
      </c>
      <c r="S1243" s="24">
        <f t="shared" si="309"/>
        <v>3561.3999999999996</v>
      </c>
      <c r="T1243" s="24">
        <f>T1244+T1245</f>
        <v>0</v>
      </c>
      <c r="U1243" s="24">
        <f t="shared" si="308"/>
        <v>3561.3999999999996</v>
      </c>
      <c r="V1243" s="24">
        <f>V1244+V1245</f>
        <v>0</v>
      </c>
      <c r="W1243" s="24">
        <f t="shared" si="305"/>
        <v>3561.3999999999996</v>
      </c>
      <c r="X1243" s="24">
        <f>X1244+X1245</f>
        <v>0</v>
      </c>
      <c r="Y1243" s="24">
        <f t="shared" si="279"/>
        <v>3561.3999999999996</v>
      </c>
    </row>
    <row r="1244" spans="1:27" s="6" customFormat="1" x14ac:dyDescent="0.25">
      <c r="A1244" s="25" t="s">
        <v>574</v>
      </c>
      <c r="B1244" s="26" t="s">
        <v>299</v>
      </c>
      <c r="C1244" s="26" t="s">
        <v>641</v>
      </c>
      <c r="D1244" s="26" t="s">
        <v>81</v>
      </c>
      <c r="E1244" s="27">
        <v>14200</v>
      </c>
      <c r="F1244" s="27"/>
      <c r="G1244" s="24">
        <f t="shared" si="327"/>
        <v>14200</v>
      </c>
      <c r="H1244" s="27"/>
      <c r="I1244" s="24">
        <f t="shared" si="322"/>
        <v>14200</v>
      </c>
      <c r="J1244" s="27"/>
      <c r="K1244" s="24">
        <f t="shared" si="323"/>
        <v>14200</v>
      </c>
      <c r="L1244" s="107">
        <v>-10800</v>
      </c>
      <c r="M1244" s="24">
        <f t="shared" si="324"/>
        <v>3400</v>
      </c>
      <c r="N1244" s="69"/>
      <c r="O1244" s="24">
        <f t="shared" si="325"/>
        <v>3400</v>
      </c>
      <c r="P1244" s="69"/>
      <c r="Q1244" s="24">
        <f t="shared" si="314"/>
        <v>3400</v>
      </c>
      <c r="R1244" s="69"/>
      <c r="S1244" s="24">
        <f t="shared" si="309"/>
        <v>3400</v>
      </c>
      <c r="T1244" s="69"/>
      <c r="U1244" s="24">
        <f t="shared" si="308"/>
        <v>3400</v>
      </c>
      <c r="V1244" s="69"/>
      <c r="W1244" s="24">
        <f t="shared" si="305"/>
        <v>3400</v>
      </c>
      <c r="X1244" s="69"/>
      <c r="Y1244" s="24">
        <f t="shared" si="279"/>
        <v>3400</v>
      </c>
      <c r="Z1244" s="189"/>
      <c r="AA1244" s="189">
        <f t="shared" ref="AA1244:AA1245" si="329">Y1244+Z1244</f>
        <v>3400</v>
      </c>
    </row>
    <row r="1245" spans="1:27" x14ac:dyDescent="0.25">
      <c r="A1245" s="25" t="s">
        <v>321</v>
      </c>
      <c r="B1245" s="26" t="s">
        <v>299</v>
      </c>
      <c r="C1245" s="26" t="s">
        <v>641</v>
      </c>
      <c r="D1245" s="26" t="s">
        <v>322</v>
      </c>
      <c r="E1245" s="27">
        <v>500</v>
      </c>
      <c r="F1245" s="27"/>
      <c r="G1245" s="24">
        <f t="shared" si="327"/>
        <v>500</v>
      </c>
      <c r="H1245" s="27"/>
      <c r="I1245" s="24">
        <f t="shared" si="322"/>
        <v>500</v>
      </c>
      <c r="J1245" s="27"/>
      <c r="K1245" s="24">
        <f t="shared" si="323"/>
        <v>500</v>
      </c>
      <c r="L1245" s="107">
        <v>-338.6</v>
      </c>
      <c r="M1245" s="24">
        <f t="shared" si="324"/>
        <v>161.39999999999998</v>
      </c>
      <c r="N1245" s="69"/>
      <c r="O1245" s="24">
        <f t="shared" si="325"/>
        <v>161.39999999999998</v>
      </c>
      <c r="P1245" s="69"/>
      <c r="Q1245" s="24">
        <f t="shared" si="314"/>
        <v>161.39999999999998</v>
      </c>
      <c r="R1245" s="69"/>
      <c r="S1245" s="24">
        <f t="shared" si="309"/>
        <v>161.39999999999998</v>
      </c>
      <c r="T1245" s="69"/>
      <c r="U1245" s="24">
        <f t="shared" si="308"/>
        <v>161.39999999999998</v>
      </c>
      <c r="V1245" s="69"/>
      <c r="W1245" s="24">
        <f t="shared" si="305"/>
        <v>161.39999999999998</v>
      </c>
      <c r="X1245" s="69"/>
      <c r="Y1245" s="24">
        <f t="shared" si="279"/>
        <v>161.39999999999998</v>
      </c>
      <c r="AA1245" s="189">
        <f t="shared" si="329"/>
        <v>161.39999999999998</v>
      </c>
    </row>
    <row r="1246" spans="1:27" ht="48.75" x14ac:dyDescent="0.25">
      <c r="A1246" s="88" t="s">
        <v>771</v>
      </c>
      <c r="B1246" s="20" t="s">
        <v>299</v>
      </c>
      <c r="C1246" s="20" t="s">
        <v>772</v>
      </c>
      <c r="D1246" s="21"/>
      <c r="E1246" s="27"/>
      <c r="F1246" s="27"/>
      <c r="G1246" s="24"/>
      <c r="H1246" s="27"/>
      <c r="I1246" s="24"/>
      <c r="J1246" s="47">
        <f>J1247</f>
        <v>84684.7</v>
      </c>
      <c r="K1246" s="24">
        <f t="shared" si="323"/>
        <v>84684.7</v>
      </c>
      <c r="L1246" s="47">
        <f>L1247</f>
        <v>141294</v>
      </c>
      <c r="M1246" s="24">
        <f t="shared" si="324"/>
        <v>225978.7</v>
      </c>
      <c r="N1246" s="47">
        <f>N1247</f>
        <v>0</v>
      </c>
      <c r="O1246" s="24">
        <f t="shared" si="325"/>
        <v>225978.7</v>
      </c>
      <c r="P1246" s="47">
        <f>P1247</f>
        <v>0</v>
      </c>
      <c r="Q1246" s="24">
        <f t="shared" si="314"/>
        <v>225978.7</v>
      </c>
      <c r="R1246" s="47">
        <f>R1247</f>
        <v>0</v>
      </c>
      <c r="S1246" s="24">
        <f t="shared" si="309"/>
        <v>225978.7</v>
      </c>
      <c r="T1246" s="47">
        <f>T1247</f>
        <v>0</v>
      </c>
      <c r="U1246" s="24">
        <f t="shared" si="308"/>
        <v>225978.7</v>
      </c>
      <c r="V1246" s="47">
        <f>V1247</f>
        <v>0</v>
      </c>
      <c r="W1246" s="24">
        <f t="shared" si="305"/>
        <v>225978.7</v>
      </c>
      <c r="X1246" s="47">
        <f>X1247</f>
        <v>-37606.800000000003</v>
      </c>
      <c r="Y1246" s="24">
        <f t="shared" si="279"/>
        <v>188371.90000000002</v>
      </c>
    </row>
    <row r="1247" spans="1:27" ht="15" customHeight="1" x14ac:dyDescent="0.25">
      <c r="A1247" s="17" t="s">
        <v>572</v>
      </c>
      <c r="B1247" s="21" t="s">
        <v>299</v>
      </c>
      <c r="C1247" s="21" t="s">
        <v>772</v>
      </c>
      <c r="D1247" s="21" t="s">
        <v>241</v>
      </c>
      <c r="E1247" s="27"/>
      <c r="F1247" s="27"/>
      <c r="G1247" s="24"/>
      <c r="H1247" s="27"/>
      <c r="I1247" s="24"/>
      <c r="J1247" s="43">
        <v>84684.7</v>
      </c>
      <c r="K1247" s="24">
        <f t="shared" si="323"/>
        <v>84684.7</v>
      </c>
      <c r="L1247" s="43">
        <v>141294</v>
      </c>
      <c r="M1247" s="24">
        <f t="shared" si="324"/>
        <v>225978.7</v>
      </c>
      <c r="N1247" s="69"/>
      <c r="O1247" s="24">
        <f t="shared" si="325"/>
        <v>225978.7</v>
      </c>
      <c r="P1247" s="69"/>
      <c r="Q1247" s="24">
        <f t="shared" si="314"/>
        <v>225978.7</v>
      </c>
      <c r="R1247" s="69"/>
      <c r="S1247" s="24">
        <f t="shared" si="309"/>
        <v>225978.7</v>
      </c>
      <c r="T1247" s="69"/>
      <c r="U1247" s="24">
        <f t="shared" si="308"/>
        <v>225978.7</v>
      </c>
      <c r="V1247" s="69"/>
      <c r="W1247" s="24">
        <f t="shared" si="305"/>
        <v>225978.7</v>
      </c>
      <c r="X1247" s="43">
        <v>-37606.800000000003</v>
      </c>
      <c r="Y1247" s="24">
        <f t="shared" si="279"/>
        <v>188371.90000000002</v>
      </c>
      <c r="AA1247" s="189">
        <f>Y1247+Z1247</f>
        <v>188371.90000000002</v>
      </c>
    </row>
    <row r="1248" spans="1:27" ht="48.75" x14ac:dyDescent="0.25">
      <c r="A1248" s="16" t="s">
        <v>888</v>
      </c>
      <c r="B1248" s="20" t="s">
        <v>299</v>
      </c>
      <c r="C1248" s="20" t="s">
        <v>889</v>
      </c>
      <c r="D1248" s="21"/>
      <c r="E1248" s="27"/>
      <c r="F1248" s="27"/>
      <c r="G1248" s="24"/>
      <c r="H1248" s="27"/>
      <c r="I1248" s="24"/>
      <c r="J1248" s="43"/>
      <c r="K1248" s="24"/>
      <c r="L1248" s="43"/>
      <c r="M1248" s="24"/>
      <c r="N1248" s="47">
        <f>N1250</f>
        <v>29182</v>
      </c>
      <c r="O1248" s="24">
        <f t="shared" si="325"/>
        <v>29182</v>
      </c>
      <c r="P1248" s="47">
        <f>P1250</f>
        <v>0</v>
      </c>
      <c r="Q1248" s="24">
        <f t="shared" si="314"/>
        <v>29182</v>
      </c>
      <c r="R1248" s="47">
        <f>R1250</f>
        <v>0</v>
      </c>
      <c r="S1248" s="24">
        <f t="shared" si="309"/>
        <v>29182</v>
      </c>
      <c r="T1248" s="47">
        <f>T1250+T1249</f>
        <v>1.4</v>
      </c>
      <c r="U1248" s="24">
        <f t="shared" si="308"/>
        <v>29183.4</v>
      </c>
      <c r="V1248" s="47">
        <f>V1250+V1249</f>
        <v>0</v>
      </c>
      <c r="W1248" s="24">
        <f t="shared" si="305"/>
        <v>29183.4</v>
      </c>
      <c r="X1248" s="47">
        <f>X1250+X1249</f>
        <v>14150.7</v>
      </c>
      <c r="Y1248" s="24">
        <f t="shared" si="279"/>
        <v>43334.100000000006</v>
      </c>
    </row>
    <row r="1249" spans="1:27" ht="24.75" x14ac:dyDescent="0.25">
      <c r="A1249" s="17" t="s">
        <v>572</v>
      </c>
      <c r="B1249" s="21" t="s">
        <v>299</v>
      </c>
      <c r="C1249" s="21" t="s">
        <v>889</v>
      </c>
      <c r="D1249" s="21" t="s">
        <v>241</v>
      </c>
      <c r="E1249" s="27"/>
      <c r="F1249" s="27"/>
      <c r="G1249" s="24"/>
      <c r="H1249" s="27"/>
      <c r="I1249" s="24"/>
      <c r="J1249" s="43"/>
      <c r="K1249" s="24"/>
      <c r="L1249" s="43"/>
      <c r="M1249" s="24"/>
      <c r="N1249" s="47"/>
      <c r="O1249" s="24"/>
      <c r="P1249" s="47"/>
      <c r="Q1249" s="24"/>
      <c r="R1249" s="47"/>
      <c r="S1249" s="24"/>
      <c r="T1249" s="39">
        <v>1.4</v>
      </c>
      <c r="U1249" s="24">
        <f t="shared" ref="U1249" si="330">S1249+T1249</f>
        <v>1.4</v>
      </c>
      <c r="V1249" s="69"/>
      <c r="W1249" s="24">
        <f t="shared" si="305"/>
        <v>1.4</v>
      </c>
      <c r="X1249" s="69"/>
      <c r="Y1249" s="24">
        <f t="shared" si="279"/>
        <v>1.4</v>
      </c>
      <c r="AA1249" s="189">
        <f t="shared" ref="AA1249:AA1250" si="331">Y1249+Z1249</f>
        <v>1.4</v>
      </c>
    </row>
    <row r="1250" spans="1:27" ht="24.75" x14ac:dyDescent="0.25">
      <c r="A1250" s="17" t="s">
        <v>572</v>
      </c>
      <c r="B1250" s="21" t="s">
        <v>299</v>
      </c>
      <c r="C1250" s="21" t="s">
        <v>889</v>
      </c>
      <c r="D1250" s="21" t="s">
        <v>241</v>
      </c>
      <c r="E1250" s="27"/>
      <c r="F1250" s="27"/>
      <c r="G1250" s="24"/>
      <c r="H1250" s="27"/>
      <c r="I1250" s="24"/>
      <c r="J1250" s="43"/>
      <c r="K1250" s="24"/>
      <c r="L1250" s="43"/>
      <c r="M1250" s="24"/>
      <c r="N1250" s="43">
        <v>29182</v>
      </c>
      <c r="O1250" s="24">
        <f t="shared" si="325"/>
        <v>29182</v>
      </c>
      <c r="P1250" s="69"/>
      <c r="Q1250" s="24">
        <f t="shared" si="314"/>
        <v>29182</v>
      </c>
      <c r="R1250" s="69"/>
      <c r="S1250" s="24">
        <f t="shared" si="309"/>
        <v>29182</v>
      </c>
      <c r="T1250" s="69"/>
      <c r="U1250" s="24">
        <f t="shared" si="308"/>
        <v>29182</v>
      </c>
      <c r="V1250" s="69"/>
      <c r="W1250" s="24">
        <f t="shared" si="305"/>
        <v>29182</v>
      </c>
      <c r="X1250" s="43">
        <v>14150.7</v>
      </c>
      <c r="Y1250" s="24">
        <f t="shared" si="279"/>
        <v>43332.7</v>
      </c>
      <c r="AA1250" s="189">
        <f t="shared" si="331"/>
        <v>43332.7</v>
      </c>
    </row>
    <row r="1251" spans="1:27" ht="24.75" x14ac:dyDescent="0.25">
      <c r="A1251" s="45" t="s">
        <v>621</v>
      </c>
      <c r="B1251" s="20" t="s">
        <v>299</v>
      </c>
      <c r="C1251" s="54" t="s">
        <v>60</v>
      </c>
      <c r="D1251" s="21"/>
      <c r="E1251" s="27"/>
      <c r="F1251" s="27"/>
      <c r="G1251" s="24"/>
      <c r="H1251" s="18">
        <f>H1252</f>
        <v>71.7</v>
      </c>
      <c r="I1251" s="24">
        <f t="shared" si="322"/>
        <v>71.7</v>
      </c>
      <c r="J1251" s="18">
        <f>J1252</f>
        <v>0</v>
      </c>
      <c r="K1251" s="24">
        <f t="shared" si="323"/>
        <v>71.7</v>
      </c>
      <c r="L1251" s="18">
        <f>L1252</f>
        <v>143.1</v>
      </c>
      <c r="M1251" s="24">
        <f t="shared" si="324"/>
        <v>214.8</v>
      </c>
      <c r="N1251" s="18">
        <f>N1252</f>
        <v>1197</v>
      </c>
      <c r="O1251" s="24">
        <f t="shared" si="325"/>
        <v>1411.8</v>
      </c>
      <c r="P1251" s="18">
        <f>P1252</f>
        <v>0</v>
      </c>
      <c r="Q1251" s="24">
        <f t="shared" si="314"/>
        <v>1411.8</v>
      </c>
      <c r="R1251" s="18">
        <f>R1252</f>
        <v>0</v>
      </c>
      <c r="S1251" s="24">
        <f t="shared" si="309"/>
        <v>1411.8</v>
      </c>
      <c r="T1251" s="18">
        <f>T1252</f>
        <v>0</v>
      </c>
      <c r="U1251" s="24">
        <f t="shared" si="308"/>
        <v>1411.8</v>
      </c>
      <c r="V1251" s="18">
        <f>V1252</f>
        <v>0</v>
      </c>
      <c r="W1251" s="24">
        <f t="shared" si="305"/>
        <v>1411.8</v>
      </c>
      <c r="X1251" s="18">
        <f>X1252</f>
        <v>6.3</v>
      </c>
      <c r="Y1251" s="24">
        <f t="shared" si="279"/>
        <v>1418.1</v>
      </c>
    </row>
    <row r="1252" spans="1:27" ht="24.75" x14ac:dyDescent="0.25">
      <c r="A1252" s="22" t="s">
        <v>90</v>
      </c>
      <c r="B1252" s="20" t="s">
        <v>299</v>
      </c>
      <c r="C1252" s="23" t="s">
        <v>91</v>
      </c>
      <c r="D1252" s="21"/>
      <c r="E1252" s="27"/>
      <c r="F1252" s="27"/>
      <c r="G1252" s="24"/>
      <c r="H1252" s="18">
        <f>H1255</f>
        <v>71.7</v>
      </c>
      <c r="I1252" s="24">
        <f t="shared" si="322"/>
        <v>71.7</v>
      </c>
      <c r="J1252" s="18">
        <f>J1255</f>
        <v>0</v>
      </c>
      <c r="K1252" s="24">
        <f t="shared" si="323"/>
        <v>71.7</v>
      </c>
      <c r="L1252" s="18">
        <f>L1255</f>
        <v>143.1</v>
      </c>
      <c r="M1252" s="24">
        <f t="shared" si="324"/>
        <v>214.8</v>
      </c>
      <c r="N1252" s="18">
        <f>N1255+N1253+N1262</f>
        <v>1197</v>
      </c>
      <c r="O1252" s="24">
        <f t="shared" si="325"/>
        <v>1411.8</v>
      </c>
      <c r="P1252" s="18">
        <f>P1255+P1253+P1262</f>
        <v>0</v>
      </c>
      <c r="Q1252" s="24">
        <f t="shared" si="314"/>
        <v>1411.8</v>
      </c>
      <c r="R1252" s="18">
        <f>R1255+R1253+R1262</f>
        <v>0</v>
      </c>
      <c r="S1252" s="24">
        <f t="shared" si="309"/>
        <v>1411.8</v>
      </c>
      <c r="T1252" s="18">
        <f>T1255+T1253+T1262</f>
        <v>0</v>
      </c>
      <c r="U1252" s="24">
        <f t="shared" si="308"/>
        <v>1411.8</v>
      </c>
      <c r="V1252" s="18">
        <f>V1255+V1253+V1262</f>
        <v>0</v>
      </c>
      <c r="W1252" s="24">
        <f t="shared" si="305"/>
        <v>1411.8</v>
      </c>
      <c r="X1252" s="18">
        <f>X1255+X1253+X1262</f>
        <v>6.3</v>
      </c>
      <c r="Y1252" s="24">
        <f t="shared" si="279"/>
        <v>1418.1</v>
      </c>
    </row>
    <row r="1253" spans="1:27" ht="24.75" hidden="1" x14ac:dyDescent="0.25">
      <c r="A1253" s="22" t="s">
        <v>849</v>
      </c>
      <c r="B1253" s="55" t="s">
        <v>299</v>
      </c>
      <c r="C1253" s="75" t="s">
        <v>848</v>
      </c>
      <c r="D1253" s="56"/>
      <c r="E1253" s="106"/>
      <c r="F1253" s="106"/>
      <c r="G1253" s="104"/>
      <c r="H1253" s="50"/>
      <c r="I1253" s="104"/>
      <c r="J1253" s="50"/>
      <c r="K1253" s="104"/>
      <c r="L1253" s="50"/>
      <c r="M1253" s="104"/>
      <c r="N1253" s="50">
        <f>N1254</f>
        <v>0</v>
      </c>
      <c r="O1253" s="24">
        <f t="shared" si="325"/>
        <v>0</v>
      </c>
      <c r="P1253" s="50">
        <f>P1254</f>
        <v>0</v>
      </c>
      <c r="Q1253" s="24">
        <f t="shared" si="314"/>
        <v>0</v>
      </c>
      <c r="R1253" s="50">
        <f>R1254</f>
        <v>0</v>
      </c>
      <c r="S1253" s="24">
        <f t="shared" si="309"/>
        <v>0</v>
      </c>
      <c r="T1253" s="50">
        <f>T1254</f>
        <v>0</v>
      </c>
      <c r="U1253" s="24">
        <f t="shared" si="308"/>
        <v>0</v>
      </c>
      <c r="V1253" s="50">
        <f>V1254</f>
        <v>0</v>
      </c>
      <c r="W1253" s="24">
        <f t="shared" si="305"/>
        <v>0</v>
      </c>
      <c r="X1253" s="50">
        <f>X1254</f>
        <v>0</v>
      </c>
      <c r="Y1253" s="24">
        <f t="shared" si="279"/>
        <v>0</v>
      </c>
    </row>
    <row r="1254" spans="1:27" hidden="1" x14ac:dyDescent="0.25">
      <c r="A1254" s="121" t="s">
        <v>574</v>
      </c>
      <c r="B1254" s="21" t="s">
        <v>299</v>
      </c>
      <c r="C1254" s="76" t="s">
        <v>848</v>
      </c>
      <c r="D1254" s="21" t="s">
        <v>81</v>
      </c>
      <c r="E1254" s="27"/>
      <c r="F1254" s="27"/>
      <c r="G1254" s="24"/>
      <c r="H1254" s="18"/>
      <c r="I1254" s="24"/>
      <c r="J1254" s="18"/>
      <c r="K1254" s="24"/>
      <c r="L1254" s="18"/>
      <c r="M1254" s="24"/>
      <c r="N1254" s="19"/>
      <c r="O1254" s="24">
        <f t="shared" si="325"/>
        <v>0</v>
      </c>
      <c r="P1254" s="19"/>
      <c r="Q1254" s="24">
        <f t="shared" si="314"/>
        <v>0</v>
      </c>
      <c r="R1254" s="19"/>
      <c r="S1254" s="24">
        <f t="shared" si="309"/>
        <v>0</v>
      </c>
      <c r="T1254" s="69"/>
      <c r="U1254" s="24">
        <f t="shared" si="308"/>
        <v>0</v>
      </c>
      <c r="V1254" s="69"/>
      <c r="W1254" s="24">
        <f t="shared" si="305"/>
        <v>0</v>
      </c>
      <c r="X1254" s="69"/>
      <c r="Y1254" s="24">
        <f t="shared" si="279"/>
        <v>0</v>
      </c>
      <c r="AA1254" s="189">
        <f>Y1254+Z1254</f>
        <v>0</v>
      </c>
    </row>
    <row r="1255" spans="1:27" x14ac:dyDescent="0.25">
      <c r="A1255" s="22" t="s">
        <v>718</v>
      </c>
      <c r="B1255" s="20" t="s">
        <v>299</v>
      </c>
      <c r="C1255" s="23" t="s">
        <v>791</v>
      </c>
      <c r="D1255" s="21"/>
      <c r="E1255" s="27"/>
      <c r="F1255" s="27"/>
      <c r="G1255" s="24"/>
      <c r="H1255" s="18">
        <f>H1258</f>
        <v>71.7</v>
      </c>
      <c r="I1255" s="24">
        <f t="shared" si="322"/>
        <v>71.7</v>
      </c>
      <c r="J1255" s="18">
        <f>J1258</f>
        <v>0</v>
      </c>
      <c r="K1255" s="24">
        <f t="shared" si="323"/>
        <v>71.7</v>
      </c>
      <c r="L1255" s="18">
        <f>L1258</f>
        <v>143.1</v>
      </c>
      <c r="M1255" s="24">
        <f t="shared" si="324"/>
        <v>214.8</v>
      </c>
      <c r="N1255" s="18">
        <f>N1258+N1256</f>
        <v>1117</v>
      </c>
      <c r="O1255" s="24">
        <f t="shared" si="325"/>
        <v>1331.8</v>
      </c>
      <c r="P1255" s="18">
        <f>P1258+P1256</f>
        <v>0</v>
      </c>
      <c r="Q1255" s="24">
        <f t="shared" si="314"/>
        <v>1331.8</v>
      </c>
      <c r="R1255" s="18">
        <f>R1258+R1256</f>
        <v>0</v>
      </c>
      <c r="S1255" s="24">
        <f t="shared" si="309"/>
        <v>1331.8</v>
      </c>
      <c r="T1255" s="18">
        <f>T1258+T1256</f>
        <v>0</v>
      </c>
      <c r="U1255" s="24">
        <f t="shared" si="308"/>
        <v>1331.8</v>
      </c>
      <c r="V1255" s="18">
        <f>V1258+V1256</f>
        <v>0</v>
      </c>
      <c r="W1255" s="24">
        <f t="shared" si="305"/>
        <v>1331.8</v>
      </c>
      <c r="X1255" s="18">
        <f>X1258+X1256+X1260</f>
        <v>6.3</v>
      </c>
      <c r="Y1255" s="24">
        <f t="shared" si="279"/>
        <v>1338.1</v>
      </c>
    </row>
    <row r="1256" spans="1:27" x14ac:dyDescent="0.25">
      <c r="A1256" s="115" t="s">
        <v>748</v>
      </c>
      <c r="B1256" s="55" t="s">
        <v>299</v>
      </c>
      <c r="C1256" s="75" t="s">
        <v>863</v>
      </c>
      <c r="D1256" s="21"/>
      <c r="E1256" s="27"/>
      <c r="F1256" s="27"/>
      <c r="G1256" s="24"/>
      <c r="H1256" s="18"/>
      <c r="I1256" s="24"/>
      <c r="J1256" s="18"/>
      <c r="K1256" s="24"/>
      <c r="L1256" s="18"/>
      <c r="M1256" s="24"/>
      <c r="N1256" s="85">
        <f>N1257</f>
        <v>639.9</v>
      </c>
      <c r="O1256" s="24">
        <f t="shared" si="325"/>
        <v>639.9</v>
      </c>
      <c r="P1256" s="85">
        <f>P1257</f>
        <v>0</v>
      </c>
      <c r="Q1256" s="24">
        <f t="shared" si="314"/>
        <v>639.9</v>
      </c>
      <c r="R1256" s="85">
        <f>R1257</f>
        <v>0</v>
      </c>
      <c r="S1256" s="24">
        <f t="shared" si="309"/>
        <v>639.9</v>
      </c>
      <c r="T1256" s="85">
        <f>T1257</f>
        <v>0</v>
      </c>
      <c r="U1256" s="24">
        <f t="shared" si="308"/>
        <v>639.9</v>
      </c>
      <c r="V1256" s="85">
        <f>V1257</f>
        <v>0</v>
      </c>
      <c r="W1256" s="24">
        <f t="shared" si="305"/>
        <v>639.9</v>
      </c>
      <c r="X1256" s="85">
        <f>X1257</f>
        <v>0</v>
      </c>
      <c r="Y1256" s="24">
        <f t="shared" si="279"/>
        <v>639.9</v>
      </c>
    </row>
    <row r="1257" spans="1:27" x14ac:dyDescent="0.25">
      <c r="A1257" s="64" t="s">
        <v>574</v>
      </c>
      <c r="B1257" s="56" t="s">
        <v>299</v>
      </c>
      <c r="C1257" s="81" t="s">
        <v>863</v>
      </c>
      <c r="D1257" s="21" t="s">
        <v>81</v>
      </c>
      <c r="E1257" s="27"/>
      <c r="F1257" s="27"/>
      <c r="G1257" s="24"/>
      <c r="H1257" s="18"/>
      <c r="I1257" s="24"/>
      <c r="J1257" s="18"/>
      <c r="K1257" s="24"/>
      <c r="L1257" s="18"/>
      <c r="M1257" s="24"/>
      <c r="N1257" s="91">
        <f>198.6+441.3</f>
        <v>639.9</v>
      </c>
      <c r="O1257" s="24">
        <f t="shared" si="325"/>
        <v>639.9</v>
      </c>
      <c r="P1257" s="84"/>
      <c r="Q1257" s="24">
        <f t="shared" si="314"/>
        <v>639.9</v>
      </c>
      <c r="R1257" s="84"/>
      <c r="S1257" s="24">
        <f t="shared" si="309"/>
        <v>639.9</v>
      </c>
      <c r="T1257" s="84"/>
      <c r="U1257" s="24">
        <f t="shared" si="308"/>
        <v>639.9</v>
      </c>
      <c r="V1257" s="84"/>
      <c r="W1257" s="24">
        <f t="shared" si="305"/>
        <v>639.9</v>
      </c>
      <c r="X1257" s="84"/>
      <c r="Y1257" s="24">
        <f t="shared" si="279"/>
        <v>639.9</v>
      </c>
      <c r="AA1257" s="189">
        <f>Y1257+Z1257</f>
        <v>639.9</v>
      </c>
    </row>
    <row r="1258" spans="1:27" s="114" customFormat="1" ht="24" x14ac:dyDescent="0.25">
      <c r="A1258" s="72" t="s">
        <v>1260</v>
      </c>
      <c r="B1258" s="20" t="s">
        <v>299</v>
      </c>
      <c r="C1258" s="54" t="s">
        <v>1261</v>
      </c>
      <c r="D1258" s="21"/>
      <c r="E1258" s="27"/>
      <c r="F1258" s="27"/>
      <c r="G1258" s="24"/>
      <c r="H1258" s="18">
        <f>H1259</f>
        <v>71.7</v>
      </c>
      <c r="I1258" s="24">
        <f t="shared" si="322"/>
        <v>71.7</v>
      </c>
      <c r="J1258" s="18">
        <f>J1259</f>
        <v>0</v>
      </c>
      <c r="K1258" s="24">
        <f t="shared" si="323"/>
        <v>71.7</v>
      </c>
      <c r="L1258" s="18">
        <f>L1259</f>
        <v>143.1</v>
      </c>
      <c r="M1258" s="24">
        <f t="shared" si="324"/>
        <v>214.8</v>
      </c>
      <c r="N1258" s="18">
        <f>N1259</f>
        <v>477.1</v>
      </c>
      <c r="O1258" s="24">
        <f t="shared" si="325"/>
        <v>691.90000000000009</v>
      </c>
      <c r="P1258" s="18">
        <f>P1259</f>
        <v>0</v>
      </c>
      <c r="Q1258" s="24">
        <f t="shared" si="314"/>
        <v>691.90000000000009</v>
      </c>
      <c r="R1258" s="18">
        <f>R1259</f>
        <v>0</v>
      </c>
      <c r="S1258" s="24">
        <f t="shared" si="309"/>
        <v>691.90000000000009</v>
      </c>
      <c r="T1258" s="18">
        <f>T1259</f>
        <v>0</v>
      </c>
      <c r="U1258" s="24">
        <f t="shared" si="308"/>
        <v>691.90000000000009</v>
      </c>
      <c r="V1258" s="18">
        <f>V1259</f>
        <v>0</v>
      </c>
      <c r="W1258" s="24">
        <f t="shared" si="305"/>
        <v>691.90000000000009</v>
      </c>
      <c r="X1258" s="18">
        <f>X1259</f>
        <v>0</v>
      </c>
      <c r="Y1258" s="24">
        <f t="shared" si="279"/>
        <v>691.90000000000009</v>
      </c>
      <c r="Z1258" s="193"/>
    </row>
    <row r="1259" spans="1:27" x14ac:dyDescent="0.25">
      <c r="A1259" s="30" t="s">
        <v>574</v>
      </c>
      <c r="B1259" s="21" t="s">
        <v>299</v>
      </c>
      <c r="C1259" s="76" t="s">
        <v>1261</v>
      </c>
      <c r="D1259" s="21" t="s">
        <v>81</v>
      </c>
      <c r="E1259" s="27"/>
      <c r="F1259" s="27"/>
      <c r="G1259" s="24"/>
      <c r="H1259" s="39">
        <v>71.7</v>
      </c>
      <c r="I1259" s="24">
        <f t="shared" si="322"/>
        <v>71.7</v>
      </c>
      <c r="J1259" s="69"/>
      <c r="K1259" s="24">
        <f t="shared" si="323"/>
        <v>71.7</v>
      </c>
      <c r="L1259" s="94">
        <v>143.1</v>
      </c>
      <c r="M1259" s="24">
        <f t="shared" si="324"/>
        <v>214.8</v>
      </c>
      <c r="N1259" s="120">
        <v>477.1</v>
      </c>
      <c r="O1259" s="24">
        <f t="shared" si="325"/>
        <v>691.90000000000009</v>
      </c>
      <c r="P1259" s="69"/>
      <c r="Q1259" s="24">
        <f t="shared" si="314"/>
        <v>691.90000000000009</v>
      </c>
      <c r="R1259" s="69"/>
      <c r="S1259" s="24">
        <f t="shared" si="309"/>
        <v>691.90000000000009</v>
      </c>
      <c r="T1259" s="69"/>
      <c r="U1259" s="24">
        <f t="shared" si="308"/>
        <v>691.90000000000009</v>
      </c>
      <c r="V1259" s="69"/>
      <c r="W1259" s="24">
        <f t="shared" si="305"/>
        <v>691.90000000000009</v>
      </c>
      <c r="X1259" s="69"/>
      <c r="Y1259" s="24">
        <f t="shared" si="279"/>
        <v>691.90000000000009</v>
      </c>
      <c r="AA1259" s="189">
        <f>Y1259+Z1259</f>
        <v>691.90000000000009</v>
      </c>
    </row>
    <row r="1260" spans="1:27" ht="24.75" x14ac:dyDescent="0.25">
      <c r="A1260" s="40" t="s">
        <v>790</v>
      </c>
      <c r="B1260" s="20" t="s">
        <v>299</v>
      </c>
      <c r="C1260" s="54" t="s">
        <v>791</v>
      </c>
      <c r="D1260" s="21"/>
      <c r="E1260" s="27"/>
      <c r="F1260" s="27"/>
      <c r="G1260" s="24"/>
      <c r="H1260" s="39"/>
      <c r="I1260" s="24"/>
      <c r="J1260" s="69"/>
      <c r="K1260" s="24"/>
      <c r="L1260" s="94"/>
      <c r="M1260" s="24"/>
      <c r="N1260" s="120"/>
      <c r="O1260" s="24"/>
      <c r="P1260" s="69"/>
      <c r="Q1260" s="24"/>
      <c r="R1260" s="69"/>
      <c r="S1260" s="24"/>
      <c r="T1260" s="69"/>
      <c r="U1260" s="24"/>
      <c r="V1260" s="69"/>
      <c r="W1260" s="24"/>
      <c r="X1260" s="47">
        <f>X1261</f>
        <v>6.3</v>
      </c>
      <c r="Y1260" s="24">
        <f t="shared" ref="Y1260:Y1261" si="332">W1260+X1260</f>
        <v>6.3</v>
      </c>
      <c r="AA1260" s="189"/>
    </row>
    <row r="1261" spans="1:27" x14ac:dyDescent="0.25">
      <c r="A1261" s="30" t="s">
        <v>574</v>
      </c>
      <c r="B1261" s="21" t="s">
        <v>299</v>
      </c>
      <c r="C1261" s="76" t="s">
        <v>791</v>
      </c>
      <c r="D1261" s="21" t="s">
        <v>81</v>
      </c>
      <c r="E1261" s="27"/>
      <c r="F1261" s="27"/>
      <c r="G1261" s="24"/>
      <c r="H1261" s="39"/>
      <c r="I1261" s="24"/>
      <c r="J1261" s="69"/>
      <c r="K1261" s="24"/>
      <c r="L1261" s="94"/>
      <c r="M1261" s="24"/>
      <c r="N1261" s="120"/>
      <c r="O1261" s="24"/>
      <c r="P1261" s="69"/>
      <c r="Q1261" s="24"/>
      <c r="R1261" s="69"/>
      <c r="S1261" s="24"/>
      <c r="T1261" s="69"/>
      <c r="U1261" s="24"/>
      <c r="V1261" s="69"/>
      <c r="W1261" s="24"/>
      <c r="X1261" s="39">
        <v>6.3</v>
      </c>
      <c r="Y1261" s="24">
        <f t="shared" si="332"/>
        <v>6.3</v>
      </c>
      <c r="Z1261" s="61">
        <v>6.3</v>
      </c>
      <c r="AA1261" s="189">
        <f>Y1261+Z1261</f>
        <v>12.6</v>
      </c>
    </row>
    <row r="1262" spans="1:27" ht="24.75" x14ac:dyDescent="0.25">
      <c r="A1262" s="100" t="s">
        <v>895</v>
      </c>
      <c r="B1262" s="20" t="s">
        <v>299</v>
      </c>
      <c r="C1262" s="54" t="s">
        <v>897</v>
      </c>
      <c r="D1262" s="26"/>
      <c r="E1262" s="27"/>
      <c r="F1262" s="27"/>
      <c r="G1262" s="24"/>
      <c r="H1262" s="39"/>
      <c r="I1262" s="24"/>
      <c r="J1262" s="69"/>
      <c r="K1262" s="24"/>
      <c r="L1262" s="94"/>
      <c r="M1262" s="24"/>
      <c r="N1262" s="85">
        <f>N1263</f>
        <v>80</v>
      </c>
      <c r="O1262" s="24">
        <f t="shared" si="325"/>
        <v>80</v>
      </c>
      <c r="P1262" s="85">
        <f>P1263</f>
        <v>0</v>
      </c>
      <c r="Q1262" s="24">
        <f t="shared" si="314"/>
        <v>80</v>
      </c>
      <c r="R1262" s="85">
        <f>R1263</f>
        <v>0</v>
      </c>
      <c r="S1262" s="24">
        <f t="shared" si="309"/>
        <v>80</v>
      </c>
      <c r="T1262" s="85">
        <f>T1263</f>
        <v>0</v>
      </c>
      <c r="U1262" s="24">
        <f t="shared" si="308"/>
        <v>80</v>
      </c>
      <c r="V1262" s="85">
        <f>V1263</f>
        <v>0</v>
      </c>
      <c r="W1262" s="24">
        <f t="shared" si="305"/>
        <v>80</v>
      </c>
      <c r="X1262" s="85">
        <f>X1263</f>
        <v>0</v>
      </c>
      <c r="Y1262" s="24">
        <f t="shared" si="279"/>
        <v>80</v>
      </c>
    </row>
    <row r="1263" spans="1:27" x14ac:dyDescent="0.25">
      <c r="A1263" s="62" t="s">
        <v>574</v>
      </c>
      <c r="B1263" s="21" t="s">
        <v>299</v>
      </c>
      <c r="C1263" s="76" t="s">
        <v>897</v>
      </c>
      <c r="D1263" s="26" t="s">
        <v>81</v>
      </c>
      <c r="E1263" s="27"/>
      <c r="F1263" s="27"/>
      <c r="G1263" s="24"/>
      <c r="H1263" s="39"/>
      <c r="I1263" s="24"/>
      <c r="J1263" s="69"/>
      <c r="K1263" s="24"/>
      <c r="L1263" s="94"/>
      <c r="M1263" s="24"/>
      <c r="N1263" s="90">
        <v>80</v>
      </c>
      <c r="O1263" s="24">
        <f t="shared" si="325"/>
        <v>80</v>
      </c>
      <c r="P1263" s="84"/>
      <c r="Q1263" s="24">
        <f t="shared" si="314"/>
        <v>80</v>
      </c>
      <c r="R1263" s="84"/>
      <c r="S1263" s="24">
        <f t="shared" si="309"/>
        <v>80</v>
      </c>
      <c r="T1263" s="84"/>
      <c r="U1263" s="24">
        <f t="shared" si="308"/>
        <v>80</v>
      </c>
      <c r="V1263" s="84"/>
      <c r="W1263" s="24">
        <f t="shared" si="305"/>
        <v>80</v>
      </c>
      <c r="X1263" s="84"/>
      <c r="Y1263" s="24">
        <f t="shared" si="279"/>
        <v>80</v>
      </c>
      <c r="AA1263" s="189">
        <f>Y1263+Z1263</f>
        <v>80</v>
      </c>
    </row>
    <row r="1264" spans="1:27" x14ac:dyDescent="0.25">
      <c r="A1264" s="45" t="s">
        <v>8</v>
      </c>
      <c r="B1264" s="20" t="s">
        <v>299</v>
      </c>
      <c r="C1264" s="54" t="s">
        <v>9</v>
      </c>
      <c r="D1264" s="21"/>
      <c r="E1264" s="27"/>
      <c r="F1264" s="27"/>
      <c r="G1264" s="24"/>
      <c r="H1264" s="39"/>
      <c r="I1264" s="24"/>
      <c r="J1264" s="69"/>
      <c r="K1264" s="24"/>
      <c r="L1264" s="85">
        <f>L1265</f>
        <v>30</v>
      </c>
      <c r="M1264" s="24">
        <f t="shared" si="324"/>
        <v>30</v>
      </c>
      <c r="N1264" s="85">
        <f>N1265</f>
        <v>0</v>
      </c>
      <c r="O1264" s="24">
        <f t="shared" si="325"/>
        <v>30</v>
      </c>
      <c r="P1264" s="85">
        <f>P1265</f>
        <v>0</v>
      </c>
      <c r="Q1264" s="24">
        <f t="shared" si="314"/>
        <v>30</v>
      </c>
      <c r="R1264" s="85">
        <f>R1265</f>
        <v>0</v>
      </c>
      <c r="S1264" s="24">
        <f t="shared" si="309"/>
        <v>30</v>
      </c>
      <c r="T1264" s="85">
        <f>T1265</f>
        <v>0</v>
      </c>
      <c r="U1264" s="24">
        <f t="shared" si="308"/>
        <v>30</v>
      </c>
      <c r="V1264" s="85">
        <f>V1265</f>
        <v>0</v>
      </c>
      <c r="W1264" s="24">
        <f t="shared" si="305"/>
        <v>30</v>
      </c>
      <c r="X1264" s="85">
        <f>X1265</f>
        <v>0</v>
      </c>
      <c r="Y1264" s="24">
        <f t="shared" si="279"/>
        <v>30</v>
      </c>
    </row>
    <row r="1265" spans="1:27" ht="24.75" x14ac:dyDescent="0.25">
      <c r="A1265" s="22" t="s">
        <v>677</v>
      </c>
      <c r="B1265" s="20" t="s">
        <v>299</v>
      </c>
      <c r="C1265" s="41" t="s">
        <v>679</v>
      </c>
      <c r="D1265" s="21"/>
      <c r="E1265" s="27"/>
      <c r="F1265" s="27"/>
      <c r="G1265" s="24"/>
      <c r="H1265" s="39"/>
      <c r="I1265" s="24"/>
      <c r="J1265" s="69"/>
      <c r="K1265" s="24"/>
      <c r="L1265" s="85">
        <f>L1266</f>
        <v>30</v>
      </c>
      <c r="M1265" s="24">
        <f t="shared" si="324"/>
        <v>30</v>
      </c>
      <c r="N1265" s="85">
        <f>N1266</f>
        <v>0</v>
      </c>
      <c r="O1265" s="24">
        <f t="shared" si="325"/>
        <v>30</v>
      </c>
      <c r="P1265" s="85">
        <f>P1266</f>
        <v>0</v>
      </c>
      <c r="Q1265" s="24">
        <f t="shared" si="314"/>
        <v>30</v>
      </c>
      <c r="R1265" s="85">
        <f>R1266</f>
        <v>0</v>
      </c>
      <c r="S1265" s="24">
        <f t="shared" si="309"/>
        <v>30</v>
      </c>
      <c r="T1265" s="85">
        <f>T1266</f>
        <v>0</v>
      </c>
      <c r="U1265" s="24">
        <f t="shared" si="308"/>
        <v>30</v>
      </c>
      <c r="V1265" s="85">
        <f>V1266</f>
        <v>0</v>
      </c>
      <c r="W1265" s="24">
        <f t="shared" si="305"/>
        <v>30</v>
      </c>
      <c r="X1265" s="85">
        <f>X1266</f>
        <v>0</v>
      </c>
      <c r="Y1265" s="24">
        <f t="shared" si="279"/>
        <v>30</v>
      </c>
    </row>
    <row r="1266" spans="1:27" x14ac:dyDescent="0.25">
      <c r="A1266" s="30" t="s">
        <v>574</v>
      </c>
      <c r="B1266" s="21" t="s">
        <v>299</v>
      </c>
      <c r="C1266" s="42" t="s">
        <v>679</v>
      </c>
      <c r="D1266" s="21" t="s">
        <v>81</v>
      </c>
      <c r="E1266" s="27"/>
      <c r="F1266" s="27"/>
      <c r="G1266" s="24"/>
      <c r="H1266" s="39"/>
      <c r="I1266" s="24"/>
      <c r="J1266" s="69"/>
      <c r="K1266" s="24"/>
      <c r="L1266" s="91">
        <v>30</v>
      </c>
      <c r="M1266" s="24">
        <f t="shared" si="324"/>
        <v>30</v>
      </c>
      <c r="N1266" s="84"/>
      <c r="O1266" s="24">
        <f t="shared" si="325"/>
        <v>30</v>
      </c>
      <c r="P1266" s="84"/>
      <c r="Q1266" s="24">
        <f t="shared" si="314"/>
        <v>30</v>
      </c>
      <c r="R1266" s="84"/>
      <c r="S1266" s="24">
        <f t="shared" si="309"/>
        <v>30</v>
      </c>
      <c r="T1266" s="84"/>
      <c r="U1266" s="24">
        <f t="shared" si="308"/>
        <v>30</v>
      </c>
      <c r="V1266" s="84"/>
      <c r="W1266" s="24">
        <f t="shared" si="305"/>
        <v>30</v>
      </c>
      <c r="X1266" s="84"/>
      <c r="Y1266" s="24">
        <f t="shared" si="279"/>
        <v>30</v>
      </c>
      <c r="AA1266" s="189">
        <f>Y1266+Z1266</f>
        <v>30</v>
      </c>
    </row>
    <row r="1267" spans="1:27" x14ac:dyDescent="0.25">
      <c r="A1267" s="22" t="s">
        <v>328</v>
      </c>
      <c r="B1267" s="23" t="s">
        <v>329</v>
      </c>
      <c r="C1267" s="23" t="s">
        <v>2</v>
      </c>
      <c r="D1267" s="23" t="s">
        <v>2</v>
      </c>
      <c r="E1267" s="24">
        <f>E1268</f>
        <v>964907.2</v>
      </c>
      <c r="F1267" s="24">
        <f>F1268</f>
        <v>431856.10000000003</v>
      </c>
      <c r="G1267" s="24">
        <f t="shared" si="327"/>
        <v>1396763.3</v>
      </c>
      <c r="H1267" s="24">
        <f>H1268+H1369+H1365</f>
        <v>37811.100000000006</v>
      </c>
      <c r="I1267" s="24">
        <f t="shared" si="322"/>
        <v>1434574.4000000001</v>
      </c>
      <c r="J1267" s="24">
        <f>J1268+J1369+J1365</f>
        <v>1863.9</v>
      </c>
      <c r="K1267" s="24">
        <f t="shared" si="323"/>
        <v>1436438.3</v>
      </c>
      <c r="L1267" s="24">
        <f>L1268+L1369+L1365+L1400</f>
        <v>35241.200000000004</v>
      </c>
      <c r="M1267" s="24">
        <f t="shared" si="324"/>
        <v>1471679.5</v>
      </c>
      <c r="N1267" s="24">
        <f>N1268+N1369+N1365+N1400</f>
        <v>-9886.3999999999978</v>
      </c>
      <c r="O1267" s="24">
        <f t="shared" si="325"/>
        <v>1461793.1</v>
      </c>
      <c r="P1267" s="24">
        <f>P1268+P1369+P1365+P1400</f>
        <v>-9738.4</v>
      </c>
      <c r="Q1267" s="24">
        <f t="shared" si="314"/>
        <v>1452054.7000000002</v>
      </c>
      <c r="R1267" s="24">
        <f>R1268+R1369+R1365+R1400</f>
        <v>2689.4</v>
      </c>
      <c r="S1267" s="24">
        <f t="shared" si="309"/>
        <v>1454744.1</v>
      </c>
      <c r="T1267" s="24">
        <f>T1268+T1369+T1365+T1400</f>
        <v>21426.799999999996</v>
      </c>
      <c r="U1267" s="24">
        <f t="shared" si="308"/>
        <v>1476170.9000000001</v>
      </c>
      <c r="V1267" s="24">
        <f>V1268+V1369+V1365+V1400</f>
        <v>-3594</v>
      </c>
      <c r="W1267" s="24">
        <f t="shared" si="305"/>
        <v>1472576.9000000001</v>
      </c>
      <c r="X1267" s="24">
        <f>X1268+X1369+X1365+X1400</f>
        <v>57162.399999999994</v>
      </c>
      <c r="Y1267" s="24">
        <f t="shared" si="279"/>
        <v>1529739.3</v>
      </c>
    </row>
    <row r="1268" spans="1:27" x14ac:dyDescent="0.25">
      <c r="A1268" s="22" t="s">
        <v>75</v>
      </c>
      <c r="B1268" s="23" t="s">
        <v>329</v>
      </c>
      <c r="C1268" s="23" t="s">
        <v>76</v>
      </c>
      <c r="D1268" s="23" t="s">
        <v>2</v>
      </c>
      <c r="E1268" s="24">
        <f>E1269+E1291+E1298+E1346</f>
        <v>964907.2</v>
      </c>
      <c r="F1268" s="24">
        <f>F1269+F1291+F1298+F1346</f>
        <v>431856.10000000003</v>
      </c>
      <c r="G1268" s="24">
        <f t="shared" si="327"/>
        <v>1396763.3</v>
      </c>
      <c r="H1268" s="24">
        <f>H1269+H1291+H1298+H1346</f>
        <v>34418.900000000009</v>
      </c>
      <c r="I1268" s="24">
        <f t="shared" si="322"/>
        <v>1431182.2</v>
      </c>
      <c r="J1268" s="24">
        <f>J1269+J1291+J1298+J1346</f>
        <v>1800.9</v>
      </c>
      <c r="K1268" s="24">
        <f t="shared" si="323"/>
        <v>1432983.0999999999</v>
      </c>
      <c r="L1268" s="24">
        <f>L1269+L1291+L1298+L1346</f>
        <v>35639.4</v>
      </c>
      <c r="M1268" s="24">
        <f t="shared" si="324"/>
        <v>1468622.4999999998</v>
      </c>
      <c r="N1268" s="24">
        <f>N1269+N1291+N1298+N1346</f>
        <v>-7353.3999999999978</v>
      </c>
      <c r="O1268" s="24">
        <f t="shared" si="325"/>
        <v>1461269.0999999999</v>
      </c>
      <c r="P1268" s="24">
        <f>P1269+P1291+P1298+P1346</f>
        <v>-9703.1999999999989</v>
      </c>
      <c r="Q1268" s="24">
        <f t="shared" si="314"/>
        <v>1451565.9</v>
      </c>
      <c r="R1268" s="24">
        <f>R1269+R1291+R1298+R1346</f>
        <v>2944.8</v>
      </c>
      <c r="S1268" s="24">
        <f t="shared" si="309"/>
        <v>1454510.7</v>
      </c>
      <c r="T1268" s="24">
        <f>T1269+T1291+T1298+T1346</f>
        <v>20441.999999999996</v>
      </c>
      <c r="U1268" s="24">
        <f t="shared" si="308"/>
        <v>1474952.7</v>
      </c>
      <c r="V1268" s="24">
        <f>V1269+V1291+V1298+V1346</f>
        <v>-3594</v>
      </c>
      <c r="W1268" s="24">
        <f t="shared" si="305"/>
        <v>1471358.7</v>
      </c>
      <c r="X1268" s="24">
        <f>X1269+X1291+X1298+X1346</f>
        <v>57149.7</v>
      </c>
      <c r="Y1268" s="24">
        <f t="shared" si="279"/>
        <v>1528508.4</v>
      </c>
    </row>
    <row r="1269" spans="1:27" x14ac:dyDescent="0.25">
      <c r="A1269" s="22" t="s">
        <v>300</v>
      </c>
      <c r="B1269" s="23" t="s">
        <v>329</v>
      </c>
      <c r="C1269" s="23" t="s">
        <v>301</v>
      </c>
      <c r="D1269" s="23" t="s">
        <v>2</v>
      </c>
      <c r="E1269" s="24">
        <f>E1270+E1284</f>
        <v>541798.9</v>
      </c>
      <c r="F1269" s="24">
        <f>F1270+F1284</f>
        <v>0</v>
      </c>
      <c r="G1269" s="24">
        <f t="shared" si="327"/>
        <v>541798.9</v>
      </c>
      <c r="H1269" s="24">
        <f>H1270+H1284</f>
        <v>47853.8</v>
      </c>
      <c r="I1269" s="24">
        <f t="shared" si="322"/>
        <v>589652.70000000007</v>
      </c>
      <c r="J1269" s="24">
        <f>J1270+J1284+J1288</f>
        <v>2118.4</v>
      </c>
      <c r="K1269" s="24">
        <f t="shared" si="323"/>
        <v>591771.10000000009</v>
      </c>
      <c r="L1269" s="24">
        <f>L1270+L1284+L1288</f>
        <v>13443.5</v>
      </c>
      <c r="M1269" s="24">
        <f t="shared" si="324"/>
        <v>605214.60000000009</v>
      </c>
      <c r="N1269" s="24">
        <f>N1270+N1284+N1288</f>
        <v>29359</v>
      </c>
      <c r="O1269" s="24">
        <f t="shared" si="325"/>
        <v>634573.60000000009</v>
      </c>
      <c r="P1269" s="24">
        <f>P1270+P1284+P1288</f>
        <v>-3284.2</v>
      </c>
      <c r="Q1269" s="24">
        <f t="shared" si="314"/>
        <v>631289.40000000014</v>
      </c>
      <c r="R1269" s="24">
        <f>R1270+R1284+R1288</f>
        <v>5252</v>
      </c>
      <c r="S1269" s="24">
        <f t="shared" si="309"/>
        <v>636541.40000000014</v>
      </c>
      <c r="T1269" s="24">
        <f>T1270+T1284+T1288</f>
        <v>21703.399999999998</v>
      </c>
      <c r="U1269" s="24">
        <f t="shared" si="308"/>
        <v>658244.80000000016</v>
      </c>
      <c r="V1269" s="24">
        <f>V1270+V1284+V1288</f>
        <v>-4430</v>
      </c>
      <c r="W1269" s="24">
        <f t="shared" si="305"/>
        <v>653814.80000000016</v>
      </c>
      <c r="X1269" s="24">
        <f>X1270+X1284+X1288</f>
        <v>60015.199999999997</v>
      </c>
      <c r="Y1269" s="24">
        <f t="shared" si="279"/>
        <v>713830.00000000012</v>
      </c>
    </row>
    <row r="1270" spans="1:27" x14ac:dyDescent="0.25">
      <c r="A1270" s="22" t="s">
        <v>330</v>
      </c>
      <c r="B1270" s="23" t="s">
        <v>329</v>
      </c>
      <c r="C1270" s="23" t="s">
        <v>331</v>
      </c>
      <c r="D1270" s="23" t="s">
        <v>2</v>
      </c>
      <c r="E1270" s="24">
        <f>E1274+E1280</f>
        <v>534298.9</v>
      </c>
      <c r="F1270" s="24">
        <f>F1274+F1280</f>
        <v>0</v>
      </c>
      <c r="G1270" s="24">
        <f t="shared" si="327"/>
        <v>534298.9</v>
      </c>
      <c r="H1270" s="24">
        <f>H1274+H1280+H1277</f>
        <v>47853.8</v>
      </c>
      <c r="I1270" s="24">
        <f t="shared" si="322"/>
        <v>582152.70000000007</v>
      </c>
      <c r="J1270" s="24">
        <f>J1274+J1280+J1277</f>
        <v>0</v>
      </c>
      <c r="K1270" s="24">
        <f t="shared" si="323"/>
        <v>582152.70000000007</v>
      </c>
      <c r="L1270" s="24">
        <f>L1274+L1280+L1277</f>
        <v>13443.5</v>
      </c>
      <c r="M1270" s="24">
        <f t="shared" si="324"/>
        <v>595596.20000000007</v>
      </c>
      <c r="N1270" s="24">
        <f>N1274+N1280+N1277</f>
        <v>29359</v>
      </c>
      <c r="O1270" s="24">
        <f t="shared" si="325"/>
        <v>624955.20000000007</v>
      </c>
      <c r="P1270" s="24">
        <f>P1274+P1280+P1277</f>
        <v>-4901.5</v>
      </c>
      <c r="Q1270" s="24">
        <f t="shared" si="314"/>
        <v>620053.70000000007</v>
      </c>
      <c r="R1270" s="24">
        <f>R1274+R1280+R1277+R1271</f>
        <v>5252</v>
      </c>
      <c r="S1270" s="24">
        <f t="shared" si="309"/>
        <v>625305.70000000007</v>
      </c>
      <c r="T1270" s="24">
        <f>T1274+T1280+T1277+T1271</f>
        <v>21703.399999999998</v>
      </c>
      <c r="U1270" s="24">
        <f t="shared" si="308"/>
        <v>647009.10000000009</v>
      </c>
      <c r="V1270" s="24">
        <f>V1274+V1280+V1277+V1271</f>
        <v>-4430</v>
      </c>
      <c r="W1270" s="24">
        <f t="shared" si="305"/>
        <v>642579.10000000009</v>
      </c>
      <c r="X1270" s="24">
        <f>X1274+X1280+X1277+X1271</f>
        <v>59403.5</v>
      </c>
      <c r="Y1270" s="24">
        <f t="shared" si="279"/>
        <v>701982.60000000009</v>
      </c>
    </row>
    <row r="1271" spans="1:27" x14ac:dyDescent="0.25">
      <c r="A1271" s="16" t="s">
        <v>769</v>
      </c>
      <c r="B1271" s="20" t="s">
        <v>329</v>
      </c>
      <c r="C1271" s="20" t="s">
        <v>1244</v>
      </c>
      <c r="D1271" s="20" t="s">
        <v>2</v>
      </c>
      <c r="E1271" s="24"/>
      <c r="F1271" s="24"/>
      <c r="G1271" s="24"/>
      <c r="H1271" s="24"/>
      <c r="I1271" s="24"/>
      <c r="J1271" s="24"/>
      <c r="K1271" s="24"/>
      <c r="L1271" s="24"/>
      <c r="M1271" s="24"/>
      <c r="N1271" s="24"/>
      <c r="O1271" s="24"/>
      <c r="P1271" s="24"/>
      <c r="Q1271" s="24"/>
      <c r="R1271" s="18">
        <f>R1272+R1273</f>
        <v>859.30000000000007</v>
      </c>
      <c r="S1271" s="24">
        <f t="shared" si="309"/>
        <v>859.30000000000007</v>
      </c>
      <c r="T1271" s="18">
        <f>T1272+T1273</f>
        <v>0</v>
      </c>
      <c r="U1271" s="24">
        <f t="shared" si="308"/>
        <v>859.30000000000007</v>
      </c>
      <c r="V1271" s="18">
        <f>V1272+V1273</f>
        <v>0</v>
      </c>
      <c r="W1271" s="24">
        <f t="shared" si="305"/>
        <v>859.30000000000007</v>
      </c>
      <c r="X1271" s="18">
        <f>X1272+X1273</f>
        <v>0</v>
      </c>
      <c r="Y1271" s="24">
        <f t="shared" si="279"/>
        <v>859.30000000000007</v>
      </c>
    </row>
    <row r="1272" spans="1:27" x14ac:dyDescent="0.25">
      <c r="A1272" s="30" t="s">
        <v>574</v>
      </c>
      <c r="B1272" s="21" t="s">
        <v>329</v>
      </c>
      <c r="C1272" s="21" t="s">
        <v>1244</v>
      </c>
      <c r="D1272" s="21" t="s">
        <v>81</v>
      </c>
      <c r="E1272" s="24"/>
      <c r="F1272" s="24"/>
      <c r="G1272" s="24"/>
      <c r="H1272" s="24"/>
      <c r="I1272" s="24"/>
      <c r="J1272" s="24"/>
      <c r="K1272" s="24"/>
      <c r="L1272" s="24"/>
      <c r="M1272" s="24"/>
      <c r="N1272" s="24"/>
      <c r="O1272" s="24"/>
      <c r="P1272" s="24"/>
      <c r="Q1272" s="24"/>
      <c r="R1272" s="43">
        <v>781.2</v>
      </c>
      <c r="S1272" s="24">
        <f t="shared" si="309"/>
        <v>781.2</v>
      </c>
      <c r="T1272" s="69"/>
      <c r="U1272" s="24">
        <f t="shared" si="308"/>
        <v>781.2</v>
      </c>
      <c r="V1272" s="69"/>
      <c r="W1272" s="24">
        <f t="shared" si="305"/>
        <v>781.2</v>
      </c>
      <c r="X1272" s="69"/>
      <c r="Y1272" s="24">
        <f t="shared" si="279"/>
        <v>781.2</v>
      </c>
      <c r="AA1272" s="189">
        <f t="shared" ref="AA1272:AA1273" si="333">Y1272+Z1272</f>
        <v>781.2</v>
      </c>
    </row>
    <row r="1273" spans="1:27" x14ac:dyDescent="0.25">
      <c r="A1273" s="25" t="s">
        <v>321</v>
      </c>
      <c r="B1273" s="21" t="s">
        <v>329</v>
      </c>
      <c r="C1273" s="21" t="s">
        <v>1244</v>
      </c>
      <c r="D1273" s="21" t="s">
        <v>322</v>
      </c>
      <c r="E1273" s="24"/>
      <c r="F1273" s="24"/>
      <c r="G1273" s="24"/>
      <c r="H1273" s="24"/>
      <c r="I1273" s="24"/>
      <c r="J1273" s="24"/>
      <c r="K1273" s="24"/>
      <c r="L1273" s="24"/>
      <c r="M1273" s="24"/>
      <c r="N1273" s="24"/>
      <c r="O1273" s="24"/>
      <c r="P1273" s="24"/>
      <c r="Q1273" s="24"/>
      <c r="R1273" s="43">
        <v>78.099999999999994</v>
      </c>
      <c r="S1273" s="24">
        <f t="shared" si="309"/>
        <v>78.099999999999994</v>
      </c>
      <c r="T1273" s="69"/>
      <c r="U1273" s="24">
        <f t="shared" si="308"/>
        <v>78.099999999999994</v>
      </c>
      <c r="V1273" s="69"/>
      <c r="W1273" s="24">
        <f t="shared" si="305"/>
        <v>78.099999999999994</v>
      </c>
      <c r="X1273" s="69"/>
      <c r="Y1273" s="24">
        <f t="shared" si="279"/>
        <v>78.099999999999994</v>
      </c>
      <c r="AA1273" s="189">
        <f t="shared" si="333"/>
        <v>78.099999999999994</v>
      </c>
    </row>
    <row r="1274" spans="1:27" s="6" customFormat="1" ht="60.75" x14ac:dyDescent="0.25">
      <c r="A1274" s="22" t="s">
        <v>333</v>
      </c>
      <c r="B1274" s="23" t="s">
        <v>329</v>
      </c>
      <c r="C1274" s="23" t="s">
        <v>334</v>
      </c>
      <c r="D1274" s="23" t="s">
        <v>2</v>
      </c>
      <c r="E1274" s="24">
        <f>E1275+E1276</f>
        <v>483369.3</v>
      </c>
      <c r="F1274" s="24">
        <f>F1275+F1276</f>
        <v>0</v>
      </c>
      <c r="G1274" s="24">
        <f t="shared" si="327"/>
        <v>483369.3</v>
      </c>
      <c r="H1274" s="24">
        <f>H1275+H1276</f>
        <v>0</v>
      </c>
      <c r="I1274" s="24">
        <f t="shared" si="322"/>
        <v>483369.3</v>
      </c>
      <c r="J1274" s="24">
        <f>J1275+J1276</f>
        <v>0</v>
      </c>
      <c r="K1274" s="24">
        <f t="shared" si="323"/>
        <v>483369.3</v>
      </c>
      <c r="L1274" s="24">
        <f>L1275+L1276</f>
        <v>0</v>
      </c>
      <c r="M1274" s="24">
        <f t="shared" si="324"/>
        <v>483369.3</v>
      </c>
      <c r="N1274" s="24">
        <f>N1275+N1276</f>
        <v>26981.8</v>
      </c>
      <c r="O1274" s="24">
        <f t="shared" si="325"/>
        <v>510351.1</v>
      </c>
      <c r="P1274" s="24">
        <f>P1275+P1276</f>
        <v>0</v>
      </c>
      <c r="Q1274" s="24">
        <f t="shared" si="314"/>
        <v>510351.1</v>
      </c>
      <c r="R1274" s="24">
        <f>R1275+R1276</f>
        <v>0</v>
      </c>
      <c r="S1274" s="24">
        <f t="shared" si="309"/>
        <v>510351.1</v>
      </c>
      <c r="T1274" s="24">
        <f>T1275+T1276</f>
        <v>21694.6</v>
      </c>
      <c r="U1274" s="24">
        <f t="shared" si="308"/>
        <v>532045.69999999995</v>
      </c>
      <c r="V1274" s="24">
        <f>V1275+V1276</f>
        <v>0</v>
      </c>
      <c r="W1274" s="24">
        <f t="shared" si="305"/>
        <v>532045.69999999995</v>
      </c>
      <c r="X1274" s="24">
        <f>X1275+X1276</f>
        <v>51805.599999999999</v>
      </c>
      <c r="Y1274" s="24">
        <f t="shared" si="279"/>
        <v>583851.29999999993</v>
      </c>
      <c r="Z1274" s="189"/>
    </row>
    <row r="1275" spans="1:27" s="6" customFormat="1" ht="36.75" x14ac:dyDescent="0.25">
      <c r="A1275" s="25" t="s">
        <v>573</v>
      </c>
      <c r="B1275" s="26" t="s">
        <v>329</v>
      </c>
      <c r="C1275" s="26" t="s">
        <v>334</v>
      </c>
      <c r="D1275" s="26" t="s">
        <v>83</v>
      </c>
      <c r="E1275" s="27">
        <v>437283.3</v>
      </c>
      <c r="F1275" s="27"/>
      <c r="G1275" s="24">
        <f t="shared" si="327"/>
        <v>437283.3</v>
      </c>
      <c r="H1275" s="27"/>
      <c r="I1275" s="24">
        <f t="shared" si="322"/>
        <v>437283.3</v>
      </c>
      <c r="J1275" s="27"/>
      <c r="K1275" s="24">
        <f t="shared" si="323"/>
        <v>437283.3</v>
      </c>
      <c r="L1275" s="27"/>
      <c r="M1275" s="24">
        <f t="shared" si="324"/>
        <v>437283.3</v>
      </c>
      <c r="N1275" s="43">
        <v>24849.8</v>
      </c>
      <c r="O1275" s="24">
        <f t="shared" si="325"/>
        <v>462133.1</v>
      </c>
      <c r="P1275" s="69"/>
      <c r="Q1275" s="24">
        <f t="shared" si="314"/>
        <v>462133.1</v>
      </c>
      <c r="R1275" s="69"/>
      <c r="S1275" s="24">
        <f t="shared" si="309"/>
        <v>462133.1</v>
      </c>
      <c r="T1275" s="125">
        <v>20220</v>
      </c>
      <c r="U1275" s="24">
        <f t="shared" si="308"/>
        <v>482353.1</v>
      </c>
      <c r="V1275" s="125">
        <v>-29.4</v>
      </c>
      <c r="W1275" s="24">
        <f t="shared" si="305"/>
        <v>482323.69999999995</v>
      </c>
      <c r="X1275" s="43">
        <v>46981.7</v>
      </c>
      <c r="Y1275" s="24">
        <f t="shared" si="279"/>
        <v>529305.39999999991</v>
      </c>
      <c r="Z1275" s="189"/>
      <c r="AA1275" s="189">
        <f t="shared" ref="AA1275:AA1276" si="334">Y1275+Z1275</f>
        <v>529305.39999999991</v>
      </c>
    </row>
    <row r="1276" spans="1:27" s="6" customFormat="1" ht="36.75" x14ac:dyDescent="0.25">
      <c r="A1276" s="25" t="s">
        <v>308</v>
      </c>
      <c r="B1276" s="26" t="s">
        <v>329</v>
      </c>
      <c r="C1276" s="26" t="s">
        <v>334</v>
      </c>
      <c r="D1276" s="26" t="s">
        <v>305</v>
      </c>
      <c r="E1276" s="27">
        <v>46086</v>
      </c>
      <c r="F1276" s="27"/>
      <c r="G1276" s="24">
        <f t="shared" si="327"/>
        <v>46086</v>
      </c>
      <c r="H1276" s="27"/>
      <c r="I1276" s="24">
        <f t="shared" si="322"/>
        <v>46086</v>
      </c>
      <c r="J1276" s="27"/>
      <c r="K1276" s="24">
        <f t="shared" si="323"/>
        <v>46086</v>
      </c>
      <c r="L1276" s="27"/>
      <c r="M1276" s="24">
        <f t="shared" si="324"/>
        <v>46086</v>
      </c>
      <c r="N1276" s="43">
        <v>2132</v>
      </c>
      <c r="O1276" s="24">
        <f t="shared" si="325"/>
        <v>48218</v>
      </c>
      <c r="P1276" s="69"/>
      <c r="Q1276" s="24">
        <f t="shared" si="314"/>
        <v>48218</v>
      </c>
      <c r="R1276" s="69"/>
      <c r="S1276" s="24">
        <f t="shared" si="309"/>
        <v>48218</v>
      </c>
      <c r="T1276" s="125">
        <v>1474.6</v>
      </c>
      <c r="U1276" s="24">
        <f t="shared" si="308"/>
        <v>49692.6</v>
      </c>
      <c r="V1276" s="125">
        <v>29.4</v>
      </c>
      <c r="W1276" s="24">
        <f t="shared" si="305"/>
        <v>49722</v>
      </c>
      <c r="X1276" s="43">
        <v>4823.8999999999996</v>
      </c>
      <c r="Y1276" s="24">
        <f t="shared" ref="Y1276:Y1534" si="335">W1276+X1276</f>
        <v>54545.9</v>
      </c>
      <c r="Z1276" s="189"/>
      <c r="AA1276" s="189">
        <f t="shared" si="334"/>
        <v>54545.9</v>
      </c>
    </row>
    <row r="1277" spans="1:27" s="6" customFormat="1" ht="36.75" x14ac:dyDescent="0.25">
      <c r="A1277" s="40" t="s">
        <v>694</v>
      </c>
      <c r="B1277" s="20" t="s">
        <v>329</v>
      </c>
      <c r="C1277" s="20" t="s">
        <v>695</v>
      </c>
      <c r="D1277" s="21"/>
      <c r="E1277" s="27"/>
      <c r="F1277" s="27"/>
      <c r="G1277" s="24"/>
      <c r="H1277" s="50">
        <f>H1278+H1279</f>
        <v>47853.8</v>
      </c>
      <c r="I1277" s="24">
        <f t="shared" si="322"/>
        <v>47853.8</v>
      </c>
      <c r="J1277" s="50">
        <f>J1278+J1279</f>
        <v>0</v>
      </c>
      <c r="K1277" s="24">
        <f t="shared" si="323"/>
        <v>47853.8</v>
      </c>
      <c r="L1277" s="50">
        <f>L1278+L1279</f>
        <v>0</v>
      </c>
      <c r="M1277" s="24">
        <f t="shared" si="324"/>
        <v>47853.8</v>
      </c>
      <c r="N1277" s="50">
        <f>N1278+N1279</f>
        <v>0</v>
      </c>
      <c r="O1277" s="24">
        <f t="shared" si="325"/>
        <v>47853.8</v>
      </c>
      <c r="P1277" s="50">
        <f>P1278+P1279</f>
        <v>0</v>
      </c>
      <c r="Q1277" s="24">
        <f t="shared" si="314"/>
        <v>47853.8</v>
      </c>
      <c r="R1277" s="50">
        <f>R1278+R1279</f>
        <v>0</v>
      </c>
      <c r="S1277" s="24">
        <f t="shared" si="309"/>
        <v>47853.8</v>
      </c>
      <c r="T1277" s="50">
        <f>T1278+T1279</f>
        <v>0</v>
      </c>
      <c r="U1277" s="24">
        <f t="shared" si="308"/>
        <v>47853.8</v>
      </c>
      <c r="V1277" s="50">
        <f>V1278+V1279</f>
        <v>0</v>
      </c>
      <c r="W1277" s="24">
        <f t="shared" si="305"/>
        <v>47853.8</v>
      </c>
      <c r="X1277" s="50">
        <f>X1278+X1279</f>
        <v>1107.9000000000001</v>
      </c>
      <c r="Y1277" s="24">
        <f t="shared" si="335"/>
        <v>48961.700000000004</v>
      </c>
      <c r="Z1277" s="189"/>
    </row>
    <row r="1278" spans="1:27" s="6" customFormat="1" x14ac:dyDescent="0.25">
      <c r="A1278" s="30" t="s">
        <v>574</v>
      </c>
      <c r="B1278" s="21" t="s">
        <v>329</v>
      </c>
      <c r="C1278" s="21" t="s">
        <v>695</v>
      </c>
      <c r="D1278" s="21" t="s">
        <v>81</v>
      </c>
      <c r="E1278" s="27"/>
      <c r="F1278" s="27"/>
      <c r="G1278" s="24"/>
      <c r="H1278" s="51">
        <v>43041.8</v>
      </c>
      <c r="I1278" s="24">
        <f t="shared" si="322"/>
        <v>43041.8</v>
      </c>
      <c r="J1278" s="84"/>
      <c r="K1278" s="24">
        <f t="shared" si="323"/>
        <v>43041.8</v>
      </c>
      <c r="L1278" s="84"/>
      <c r="M1278" s="24">
        <f t="shared" si="324"/>
        <v>43041.8</v>
      </c>
      <c r="N1278" s="84"/>
      <c r="O1278" s="24">
        <f t="shared" si="325"/>
        <v>43041.8</v>
      </c>
      <c r="P1278" s="84"/>
      <c r="Q1278" s="24">
        <f t="shared" si="314"/>
        <v>43041.8</v>
      </c>
      <c r="R1278" s="84"/>
      <c r="S1278" s="24">
        <f t="shared" si="309"/>
        <v>43041.8</v>
      </c>
      <c r="T1278" s="84"/>
      <c r="U1278" s="24">
        <f t="shared" si="308"/>
        <v>43041.8</v>
      </c>
      <c r="V1278" s="84"/>
      <c r="W1278" s="24">
        <f t="shared" si="305"/>
        <v>43041.8</v>
      </c>
      <c r="X1278" s="51">
        <v>1000</v>
      </c>
      <c r="Y1278" s="24">
        <f t="shared" si="335"/>
        <v>44041.8</v>
      </c>
      <c r="Z1278" s="189"/>
      <c r="AA1278" s="189">
        <f t="shared" ref="AA1278:AA1279" si="336">Y1278+Z1278</f>
        <v>44041.8</v>
      </c>
    </row>
    <row r="1279" spans="1:27" x14ac:dyDescent="0.25">
      <c r="A1279" s="25" t="s">
        <v>321</v>
      </c>
      <c r="B1279" s="21" t="s">
        <v>329</v>
      </c>
      <c r="C1279" s="21" t="s">
        <v>695</v>
      </c>
      <c r="D1279" s="21" t="s">
        <v>322</v>
      </c>
      <c r="E1279" s="27"/>
      <c r="F1279" s="27"/>
      <c r="G1279" s="24"/>
      <c r="H1279" s="51">
        <v>4812</v>
      </c>
      <c r="I1279" s="24">
        <f t="shared" si="322"/>
        <v>4812</v>
      </c>
      <c r="J1279" s="84"/>
      <c r="K1279" s="24">
        <f t="shared" si="323"/>
        <v>4812</v>
      </c>
      <c r="L1279" s="84"/>
      <c r="M1279" s="24">
        <f t="shared" si="324"/>
        <v>4812</v>
      </c>
      <c r="N1279" s="84"/>
      <c r="O1279" s="24">
        <f t="shared" si="325"/>
        <v>4812</v>
      </c>
      <c r="P1279" s="84"/>
      <c r="Q1279" s="24">
        <f t="shared" si="314"/>
        <v>4812</v>
      </c>
      <c r="R1279" s="84"/>
      <c r="S1279" s="24">
        <f t="shared" si="309"/>
        <v>4812</v>
      </c>
      <c r="T1279" s="84"/>
      <c r="U1279" s="24">
        <f t="shared" si="308"/>
        <v>4812</v>
      </c>
      <c r="V1279" s="84"/>
      <c r="W1279" s="24">
        <f t="shared" si="305"/>
        <v>4812</v>
      </c>
      <c r="X1279" s="51">
        <v>107.9</v>
      </c>
      <c r="Y1279" s="24">
        <f t="shared" si="335"/>
        <v>4919.8999999999996</v>
      </c>
      <c r="AA1279" s="189">
        <f t="shared" si="336"/>
        <v>4919.8999999999996</v>
      </c>
    </row>
    <row r="1280" spans="1:27" ht="36.75" x14ac:dyDescent="0.25">
      <c r="A1280" s="22" t="s">
        <v>37</v>
      </c>
      <c r="B1280" s="23" t="s">
        <v>329</v>
      </c>
      <c r="C1280" s="23" t="s">
        <v>332</v>
      </c>
      <c r="D1280" s="23" t="s">
        <v>2</v>
      </c>
      <c r="E1280" s="24">
        <f>E1281+E1283</f>
        <v>50929.599999999999</v>
      </c>
      <c r="F1280" s="24">
        <f>F1281+F1283</f>
        <v>0</v>
      </c>
      <c r="G1280" s="24">
        <f t="shared" si="327"/>
        <v>50929.599999999999</v>
      </c>
      <c r="H1280" s="24">
        <f>H1281+H1283</f>
        <v>0</v>
      </c>
      <c r="I1280" s="24">
        <f t="shared" si="322"/>
        <v>50929.599999999999</v>
      </c>
      <c r="J1280" s="24">
        <f>J1281+J1283</f>
        <v>0</v>
      </c>
      <c r="K1280" s="24">
        <f t="shared" si="323"/>
        <v>50929.599999999999</v>
      </c>
      <c r="L1280" s="24">
        <f>L1281+L1283</f>
        <v>13443.5</v>
      </c>
      <c r="M1280" s="24">
        <f t="shared" si="324"/>
        <v>64373.1</v>
      </c>
      <c r="N1280" s="24">
        <f>N1281+N1283</f>
        <v>2377.1999999999998</v>
      </c>
      <c r="O1280" s="24">
        <f t="shared" si="325"/>
        <v>66750.3</v>
      </c>
      <c r="P1280" s="24">
        <f>P1281+P1283</f>
        <v>-4901.5</v>
      </c>
      <c r="Q1280" s="24">
        <f t="shared" si="314"/>
        <v>61848.800000000003</v>
      </c>
      <c r="R1280" s="24">
        <f>R1281+R1283</f>
        <v>4392.7</v>
      </c>
      <c r="S1280" s="24">
        <f t="shared" si="309"/>
        <v>66241.5</v>
      </c>
      <c r="T1280" s="24">
        <f>T1281+T1283</f>
        <v>8.8000000000000007</v>
      </c>
      <c r="U1280" s="24">
        <f t="shared" si="308"/>
        <v>66250.3</v>
      </c>
      <c r="V1280" s="183">
        <f>V1281+V1283+V1282</f>
        <v>-4430</v>
      </c>
      <c r="W1280" s="24">
        <f t="shared" si="305"/>
        <v>61820.3</v>
      </c>
      <c r="X1280" s="183">
        <f>X1281+X1283+X1282</f>
        <v>6490</v>
      </c>
      <c r="Y1280" s="24">
        <f t="shared" si="335"/>
        <v>68310.3</v>
      </c>
    </row>
    <row r="1281" spans="1:27" ht="36.75" x14ac:dyDescent="0.25">
      <c r="A1281" s="25" t="s">
        <v>573</v>
      </c>
      <c r="B1281" s="26" t="s">
        <v>329</v>
      </c>
      <c r="C1281" s="26" t="s">
        <v>332</v>
      </c>
      <c r="D1281" s="26" t="s">
        <v>83</v>
      </c>
      <c r="E1281" s="27">
        <f>59817.7-16121.7</f>
        <v>43696</v>
      </c>
      <c r="F1281" s="27"/>
      <c r="G1281" s="24">
        <f t="shared" si="327"/>
        <v>43696</v>
      </c>
      <c r="H1281" s="27"/>
      <c r="I1281" s="24">
        <f t="shared" si="322"/>
        <v>43696</v>
      </c>
      <c r="J1281" s="27"/>
      <c r="K1281" s="24">
        <f t="shared" si="323"/>
        <v>43696</v>
      </c>
      <c r="L1281" s="107">
        <v>13443.5</v>
      </c>
      <c r="M1281" s="24">
        <f t="shared" si="324"/>
        <v>57139.5</v>
      </c>
      <c r="N1281" s="63">
        <v>2377.1999999999998</v>
      </c>
      <c r="O1281" s="24">
        <f t="shared" si="325"/>
        <v>59516.7</v>
      </c>
      <c r="P1281" s="94">
        <v>-4401.5</v>
      </c>
      <c r="Q1281" s="24">
        <f t="shared" si="314"/>
        <v>55115.199999999997</v>
      </c>
      <c r="R1281" s="39">
        <v>3892.7</v>
      </c>
      <c r="S1281" s="24">
        <f t="shared" si="309"/>
        <v>59007.899999999994</v>
      </c>
      <c r="T1281" s="63">
        <v>8.8000000000000007</v>
      </c>
      <c r="U1281" s="24">
        <f t="shared" si="308"/>
        <v>59016.7</v>
      </c>
      <c r="V1281" s="39">
        <v>-5000</v>
      </c>
      <c r="W1281" s="24">
        <f t="shared" si="305"/>
        <v>54016.7</v>
      </c>
      <c r="X1281" s="109">
        <f>5000+1355.1</f>
        <v>6355.1</v>
      </c>
      <c r="Y1281" s="24">
        <f t="shared" si="335"/>
        <v>60371.799999999996</v>
      </c>
      <c r="Z1281" s="61">
        <v>1355.1</v>
      </c>
      <c r="AA1281" s="189">
        <f t="shared" ref="AA1281:AA1283" si="337">Y1281+Z1281</f>
        <v>61726.899999999994</v>
      </c>
    </row>
    <row r="1282" spans="1:27" x14ac:dyDescent="0.25">
      <c r="A1282" s="30" t="s">
        <v>574</v>
      </c>
      <c r="B1282" s="26" t="s">
        <v>329</v>
      </c>
      <c r="C1282" s="26" t="s">
        <v>332</v>
      </c>
      <c r="D1282" s="26" t="s">
        <v>81</v>
      </c>
      <c r="E1282" s="27"/>
      <c r="F1282" s="27"/>
      <c r="G1282" s="24"/>
      <c r="H1282" s="27"/>
      <c r="I1282" s="24"/>
      <c r="J1282" s="27"/>
      <c r="K1282" s="24"/>
      <c r="L1282" s="107"/>
      <c r="M1282" s="24"/>
      <c r="N1282" s="63"/>
      <c r="O1282" s="24"/>
      <c r="P1282" s="94"/>
      <c r="Q1282" s="24"/>
      <c r="R1282" s="39"/>
      <c r="S1282" s="24"/>
      <c r="T1282" s="63"/>
      <c r="U1282" s="24"/>
      <c r="V1282" s="94">
        <v>99.1</v>
      </c>
      <c r="W1282" s="24">
        <f t="shared" ref="W1282" si="338">U1282+V1282</f>
        <v>99.1</v>
      </c>
      <c r="X1282" s="39">
        <v>6.5</v>
      </c>
      <c r="Y1282" s="24">
        <f t="shared" si="335"/>
        <v>105.6</v>
      </c>
      <c r="Z1282" s="61">
        <v>6.5</v>
      </c>
      <c r="AA1282" s="189">
        <f t="shared" si="337"/>
        <v>112.1</v>
      </c>
    </row>
    <row r="1283" spans="1:27" ht="36.75" x14ac:dyDescent="0.25">
      <c r="A1283" s="25" t="s">
        <v>308</v>
      </c>
      <c r="B1283" s="26" t="s">
        <v>329</v>
      </c>
      <c r="C1283" s="26" t="s">
        <v>332</v>
      </c>
      <c r="D1283" s="26" t="s">
        <v>305</v>
      </c>
      <c r="E1283" s="27">
        <v>7233.6</v>
      </c>
      <c r="F1283" s="27"/>
      <c r="G1283" s="24">
        <f t="shared" si="327"/>
        <v>7233.6</v>
      </c>
      <c r="H1283" s="27"/>
      <c r="I1283" s="24">
        <f t="shared" si="322"/>
        <v>7233.6</v>
      </c>
      <c r="J1283" s="27"/>
      <c r="K1283" s="24">
        <f t="shared" si="323"/>
        <v>7233.6</v>
      </c>
      <c r="L1283" s="27"/>
      <c r="M1283" s="24">
        <f t="shared" si="324"/>
        <v>7233.6</v>
      </c>
      <c r="N1283" s="27"/>
      <c r="O1283" s="24">
        <f t="shared" si="325"/>
        <v>7233.6</v>
      </c>
      <c r="P1283" s="94">
        <v>-500</v>
      </c>
      <c r="Q1283" s="24">
        <f t="shared" si="314"/>
        <v>6733.6</v>
      </c>
      <c r="R1283" s="39">
        <v>500</v>
      </c>
      <c r="S1283" s="24">
        <f t="shared" si="309"/>
        <v>7233.6</v>
      </c>
      <c r="T1283" s="69"/>
      <c r="U1283" s="24">
        <f t="shared" si="308"/>
        <v>7233.6</v>
      </c>
      <c r="V1283" s="94">
        <v>470.9</v>
      </c>
      <c r="W1283" s="24">
        <f t="shared" si="305"/>
        <v>7704.5</v>
      </c>
      <c r="X1283" s="39">
        <v>128.4</v>
      </c>
      <c r="Y1283" s="24">
        <f t="shared" si="335"/>
        <v>7832.9</v>
      </c>
      <c r="Z1283" s="61">
        <v>128.4</v>
      </c>
      <c r="AA1283" s="189">
        <f t="shared" si="337"/>
        <v>7961.2999999999993</v>
      </c>
    </row>
    <row r="1284" spans="1:27" x14ac:dyDescent="0.25">
      <c r="A1284" s="22" t="s">
        <v>335</v>
      </c>
      <c r="B1284" s="23" t="s">
        <v>329</v>
      </c>
      <c r="C1284" s="23" t="s">
        <v>336</v>
      </c>
      <c r="D1284" s="23" t="s">
        <v>2</v>
      </c>
      <c r="E1284" s="24">
        <f>E1285</f>
        <v>7500</v>
      </c>
      <c r="F1284" s="24">
        <f>F1285</f>
        <v>0</v>
      </c>
      <c r="G1284" s="24">
        <f t="shared" si="327"/>
        <v>7500</v>
      </c>
      <c r="H1284" s="24">
        <f>H1285</f>
        <v>0</v>
      </c>
      <c r="I1284" s="24">
        <f t="shared" si="322"/>
        <v>7500</v>
      </c>
      <c r="J1284" s="24">
        <f>J1285</f>
        <v>0</v>
      </c>
      <c r="K1284" s="24">
        <f t="shared" si="323"/>
        <v>7500</v>
      </c>
      <c r="L1284" s="24">
        <f>L1285</f>
        <v>0</v>
      </c>
      <c r="M1284" s="24">
        <f t="shared" si="324"/>
        <v>7500</v>
      </c>
      <c r="N1284" s="24">
        <f>N1285</f>
        <v>0</v>
      </c>
      <c r="O1284" s="24">
        <f t="shared" si="325"/>
        <v>7500</v>
      </c>
      <c r="P1284" s="24">
        <f>P1285</f>
        <v>0</v>
      </c>
      <c r="Q1284" s="24">
        <f t="shared" si="314"/>
        <v>7500</v>
      </c>
      <c r="R1284" s="24">
        <f>R1285</f>
        <v>0</v>
      </c>
      <c r="S1284" s="24">
        <f t="shared" si="309"/>
        <v>7500</v>
      </c>
      <c r="T1284" s="24">
        <f>T1285</f>
        <v>0</v>
      </c>
      <c r="U1284" s="24">
        <f t="shared" si="308"/>
        <v>7500</v>
      </c>
      <c r="V1284" s="24">
        <f>V1285</f>
        <v>0</v>
      </c>
      <c r="W1284" s="24">
        <f t="shared" si="305"/>
        <v>7500</v>
      </c>
      <c r="X1284" s="24">
        <f>X1285</f>
        <v>-668.40000000000009</v>
      </c>
      <c r="Y1284" s="24">
        <f t="shared" si="335"/>
        <v>6831.6</v>
      </c>
    </row>
    <row r="1285" spans="1:27" s="6" customFormat="1" ht="24.75" x14ac:dyDescent="0.25">
      <c r="A1285" s="22" t="s">
        <v>337</v>
      </c>
      <c r="B1285" s="23" t="s">
        <v>329</v>
      </c>
      <c r="C1285" s="23" t="s">
        <v>338</v>
      </c>
      <c r="D1285" s="23" t="s">
        <v>2</v>
      </c>
      <c r="E1285" s="24">
        <f>E1286+E1287</f>
        <v>7500</v>
      </c>
      <c r="F1285" s="24">
        <f>F1286+F1287</f>
        <v>0</v>
      </c>
      <c r="G1285" s="24">
        <f t="shared" si="327"/>
        <v>7500</v>
      </c>
      <c r="H1285" s="24">
        <f>H1286+H1287</f>
        <v>0</v>
      </c>
      <c r="I1285" s="24">
        <f t="shared" si="322"/>
        <v>7500</v>
      </c>
      <c r="J1285" s="24">
        <f>J1286+J1287</f>
        <v>0</v>
      </c>
      <c r="K1285" s="24">
        <f t="shared" si="323"/>
        <v>7500</v>
      </c>
      <c r="L1285" s="24">
        <f>L1286+L1287</f>
        <v>0</v>
      </c>
      <c r="M1285" s="24">
        <f t="shared" si="324"/>
        <v>7500</v>
      </c>
      <c r="N1285" s="24">
        <f>N1286+N1287</f>
        <v>0</v>
      </c>
      <c r="O1285" s="24">
        <f t="shared" si="325"/>
        <v>7500</v>
      </c>
      <c r="P1285" s="24">
        <f>P1286+P1287</f>
        <v>0</v>
      </c>
      <c r="Q1285" s="24">
        <f t="shared" si="314"/>
        <v>7500</v>
      </c>
      <c r="R1285" s="24">
        <f>R1286+R1287</f>
        <v>0</v>
      </c>
      <c r="S1285" s="24">
        <f t="shared" si="309"/>
        <v>7500</v>
      </c>
      <c r="T1285" s="24">
        <f>T1286+T1287</f>
        <v>0</v>
      </c>
      <c r="U1285" s="24">
        <f t="shared" si="308"/>
        <v>7500</v>
      </c>
      <c r="V1285" s="24">
        <f>V1286+V1287</f>
        <v>0</v>
      </c>
      <c r="W1285" s="24">
        <f t="shared" si="305"/>
        <v>7500</v>
      </c>
      <c r="X1285" s="24">
        <f>X1286+X1287</f>
        <v>-668.40000000000009</v>
      </c>
      <c r="Y1285" s="24">
        <f t="shared" si="335"/>
        <v>6831.6</v>
      </c>
      <c r="Z1285" s="189"/>
    </row>
    <row r="1286" spans="1:27" x14ac:dyDescent="0.25">
      <c r="A1286" s="25" t="s">
        <v>574</v>
      </c>
      <c r="B1286" s="26" t="s">
        <v>329</v>
      </c>
      <c r="C1286" s="26" t="s">
        <v>338</v>
      </c>
      <c r="D1286" s="26" t="s">
        <v>81</v>
      </c>
      <c r="E1286" s="27">
        <v>6000</v>
      </c>
      <c r="F1286" s="27"/>
      <c r="G1286" s="24">
        <f t="shared" si="327"/>
        <v>6000</v>
      </c>
      <c r="H1286" s="27"/>
      <c r="I1286" s="24">
        <f t="shared" si="322"/>
        <v>6000</v>
      </c>
      <c r="J1286" s="27"/>
      <c r="K1286" s="24">
        <f t="shared" si="323"/>
        <v>6000</v>
      </c>
      <c r="L1286" s="27"/>
      <c r="M1286" s="24">
        <f t="shared" si="324"/>
        <v>6000</v>
      </c>
      <c r="N1286" s="63">
        <v>-1308.9000000000001</v>
      </c>
      <c r="O1286" s="24">
        <f t="shared" si="325"/>
        <v>4691.1000000000004</v>
      </c>
      <c r="P1286" s="69"/>
      <c r="Q1286" s="24">
        <f t="shared" si="314"/>
        <v>4691.1000000000004</v>
      </c>
      <c r="R1286" s="69"/>
      <c r="S1286" s="24">
        <f t="shared" si="309"/>
        <v>4691.1000000000004</v>
      </c>
      <c r="T1286" s="69"/>
      <c r="U1286" s="24">
        <f t="shared" si="308"/>
        <v>4691.1000000000004</v>
      </c>
      <c r="V1286" s="69"/>
      <c r="W1286" s="24">
        <f t="shared" si="305"/>
        <v>4691.1000000000004</v>
      </c>
      <c r="X1286" s="39">
        <v>-621.70000000000005</v>
      </c>
      <c r="Y1286" s="24">
        <f t="shared" si="335"/>
        <v>4069.4000000000005</v>
      </c>
      <c r="Z1286" s="61">
        <v>-621.70000000000005</v>
      </c>
      <c r="AA1286" s="189">
        <f t="shared" ref="AA1286:AA1287" si="339">Y1286+Z1286</f>
        <v>3447.7000000000007</v>
      </c>
    </row>
    <row r="1287" spans="1:27" x14ac:dyDescent="0.25">
      <c r="A1287" s="25" t="s">
        <v>321</v>
      </c>
      <c r="B1287" s="26" t="s">
        <v>329</v>
      </c>
      <c r="C1287" s="26" t="s">
        <v>338</v>
      </c>
      <c r="D1287" s="26" t="s">
        <v>322</v>
      </c>
      <c r="E1287" s="27">
        <v>1500</v>
      </c>
      <c r="F1287" s="27"/>
      <c r="G1287" s="24">
        <f t="shared" si="327"/>
        <v>1500</v>
      </c>
      <c r="H1287" s="27"/>
      <c r="I1287" s="24">
        <f t="shared" si="322"/>
        <v>1500</v>
      </c>
      <c r="J1287" s="27"/>
      <c r="K1287" s="24">
        <f t="shared" si="323"/>
        <v>1500</v>
      </c>
      <c r="L1287" s="27"/>
      <c r="M1287" s="24">
        <f t="shared" si="324"/>
        <v>1500</v>
      </c>
      <c r="N1287" s="63">
        <v>1308.9000000000001</v>
      </c>
      <c r="O1287" s="24">
        <f t="shared" si="325"/>
        <v>2808.9</v>
      </c>
      <c r="P1287" s="69"/>
      <c r="Q1287" s="24">
        <f t="shared" si="314"/>
        <v>2808.9</v>
      </c>
      <c r="R1287" s="69"/>
      <c r="S1287" s="24">
        <f t="shared" si="309"/>
        <v>2808.9</v>
      </c>
      <c r="T1287" s="69"/>
      <c r="U1287" s="24">
        <f t="shared" si="308"/>
        <v>2808.9</v>
      </c>
      <c r="V1287" s="69"/>
      <c r="W1287" s="24">
        <f t="shared" si="305"/>
        <v>2808.9</v>
      </c>
      <c r="X1287" s="39">
        <v>-46.7</v>
      </c>
      <c r="Y1287" s="24">
        <f t="shared" si="335"/>
        <v>2762.2000000000003</v>
      </c>
      <c r="Z1287" s="61">
        <v>-46.7</v>
      </c>
      <c r="AA1287" s="189">
        <f t="shared" si="339"/>
        <v>2715.5000000000005</v>
      </c>
    </row>
    <row r="1288" spans="1:27" s="6" customFormat="1" ht="60" x14ac:dyDescent="0.25">
      <c r="A1288" s="89" t="s">
        <v>781</v>
      </c>
      <c r="B1288" s="20" t="s">
        <v>329</v>
      </c>
      <c r="C1288" s="70" t="s">
        <v>782</v>
      </c>
      <c r="D1288" s="41"/>
      <c r="E1288" s="27"/>
      <c r="F1288" s="27"/>
      <c r="G1288" s="24"/>
      <c r="H1288" s="27"/>
      <c r="I1288" s="24"/>
      <c r="J1288" s="18">
        <f>J1289+J1290</f>
        <v>2118.4</v>
      </c>
      <c r="K1288" s="24">
        <f t="shared" si="323"/>
        <v>2118.4</v>
      </c>
      <c r="L1288" s="18">
        <f>L1289+L1290</f>
        <v>0</v>
      </c>
      <c r="M1288" s="24">
        <f t="shared" si="324"/>
        <v>2118.4</v>
      </c>
      <c r="N1288" s="18">
        <f>N1289+N1290</f>
        <v>0</v>
      </c>
      <c r="O1288" s="24">
        <f t="shared" si="325"/>
        <v>2118.4</v>
      </c>
      <c r="P1288" s="18">
        <f>P1289+P1290</f>
        <v>1617.3</v>
      </c>
      <c r="Q1288" s="24">
        <f t="shared" si="314"/>
        <v>3735.7</v>
      </c>
      <c r="R1288" s="18">
        <f>R1289+R1290</f>
        <v>0</v>
      </c>
      <c r="S1288" s="24">
        <f t="shared" si="309"/>
        <v>3735.7</v>
      </c>
      <c r="T1288" s="18">
        <f>T1289+T1290</f>
        <v>0</v>
      </c>
      <c r="U1288" s="24">
        <f t="shared" si="308"/>
        <v>3735.7</v>
      </c>
      <c r="V1288" s="18">
        <f>V1289+V1290</f>
        <v>0</v>
      </c>
      <c r="W1288" s="24">
        <f t="shared" si="305"/>
        <v>3735.7</v>
      </c>
      <c r="X1288" s="18">
        <f>X1289+X1290</f>
        <v>1280.0999999999999</v>
      </c>
      <c r="Y1288" s="24">
        <f t="shared" si="335"/>
        <v>5015.7999999999993</v>
      </c>
      <c r="Z1288" s="189"/>
    </row>
    <row r="1289" spans="1:27" s="6" customFormat="1" x14ac:dyDescent="0.25">
      <c r="A1289" s="60" t="s">
        <v>574</v>
      </c>
      <c r="B1289" s="21" t="s">
        <v>329</v>
      </c>
      <c r="C1289" s="65" t="s">
        <v>782</v>
      </c>
      <c r="D1289" s="65" t="s">
        <v>81</v>
      </c>
      <c r="E1289" s="27"/>
      <c r="F1289" s="27"/>
      <c r="G1289" s="24"/>
      <c r="H1289" s="27"/>
      <c r="I1289" s="24"/>
      <c r="J1289" s="43">
        <v>1941.8</v>
      </c>
      <c r="K1289" s="24">
        <f t="shared" si="323"/>
        <v>1941.8</v>
      </c>
      <c r="L1289" s="69"/>
      <c r="M1289" s="24">
        <f t="shared" si="324"/>
        <v>1941.8</v>
      </c>
      <c r="N1289" s="69"/>
      <c r="O1289" s="24">
        <f t="shared" si="325"/>
        <v>1941.8</v>
      </c>
      <c r="P1289" s="125">
        <v>1482.6</v>
      </c>
      <c r="Q1289" s="24">
        <f t="shared" si="314"/>
        <v>3424.3999999999996</v>
      </c>
      <c r="R1289" s="69"/>
      <c r="S1289" s="24">
        <f t="shared" si="309"/>
        <v>3424.3999999999996</v>
      </c>
      <c r="T1289" s="69"/>
      <c r="U1289" s="24">
        <f t="shared" si="308"/>
        <v>3424.3999999999996</v>
      </c>
      <c r="V1289" s="69"/>
      <c r="W1289" s="24">
        <f t="shared" si="305"/>
        <v>3424.3999999999996</v>
      </c>
      <c r="X1289" s="43">
        <v>1012.6</v>
      </c>
      <c r="Y1289" s="24">
        <f t="shared" si="335"/>
        <v>4437</v>
      </c>
      <c r="Z1289" s="189"/>
      <c r="AA1289" s="189">
        <f t="shared" ref="AA1289:AA1290" si="340">Y1289+Z1289</f>
        <v>4437</v>
      </c>
    </row>
    <row r="1290" spans="1:27" x14ac:dyDescent="0.25">
      <c r="A1290" s="17" t="s">
        <v>321</v>
      </c>
      <c r="B1290" s="21" t="s">
        <v>329</v>
      </c>
      <c r="C1290" s="65" t="s">
        <v>782</v>
      </c>
      <c r="D1290" s="21" t="s">
        <v>322</v>
      </c>
      <c r="E1290" s="27"/>
      <c r="F1290" s="27"/>
      <c r="G1290" s="24"/>
      <c r="H1290" s="27"/>
      <c r="I1290" s="24"/>
      <c r="J1290" s="43">
        <v>176.6</v>
      </c>
      <c r="K1290" s="24">
        <f t="shared" si="323"/>
        <v>176.6</v>
      </c>
      <c r="L1290" s="69"/>
      <c r="M1290" s="24">
        <f t="shared" si="324"/>
        <v>176.6</v>
      </c>
      <c r="N1290" s="69"/>
      <c r="O1290" s="24">
        <f t="shared" si="325"/>
        <v>176.6</v>
      </c>
      <c r="P1290" s="125">
        <v>134.69999999999999</v>
      </c>
      <c r="Q1290" s="24">
        <f t="shared" si="314"/>
        <v>311.29999999999995</v>
      </c>
      <c r="R1290" s="69"/>
      <c r="S1290" s="24">
        <f t="shared" si="309"/>
        <v>311.29999999999995</v>
      </c>
      <c r="T1290" s="69"/>
      <c r="U1290" s="24">
        <f t="shared" si="308"/>
        <v>311.29999999999995</v>
      </c>
      <c r="V1290" s="69"/>
      <c r="W1290" s="24">
        <f t="shared" si="305"/>
        <v>311.29999999999995</v>
      </c>
      <c r="X1290" s="43">
        <v>267.5</v>
      </c>
      <c r="Y1290" s="24">
        <f t="shared" si="335"/>
        <v>578.79999999999995</v>
      </c>
      <c r="AA1290" s="189">
        <f t="shared" si="340"/>
        <v>578.79999999999995</v>
      </c>
    </row>
    <row r="1291" spans="1:27" x14ac:dyDescent="0.25">
      <c r="A1291" s="22" t="s">
        <v>309</v>
      </c>
      <c r="B1291" s="23" t="s">
        <v>329</v>
      </c>
      <c r="C1291" s="23" t="s">
        <v>310</v>
      </c>
      <c r="D1291" s="23" t="s">
        <v>2</v>
      </c>
      <c r="E1291" s="24">
        <f t="shared" ref="E1291:X1293" si="341">E1292</f>
        <v>23100</v>
      </c>
      <c r="F1291" s="24">
        <f t="shared" si="341"/>
        <v>0</v>
      </c>
      <c r="G1291" s="24">
        <f t="shared" si="327"/>
        <v>23100</v>
      </c>
      <c r="H1291" s="24">
        <f t="shared" si="341"/>
        <v>0</v>
      </c>
      <c r="I1291" s="24">
        <f t="shared" si="322"/>
        <v>23100</v>
      </c>
      <c r="J1291" s="24">
        <f t="shared" si="341"/>
        <v>0</v>
      </c>
      <c r="K1291" s="24">
        <f t="shared" si="323"/>
        <v>23100</v>
      </c>
      <c r="L1291" s="24">
        <f t="shared" si="341"/>
        <v>0</v>
      </c>
      <c r="M1291" s="24">
        <f t="shared" si="324"/>
        <v>23100</v>
      </c>
      <c r="N1291" s="24">
        <f t="shared" si="341"/>
        <v>0</v>
      </c>
      <c r="O1291" s="24">
        <f t="shared" si="325"/>
        <v>23100</v>
      </c>
      <c r="P1291" s="24">
        <f t="shared" si="341"/>
        <v>0</v>
      </c>
      <c r="Q1291" s="24">
        <f t="shared" si="314"/>
        <v>23100</v>
      </c>
      <c r="R1291" s="24">
        <f t="shared" si="341"/>
        <v>0</v>
      </c>
      <c r="S1291" s="24">
        <f t="shared" si="309"/>
        <v>23100</v>
      </c>
      <c r="T1291" s="24">
        <f t="shared" si="341"/>
        <v>0</v>
      </c>
      <c r="U1291" s="24">
        <f t="shared" si="308"/>
        <v>23100</v>
      </c>
      <c r="V1291" s="24">
        <f t="shared" si="341"/>
        <v>0</v>
      </c>
      <c r="W1291" s="24">
        <f t="shared" si="305"/>
        <v>23100</v>
      </c>
      <c r="X1291" s="24">
        <f>X1292+X1295</f>
        <v>-1641.6</v>
      </c>
      <c r="Y1291" s="24">
        <f t="shared" si="335"/>
        <v>21458.400000000001</v>
      </c>
    </row>
    <row r="1292" spans="1:27" x14ac:dyDescent="0.25">
      <c r="A1292" s="22" t="s">
        <v>311</v>
      </c>
      <c r="B1292" s="23" t="s">
        <v>329</v>
      </c>
      <c r="C1292" s="23" t="s">
        <v>312</v>
      </c>
      <c r="D1292" s="23" t="s">
        <v>2</v>
      </c>
      <c r="E1292" s="24">
        <f t="shared" si="341"/>
        <v>23100</v>
      </c>
      <c r="F1292" s="24">
        <f t="shared" si="341"/>
        <v>0</v>
      </c>
      <c r="G1292" s="24">
        <f t="shared" si="327"/>
        <v>23100</v>
      </c>
      <c r="H1292" s="24">
        <f t="shared" si="341"/>
        <v>0</v>
      </c>
      <c r="I1292" s="24">
        <f t="shared" si="322"/>
        <v>23100</v>
      </c>
      <c r="J1292" s="24">
        <f t="shared" si="341"/>
        <v>0</v>
      </c>
      <c r="K1292" s="24">
        <f t="shared" si="323"/>
        <v>23100</v>
      </c>
      <c r="L1292" s="24">
        <f t="shared" si="341"/>
        <v>0</v>
      </c>
      <c r="M1292" s="24">
        <f t="shared" si="324"/>
        <v>23100</v>
      </c>
      <c r="N1292" s="24">
        <f t="shared" si="341"/>
        <v>0</v>
      </c>
      <c r="O1292" s="24">
        <f t="shared" si="325"/>
        <v>23100</v>
      </c>
      <c r="P1292" s="24">
        <f t="shared" si="341"/>
        <v>0</v>
      </c>
      <c r="Q1292" s="24">
        <f t="shared" si="314"/>
        <v>23100</v>
      </c>
      <c r="R1292" s="24">
        <f t="shared" si="341"/>
        <v>0</v>
      </c>
      <c r="S1292" s="24">
        <f t="shared" si="309"/>
        <v>23100</v>
      </c>
      <c r="T1292" s="24">
        <f t="shared" si="341"/>
        <v>0</v>
      </c>
      <c r="U1292" s="24">
        <f t="shared" si="308"/>
        <v>23100</v>
      </c>
      <c r="V1292" s="24">
        <f t="shared" si="341"/>
        <v>0</v>
      </c>
      <c r="W1292" s="24">
        <f t="shared" si="305"/>
        <v>23100</v>
      </c>
      <c r="X1292" s="24">
        <f t="shared" si="341"/>
        <v>-1671.6</v>
      </c>
      <c r="Y1292" s="24">
        <f t="shared" si="335"/>
        <v>21428.400000000001</v>
      </c>
    </row>
    <row r="1293" spans="1:27" ht="24.75" x14ac:dyDescent="0.25">
      <c r="A1293" s="22" t="s">
        <v>313</v>
      </c>
      <c r="B1293" s="23" t="s">
        <v>329</v>
      </c>
      <c r="C1293" s="23" t="s">
        <v>314</v>
      </c>
      <c r="D1293" s="23" t="s">
        <v>2</v>
      </c>
      <c r="E1293" s="24">
        <f t="shared" si="341"/>
        <v>23100</v>
      </c>
      <c r="F1293" s="24">
        <f t="shared" si="341"/>
        <v>0</v>
      </c>
      <c r="G1293" s="24">
        <f t="shared" si="327"/>
        <v>23100</v>
      </c>
      <c r="H1293" s="24">
        <f t="shared" si="341"/>
        <v>0</v>
      </c>
      <c r="I1293" s="24">
        <f t="shared" si="322"/>
        <v>23100</v>
      </c>
      <c r="J1293" s="24">
        <f t="shared" si="341"/>
        <v>0</v>
      </c>
      <c r="K1293" s="24">
        <f t="shared" si="323"/>
        <v>23100</v>
      </c>
      <c r="L1293" s="24">
        <f t="shared" si="341"/>
        <v>0</v>
      </c>
      <c r="M1293" s="24">
        <f t="shared" si="324"/>
        <v>23100</v>
      </c>
      <c r="N1293" s="24">
        <f t="shared" si="341"/>
        <v>0</v>
      </c>
      <c r="O1293" s="24">
        <f t="shared" si="325"/>
        <v>23100</v>
      </c>
      <c r="P1293" s="24">
        <f t="shared" si="341"/>
        <v>0</v>
      </c>
      <c r="Q1293" s="24">
        <f t="shared" si="314"/>
        <v>23100</v>
      </c>
      <c r="R1293" s="24">
        <f t="shared" si="341"/>
        <v>0</v>
      </c>
      <c r="S1293" s="24">
        <f t="shared" si="309"/>
        <v>23100</v>
      </c>
      <c r="T1293" s="24">
        <f t="shared" si="341"/>
        <v>0</v>
      </c>
      <c r="U1293" s="24">
        <f t="shared" si="308"/>
        <v>23100</v>
      </c>
      <c r="V1293" s="24">
        <f t="shared" si="341"/>
        <v>0</v>
      </c>
      <c r="W1293" s="24">
        <f t="shared" si="305"/>
        <v>23100</v>
      </c>
      <c r="X1293" s="24">
        <f t="shared" si="341"/>
        <v>-1671.6</v>
      </c>
      <c r="Y1293" s="24">
        <f t="shared" si="335"/>
        <v>21428.400000000001</v>
      </c>
    </row>
    <row r="1294" spans="1:27" ht="24.75" x14ac:dyDescent="0.25">
      <c r="A1294" s="25" t="s">
        <v>563</v>
      </c>
      <c r="B1294" s="26" t="s">
        <v>329</v>
      </c>
      <c r="C1294" s="26" t="s">
        <v>314</v>
      </c>
      <c r="D1294" s="26" t="s">
        <v>315</v>
      </c>
      <c r="E1294" s="27">
        <v>23100</v>
      </c>
      <c r="F1294" s="27"/>
      <c r="G1294" s="24">
        <f t="shared" si="327"/>
        <v>23100</v>
      </c>
      <c r="H1294" s="27"/>
      <c r="I1294" s="24">
        <f t="shared" si="322"/>
        <v>23100</v>
      </c>
      <c r="J1294" s="27"/>
      <c r="K1294" s="24">
        <f t="shared" si="323"/>
        <v>23100</v>
      </c>
      <c r="L1294" s="27"/>
      <c r="M1294" s="24">
        <f t="shared" si="324"/>
        <v>23100</v>
      </c>
      <c r="N1294" s="27"/>
      <c r="O1294" s="24">
        <f t="shared" si="325"/>
        <v>23100</v>
      </c>
      <c r="P1294" s="27"/>
      <c r="Q1294" s="24">
        <f t="shared" si="314"/>
        <v>23100</v>
      </c>
      <c r="R1294" s="27"/>
      <c r="S1294" s="24">
        <f t="shared" si="309"/>
        <v>23100</v>
      </c>
      <c r="T1294" s="69"/>
      <c r="U1294" s="24">
        <f t="shared" si="308"/>
        <v>23100</v>
      </c>
      <c r="V1294" s="69"/>
      <c r="W1294" s="24">
        <f t="shared" si="305"/>
        <v>23100</v>
      </c>
      <c r="X1294" s="39">
        <v>-1671.6</v>
      </c>
      <c r="Y1294" s="24">
        <f t="shared" si="335"/>
        <v>21428.400000000001</v>
      </c>
      <c r="Z1294" s="61">
        <v>-1671.6</v>
      </c>
      <c r="AA1294" s="189">
        <f>Y1294+Z1294</f>
        <v>19756.800000000003</v>
      </c>
    </row>
    <row r="1295" spans="1:27" x14ac:dyDescent="0.25">
      <c r="A1295" s="16" t="s">
        <v>783</v>
      </c>
      <c r="B1295" s="20" t="s">
        <v>329</v>
      </c>
      <c r="C1295" s="20" t="s">
        <v>785</v>
      </c>
      <c r="D1295" s="21"/>
      <c r="E1295" s="27"/>
      <c r="F1295" s="27"/>
      <c r="G1295" s="24"/>
      <c r="H1295" s="27"/>
      <c r="I1295" s="24"/>
      <c r="J1295" s="27"/>
      <c r="K1295" s="24"/>
      <c r="L1295" s="27"/>
      <c r="M1295" s="24"/>
      <c r="N1295" s="27"/>
      <c r="O1295" s="24"/>
      <c r="P1295" s="27"/>
      <c r="Q1295" s="24"/>
      <c r="R1295" s="27"/>
      <c r="S1295" s="24"/>
      <c r="T1295" s="69"/>
      <c r="U1295" s="24"/>
      <c r="V1295" s="69"/>
      <c r="W1295" s="24"/>
      <c r="X1295" s="47">
        <f>X1296</f>
        <v>30</v>
      </c>
      <c r="Y1295" s="24">
        <f t="shared" ref="Y1295:Y1297" si="342">W1295+X1295</f>
        <v>30</v>
      </c>
      <c r="AA1295" s="189"/>
    </row>
    <row r="1296" spans="1:27" ht="24.75" x14ac:dyDescent="0.25">
      <c r="A1296" s="16" t="s">
        <v>1256</v>
      </c>
      <c r="B1296" s="20" t="s">
        <v>329</v>
      </c>
      <c r="C1296" s="20" t="s">
        <v>1257</v>
      </c>
      <c r="D1296" s="21"/>
      <c r="E1296" s="27"/>
      <c r="F1296" s="27"/>
      <c r="G1296" s="24"/>
      <c r="H1296" s="27"/>
      <c r="I1296" s="24"/>
      <c r="J1296" s="27"/>
      <c r="K1296" s="24"/>
      <c r="L1296" s="27"/>
      <c r="M1296" s="24"/>
      <c r="N1296" s="27"/>
      <c r="O1296" s="24"/>
      <c r="P1296" s="27"/>
      <c r="Q1296" s="24"/>
      <c r="R1296" s="27"/>
      <c r="S1296" s="24"/>
      <c r="T1296" s="69"/>
      <c r="U1296" s="24"/>
      <c r="V1296" s="69"/>
      <c r="W1296" s="24"/>
      <c r="X1296" s="47">
        <f>X1297</f>
        <v>30</v>
      </c>
      <c r="Y1296" s="24">
        <f t="shared" si="342"/>
        <v>30</v>
      </c>
      <c r="AA1296" s="189"/>
    </row>
    <row r="1297" spans="1:27" x14ac:dyDescent="0.25">
      <c r="A1297" s="60" t="s">
        <v>574</v>
      </c>
      <c r="B1297" s="21" t="s">
        <v>329</v>
      </c>
      <c r="C1297" s="21" t="s">
        <v>1257</v>
      </c>
      <c r="D1297" s="21" t="s">
        <v>81</v>
      </c>
      <c r="E1297" s="27"/>
      <c r="F1297" s="27"/>
      <c r="G1297" s="24"/>
      <c r="H1297" s="27"/>
      <c r="I1297" s="24"/>
      <c r="J1297" s="27"/>
      <c r="K1297" s="24"/>
      <c r="L1297" s="27"/>
      <c r="M1297" s="24"/>
      <c r="N1297" s="27"/>
      <c r="O1297" s="24"/>
      <c r="P1297" s="27"/>
      <c r="Q1297" s="24"/>
      <c r="R1297" s="27"/>
      <c r="S1297" s="24"/>
      <c r="T1297" s="69"/>
      <c r="U1297" s="24"/>
      <c r="V1297" s="69"/>
      <c r="W1297" s="24"/>
      <c r="X1297" s="39">
        <v>30</v>
      </c>
      <c r="Y1297" s="24">
        <f t="shared" si="342"/>
        <v>30</v>
      </c>
      <c r="Z1297" s="61">
        <v>30</v>
      </c>
      <c r="AA1297" s="189">
        <f>Y1297+Z1297</f>
        <v>60</v>
      </c>
    </row>
    <row r="1298" spans="1:27" s="6" customFormat="1" ht="24.75" x14ac:dyDescent="0.25">
      <c r="A1298" s="22" t="s">
        <v>77</v>
      </c>
      <c r="B1298" s="23" t="s">
        <v>329</v>
      </c>
      <c r="C1298" s="23" t="s">
        <v>78</v>
      </c>
      <c r="D1298" s="23" t="s">
        <v>2</v>
      </c>
      <c r="E1298" s="24">
        <f>E1299+E1305+E1335+E1342</f>
        <v>345462.49999999994</v>
      </c>
      <c r="F1298" s="24">
        <f>F1299+F1305+F1335+F1342</f>
        <v>431589.9</v>
      </c>
      <c r="G1298" s="24">
        <f t="shared" si="327"/>
        <v>777052.39999999991</v>
      </c>
      <c r="H1298" s="24">
        <f>H1299+H1305+H1335+H1342</f>
        <v>-13680.7</v>
      </c>
      <c r="I1298" s="24">
        <f t="shared" si="322"/>
        <v>763371.7</v>
      </c>
      <c r="J1298" s="24">
        <f>J1299+J1305+J1335+J1342+J1346</f>
        <v>-317.5</v>
      </c>
      <c r="K1298" s="24">
        <f t="shared" si="323"/>
        <v>763054.2</v>
      </c>
      <c r="L1298" s="24">
        <f>L1299+L1305+L1335+L1342+L1346</f>
        <v>22195.9</v>
      </c>
      <c r="M1298" s="24">
        <f t="shared" si="324"/>
        <v>785250.1</v>
      </c>
      <c r="N1298" s="24">
        <f>N1299+N1305+N1335+N1342</f>
        <v>-38976.1</v>
      </c>
      <c r="O1298" s="24">
        <f t="shared" si="325"/>
        <v>746274</v>
      </c>
      <c r="P1298" s="24">
        <f>P1299+P1305+P1335+P1342</f>
        <v>-10460.1</v>
      </c>
      <c r="Q1298" s="24">
        <f t="shared" si="314"/>
        <v>735813.9</v>
      </c>
      <c r="R1298" s="24">
        <f>R1299+R1305+R1335+R1342</f>
        <v>-2307.1999999999998</v>
      </c>
      <c r="S1298" s="24">
        <f t="shared" si="309"/>
        <v>733506.70000000007</v>
      </c>
      <c r="T1298" s="24">
        <f>T1299+T1305+T1335+T1342</f>
        <v>-1261.4000000000001</v>
      </c>
      <c r="U1298" s="24">
        <f t="shared" si="308"/>
        <v>732245.3</v>
      </c>
      <c r="V1298" s="24">
        <f>V1299+V1305+V1335+V1342</f>
        <v>835.99999999999989</v>
      </c>
      <c r="W1298" s="24">
        <f t="shared" si="305"/>
        <v>733081.3</v>
      </c>
      <c r="X1298" s="24">
        <f>X1299+X1305+X1335+X1342</f>
        <v>-1241</v>
      </c>
      <c r="Y1298" s="24">
        <f t="shared" si="335"/>
        <v>731840.3</v>
      </c>
      <c r="Z1298" s="189"/>
    </row>
    <row r="1299" spans="1:27" s="6" customFormat="1" x14ac:dyDescent="0.25">
      <c r="A1299" s="22" t="s">
        <v>316</v>
      </c>
      <c r="B1299" s="23" t="s">
        <v>329</v>
      </c>
      <c r="C1299" s="23" t="s">
        <v>317</v>
      </c>
      <c r="D1299" s="23" t="s">
        <v>2</v>
      </c>
      <c r="E1299" s="24">
        <f>E1300+E1302</f>
        <v>24192.6</v>
      </c>
      <c r="F1299" s="24">
        <f>F1300+F1302</f>
        <v>-18296</v>
      </c>
      <c r="G1299" s="24">
        <f t="shared" si="327"/>
        <v>5896.5999999999985</v>
      </c>
      <c r="H1299" s="24">
        <f>H1300+H1302</f>
        <v>0</v>
      </c>
      <c r="I1299" s="24">
        <f t="shared" si="322"/>
        <v>5896.5999999999985</v>
      </c>
      <c r="J1299" s="24">
        <f>J1300+J1302</f>
        <v>0</v>
      </c>
      <c r="K1299" s="24">
        <f t="shared" si="323"/>
        <v>5896.5999999999985</v>
      </c>
      <c r="L1299" s="24">
        <f>L1300+L1302</f>
        <v>-964.6</v>
      </c>
      <c r="M1299" s="24">
        <f t="shared" si="324"/>
        <v>4931.9999999999982</v>
      </c>
      <c r="N1299" s="24">
        <f>N1300+N1302</f>
        <v>1083.0999999999999</v>
      </c>
      <c r="O1299" s="24">
        <f t="shared" si="325"/>
        <v>6015.0999999999985</v>
      </c>
      <c r="P1299" s="24">
        <f>P1300+P1302</f>
        <v>0</v>
      </c>
      <c r="Q1299" s="24">
        <f t="shared" si="314"/>
        <v>6015.0999999999985</v>
      </c>
      <c r="R1299" s="24">
        <f>R1300+R1302</f>
        <v>-1439.9</v>
      </c>
      <c r="S1299" s="24">
        <f t="shared" si="309"/>
        <v>4575.1999999999989</v>
      </c>
      <c r="T1299" s="24">
        <f>T1300+T1302</f>
        <v>0</v>
      </c>
      <c r="U1299" s="24">
        <f t="shared" si="308"/>
        <v>4575.1999999999989</v>
      </c>
      <c r="V1299" s="24">
        <f>V1300+V1302</f>
        <v>0.1</v>
      </c>
      <c r="W1299" s="24">
        <f t="shared" si="305"/>
        <v>4575.2999999999993</v>
      </c>
      <c r="X1299" s="24">
        <f>X1300+X1302</f>
        <v>0</v>
      </c>
      <c r="Y1299" s="24">
        <f t="shared" si="335"/>
        <v>4575.2999999999993</v>
      </c>
      <c r="Z1299" s="189"/>
    </row>
    <row r="1300" spans="1:27" s="6" customFormat="1" x14ac:dyDescent="0.25">
      <c r="A1300" s="22" t="s">
        <v>318</v>
      </c>
      <c r="B1300" s="23" t="s">
        <v>329</v>
      </c>
      <c r="C1300" s="23" t="s">
        <v>319</v>
      </c>
      <c r="D1300" s="23" t="s">
        <v>2</v>
      </c>
      <c r="E1300" s="24">
        <f>E1301</f>
        <v>19871.099999999999</v>
      </c>
      <c r="F1300" s="24">
        <f>F1301</f>
        <v>-18296</v>
      </c>
      <c r="G1300" s="24">
        <f t="shared" si="327"/>
        <v>1575.0999999999985</v>
      </c>
      <c r="H1300" s="24">
        <f>H1301</f>
        <v>0</v>
      </c>
      <c r="I1300" s="24">
        <f t="shared" si="322"/>
        <v>1575.0999999999985</v>
      </c>
      <c r="J1300" s="24">
        <f>J1301</f>
        <v>0</v>
      </c>
      <c r="K1300" s="24">
        <f t="shared" si="323"/>
        <v>1575.0999999999985</v>
      </c>
      <c r="L1300" s="24">
        <f>L1301</f>
        <v>-964.6</v>
      </c>
      <c r="M1300" s="24">
        <f t="shared" si="324"/>
        <v>610.49999999999852</v>
      </c>
      <c r="N1300" s="24">
        <f>N1301</f>
        <v>0</v>
      </c>
      <c r="O1300" s="24">
        <f t="shared" si="325"/>
        <v>610.49999999999852</v>
      </c>
      <c r="P1300" s="24">
        <f>P1301</f>
        <v>0</v>
      </c>
      <c r="Q1300" s="24">
        <f t="shared" si="314"/>
        <v>610.49999999999852</v>
      </c>
      <c r="R1300" s="24">
        <f>R1301</f>
        <v>-274.10000000000002</v>
      </c>
      <c r="S1300" s="24">
        <f t="shared" si="309"/>
        <v>336.3999999999985</v>
      </c>
      <c r="T1300" s="24">
        <f>T1301</f>
        <v>0</v>
      </c>
      <c r="U1300" s="24">
        <f t="shared" si="308"/>
        <v>336.3999999999985</v>
      </c>
      <c r="V1300" s="24">
        <f>V1301</f>
        <v>0</v>
      </c>
      <c r="W1300" s="24">
        <f t="shared" si="305"/>
        <v>336.3999999999985</v>
      </c>
      <c r="X1300" s="24">
        <f>X1301</f>
        <v>0</v>
      </c>
      <c r="Y1300" s="24">
        <f t="shared" si="335"/>
        <v>336.3999999999985</v>
      </c>
      <c r="Z1300" s="189"/>
    </row>
    <row r="1301" spans="1:27" x14ac:dyDescent="0.25">
      <c r="A1301" s="25" t="s">
        <v>574</v>
      </c>
      <c r="B1301" s="26" t="s">
        <v>329</v>
      </c>
      <c r="C1301" s="26" t="s">
        <v>319</v>
      </c>
      <c r="D1301" s="26" t="s">
        <v>81</v>
      </c>
      <c r="E1301" s="27">
        <v>19871.099999999999</v>
      </c>
      <c r="F1301" s="63">
        <v>-18296</v>
      </c>
      <c r="G1301" s="24">
        <f t="shared" si="327"/>
        <v>1575.0999999999985</v>
      </c>
      <c r="H1301" s="69"/>
      <c r="I1301" s="24">
        <f t="shared" si="322"/>
        <v>1575.0999999999985</v>
      </c>
      <c r="J1301" s="69"/>
      <c r="K1301" s="24">
        <f t="shared" si="323"/>
        <v>1575.0999999999985</v>
      </c>
      <c r="L1301" s="107">
        <v>-964.6</v>
      </c>
      <c r="M1301" s="24">
        <f t="shared" si="324"/>
        <v>610.49999999999852</v>
      </c>
      <c r="N1301" s="69"/>
      <c r="O1301" s="24">
        <f t="shared" si="325"/>
        <v>610.49999999999852</v>
      </c>
      <c r="P1301" s="69"/>
      <c r="Q1301" s="24">
        <f t="shared" si="314"/>
        <v>610.49999999999852</v>
      </c>
      <c r="R1301" s="39">
        <v>-274.10000000000002</v>
      </c>
      <c r="S1301" s="24">
        <f t="shared" si="309"/>
        <v>336.3999999999985</v>
      </c>
      <c r="T1301" s="69"/>
      <c r="U1301" s="24">
        <f t="shared" si="308"/>
        <v>336.3999999999985</v>
      </c>
      <c r="V1301" s="69"/>
      <c r="W1301" s="24">
        <f t="shared" si="305"/>
        <v>336.3999999999985</v>
      </c>
      <c r="X1301" s="69"/>
      <c r="Y1301" s="24">
        <f t="shared" si="335"/>
        <v>336.3999999999985</v>
      </c>
      <c r="AA1301" s="189">
        <f>Y1301+Z1301</f>
        <v>336.3999999999985</v>
      </c>
    </row>
    <row r="1302" spans="1:27" s="6" customFormat="1" x14ac:dyDescent="0.25">
      <c r="A1302" s="22" t="s">
        <v>49</v>
      </c>
      <c r="B1302" s="23" t="s">
        <v>329</v>
      </c>
      <c r="C1302" s="23" t="s">
        <v>320</v>
      </c>
      <c r="D1302" s="23" t="s">
        <v>2</v>
      </c>
      <c r="E1302" s="24">
        <f>E1303+E1304</f>
        <v>4321.5</v>
      </c>
      <c r="F1302" s="24">
        <f>F1303+F1304</f>
        <v>0</v>
      </c>
      <c r="G1302" s="24">
        <f t="shared" si="327"/>
        <v>4321.5</v>
      </c>
      <c r="H1302" s="24">
        <f>H1303+H1304</f>
        <v>0</v>
      </c>
      <c r="I1302" s="24">
        <f t="shared" si="322"/>
        <v>4321.5</v>
      </c>
      <c r="J1302" s="24">
        <f>J1303+J1304</f>
        <v>0</v>
      </c>
      <c r="K1302" s="24">
        <f t="shared" si="323"/>
        <v>4321.5</v>
      </c>
      <c r="L1302" s="24">
        <f>L1303+L1304</f>
        <v>0</v>
      </c>
      <c r="M1302" s="24">
        <f t="shared" si="324"/>
        <v>4321.5</v>
      </c>
      <c r="N1302" s="24">
        <f>N1303+N1304</f>
        <v>1083.0999999999999</v>
      </c>
      <c r="O1302" s="24">
        <f t="shared" si="325"/>
        <v>5404.6</v>
      </c>
      <c r="P1302" s="24">
        <f>P1303+P1304</f>
        <v>0</v>
      </c>
      <c r="Q1302" s="24">
        <f t="shared" si="314"/>
        <v>5404.6</v>
      </c>
      <c r="R1302" s="24">
        <f>R1303+R1304</f>
        <v>-1165.8</v>
      </c>
      <c r="S1302" s="24">
        <f t="shared" si="309"/>
        <v>4238.8</v>
      </c>
      <c r="T1302" s="24">
        <f>T1303+T1304</f>
        <v>0</v>
      </c>
      <c r="U1302" s="24">
        <f t="shared" si="308"/>
        <v>4238.8</v>
      </c>
      <c r="V1302" s="24">
        <f>V1303+V1304</f>
        <v>0.1</v>
      </c>
      <c r="W1302" s="24">
        <f t="shared" si="305"/>
        <v>4238.9000000000005</v>
      </c>
      <c r="X1302" s="24">
        <f>X1303+X1304</f>
        <v>0</v>
      </c>
      <c r="Y1302" s="24">
        <f t="shared" si="335"/>
        <v>4238.9000000000005</v>
      </c>
      <c r="Z1302" s="189"/>
    </row>
    <row r="1303" spans="1:27" s="6" customFormat="1" x14ac:dyDescent="0.25">
      <c r="A1303" s="25" t="s">
        <v>574</v>
      </c>
      <c r="B1303" s="26" t="s">
        <v>329</v>
      </c>
      <c r="C1303" s="26" t="s">
        <v>320</v>
      </c>
      <c r="D1303" s="26" t="s">
        <v>81</v>
      </c>
      <c r="E1303" s="27">
        <v>3659.5</v>
      </c>
      <c r="F1303" s="27"/>
      <c r="G1303" s="24">
        <f t="shared" si="327"/>
        <v>3659.5</v>
      </c>
      <c r="H1303" s="27"/>
      <c r="I1303" s="24">
        <f t="shared" si="322"/>
        <v>3659.5</v>
      </c>
      <c r="J1303" s="27"/>
      <c r="K1303" s="24">
        <f t="shared" si="323"/>
        <v>3659.5</v>
      </c>
      <c r="L1303" s="27"/>
      <c r="M1303" s="24">
        <f t="shared" si="324"/>
        <v>3659.5</v>
      </c>
      <c r="N1303" s="39">
        <v>1029.8</v>
      </c>
      <c r="O1303" s="24">
        <f t="shared" si="325"/>
        <v>4689.3</v>
      </c>
      <c r="P1303" s="69"/>
      <c r="Q1303" s="24">
        <f t="shared" si="314"/>
        <v>4689.3</v>
      </c>
      <c r="R1303" s="39">
        <v>-888.1</v>
      </c>
      <c r="S1303" s="24">
        <f t="shared" si="309"/>
        <v>3801.2000000000003</v>
      </c>
      <c r="T1303" s="69"/>
      <c r="U1303" s="24">
        <f t="shared" si="308"/>
        <v>3801.2000000000003</v>
      </c>
      <c r="V1303" s="94">
        <v>0.1</v>
      </c>
      <c r="W1303" s="24">
        <f t="shared" si="305"/>
        <v>3801.3</v>
      </c>
      <c r="X1303" s="69"/>
      <c r="Y1303" s="24">
        <f t="shared" si="335"/>
        <v>3801.3</v>
      </c>
      <c r="Z1303" s="189"/>
      <c r="AA1303" s="189">
        <f t="shared" ref="AA1303:AA1304" si="343">Y1303+Z1303</f>
        <v>3801.3</v>
      </c>
    </row>
    <row r="1304" spans="1:27" s="6" customFormat="1" x14ac:dyDescent="0.25">
      <c r="A1304" s="25" t="s">
        <v>321</v>
      </c>
      <c r="B1304" s="26" t="s">
        <v>329</v>
      </c>
      <c r="C1304" s="26" t="s">
        <v>320</v>
      </c>
      <c r="D1304" s="26" t="s">
        <v>322</v>
      </c>
      <c r="E1304" s="27">
        <v>662</v>
      </c>
      <c r="F1304" s="27"/>
      <c r="G1304" s="24">
        <f t="shared" si="327"/>
        <v>662</v>
      </c>
      <c r="H1304" s="27"/>
      <c r="I1304" s="24">
        <f t="shared" si="322"/>
        <v>662</v>
      </c>
      <c r="J1304" s="27"/>
      <c r="K1304" s="24">
        <f t="shared" si="323"/>
        <v>662</v>
      </c>
      <c r="L1304" s="27"/>
      <c r="M1304" s="24">
        <f t="shared" si="324"/>
        <v>662</v>
      </c>
      <c r="N1304" s="39">
        <v>53.3</v>
      </c>
      <c r="O1304" s="24">
        <f t="shared" si="325"/>
        <v>715.3</v>
      </c>
      <c r="P1304" s="69"/>
      <c r="Q1304" s="24">
        <f t="shared" si="314"/>
        <v>715.3</v>
      </c>
      <c r="R1304" s="39">
        <v>-277.7</v>
      </c>
      <c r="S1304" s="24">
        <f t="shared" si="309"/>
        <v>437.59999999999997</v>
      </c>
      <c r="T1304" s="69"/>
      <c r="U1304" s="24">
        <f t="shared" si="308"/>
        <v>437.59999999999997</v>
      </c>
      <c r="V1304" s="69"/>
      <c r="W1304" s="24">
        <f t="shared" si="305"/>
        <v>437.59999999999997</v>
      </c>
      <c r="X1304" s="69"/>
      <c r="Y1304" s="24">
        <f t="shared" si="335"/>
        <v>437.59999999999997</v>
      </c>
      <c r="Z1304" s="189"/>
      <c r="AA1304" s="189">
        <f t="shared" si="343"/>
        <v>437.59999999999997</v>
      </c>
    </row>
    <row r="1305" spans="1:27" ht="24.75" x14ac:dyDescent="0.25">
      <c r="A1305" s="22" t="s">
        <v>323</v>
      </c>
      <c r="B1305" s="23" t="s">
        <v>329</v>
      </c>
      <c r="C1305" s="23" t="s">
        <v>324</v>
      </c>
      <c r="D1305" s="23" t="s">
        <v>2</v>
      </c>
      <c r="E1305" s="24">
        <f>E1312+E1316+E1319+E1323+E1329+E1326+E1332</f>
        <v>49200.7</v>
      </c>
      <c r="F1305" s="24">
        <f>F1312+F1316+F1319+F1323+F1329+F1326+F1332+F1310</f>
        <v>40143.599999999999</v>
      </c>
      <c r="G1305" s="24">
        <f t="shared" si="327"/>
        <v>89344.299999999988</v>
      </c>
      <c r="H1305" s="24">
        <f>H1312+H1316+H1319+H1323+H1329+H1326+H1332+H1310</f>
        <v>-9592.6</v>
      </c>
      <c r="I1305" s="24">
        <f t="shared" si="322"/>
        <v>79751.699999999983</v>
      </c>
      <c r="J1305" s="24">
        <f>J1312+J1316+J1319+J1323+J1329+J1326+J1332+J1310</f>
        <v>-358.1</v>
      </c>
      <c r="K1305" s="24">
        <f t="shared" si="323"/>
        <v>79393.599999999977</v>
      </c>
      <c r="L1305" s="24">
        <f>L1312+L1316+L1319+L1323+L1329+L1326+L1332+L1310+L1321+L1308</f>
        <v>23160.5</v>
      </c>
      <c r="M1305" s="24">
        <f t="shared" si="324"/>
        <v>102554.09999999998</v>
      </c>
      <c r="N1305" s="24">
        <f>N1312+N1316+N1319+N1323+N1329+N1326+N1332+N1310+N1321+N1308</f>
        <v>-40059.199999999997</v>
      </c>
      <c r="O1305" s="24">
        <f t="shared" si="325"/>
        <v>62494.89999999998</v>
      </c>
      <c r="P1305" s="24">
        <f>P1312+P1316+P1319+P1323+P1329+P1326+P1332+P1310+P1321+P1308+P1306</f>
        <v>-10460.1</v>
      </c>
      <c r="Q1305" s="24">
        <f t="shared" si="314"/>
        <v>52034.799999999981</v>
      </c>
      <c r="R1305" s="24">
        <f>R1312+R1316+R1319+R1323+R1329+R1326+R1332+R1310+R1321+R1308+R1306</f>
        <v>-867.3</v>
      </c>
      <c r="S1305" s="24">
        <f t="shared" si="309"/>
        <v>51167.499999999978</v>
      </c>
      <c r="T1305" s="24">
        <f>T1312+T1316+T1319+T1323+T1329+T1326+T1332+T1310+T1321+T1308+T1306</f>
        <v>-1261.4000000000001</v>
      </c>
      <c r="U1305" s="24">
        <f t="shared" si="308"/>
        <v>49906.099999999977</v>
      </c>
      <c r="V1305" s="24">
        <f>V1312+V1316+V1319+V1323+V1329+V1326+V1332+V1310+V1321+V1308+V1306</f>
        <v>807.89999999999986</v>
      </c>
      <c r="W1305" s="24">
        <f t="shared" si="305"/>
        <v>50713.999999999978</v>
      </c>
      <c r="X1305" s="24">
        <f>X1312+X1316+X1319+X1323+X1329+X1326+X1332+X1310+X1321+X1308+X1306</f>
        <v>-1241</v>
      </c>
      <c r="Y1305" s="24">
        <f t="shared" si="335"/>
        <v>49472.999999999978</v>
      </c>
    </row>
    <row r="1306" spans="1:27" s="6" customFormat="1" x14ac:dyDescent="0.25">
      <c r="A1306" s="22" t="s">
        <v>769</v>
      </c>
      <c r="B1306" s="23" t="s">
        <v>329</v>
      </c>
      <c r="C1306" s="23" t="s">
        <v>910</v>
      </c>
      <c r="D1306" s="23"/>
      <c r="E1306" s="24"/>
      <c r="F1306" s="24"/>
      <c r="G1306" s="24"/>
      <c r="H1306" s="24"/>
      <c r="I1306" s="24"/>
      <c r="J1306" s="24"/>
      <c r="K1306" s="24"/>
      <c r="L1306" s="24"/>
      <c r="M1306" s="24"/>
      <c r="N1306" s="24"/>
      <c r="O1306" s="24">
        <f t="shared" si="325"/>
        <v>0</v>
      </c>
      <c r="P1306" s="24">
        <f>P1307</f>
        <v>300</v>
      </c>
      <c r="Q1306" s="24">
        <f t="shared" si="314"/>
        <v>300</v>
      </c>
      <c r="R1306" s="24">
        <f>R1307</f>
        <v>0</v>
      </c>
      <c r="S1306" s="24">
        <f t="shared" si="309"/>
        <v>300</v>
      </c>
      <c r="T1306" s="24">
        <f>T1307</f>
        <v>0</v>
      </c>
      <c r="U1306" s="24">
        <f t="shared" si="308"/>
        <v>300</v>
      </c>
      <c r="V1306" s="24">
        <f>V1307</f>
        <v>0</v>
      </c>
      <c r="W1306" s="24">
        <f t="shared" si="305"/>
        <v>300</v>
      </c>
      <c r="X1306" s="24">
        <f>X1307</f>
        <v>0</v>
      </c>
      <c r="Y1306" s="24">
        <f t="shared" si="335"/>
        <v>300</v>
      </c>
      <c r="Z1306" s="189"/>
    </row>
    <row r="1307" spans="1:27" x14ac:dyDescent="0.25">
      <c r="A1307" s="25" t="s">
        <v>321</v>
      </c>
      <c r="B1307" s="26" t="s">
        <v>329</v>
      </c>
      <c r="C1307" s="26" t="s">
        <v>910</v>
      </c>
      <c r="D1307" s="26" t="s">
        <v>322</v>
      </c>
      <c r="E1307" s="27"/>
      <c r="F1307" s="27"/>
      <c r="G1307" s="27"/>
      <c r="H1307" s="27"/>
      <c r="I1307" s="27"/>
      <c r="J1307" s="27"/>
      <c r="K1307" s="27"/>
      <c r="L1307" s="27"/>
      <c r="M1307" s="27"/>
      <c r="N1307" s="27"/>
      <c r="O1307" s="24">
        <f t="shared" si="325"/>
        <v>0</v>
      </c>
      <c r="P1307" s="125">
        <v>300</v>
      </c>
      <c r="Q1307" s="24">
        <f t="shared" si="314"/>
        <v>300</v>
      </c>
      <c r="R1307" s="69"/>
      <c r="S1307" s="24">
        <f t="shared" si="309"/>
        <v>300</v>
      </c>
      <c r="T1307" s="69"/>
      <c r="U1307" s="24">
        <f t="shared" si="308"/>
        <v>300</v>
      </c>
      <c r="V1307" s="69"/>
      <c r="W1307" s="24">
        <f t="shared" si="305"/>
        <v>300</v>
      </c>
      <c r="X1307" s="69"/>
      <c r="Y1307" s="24">
        <f t="shared" si="335"/>
        <v>300</v>
      </c>
      <c r="AA1307" s="189">
        <f>Y1307+Z1307</f>
        <v>300</v>
      </c>
    </row>
    <row r="1308" spans="1:27" ht="24.75" x14ac:dyDescent="0.25">
      <c r="A1308" s="40" t="s">
        <v>247</v>
      </c>
      <c r="B1308" s="55" t="s">
        <v>329</v>
      </c>
      <c r="C1308" s="41" t="s">
        <v>842</v>
      </c>
      <c r="D1308" s="41" t="s">
        <v>2</v>
      </c>
      <c r="E1308" s="104"/>
      <c r="F1308" s="104"/>
      <c r="G1308" s="104"/>
      <c r="H1308" s="104"/>
      <c r="I1308" s="104"/>
      <c r="J1308" s="104"/>
      <c r="K1308" s="104"/>
      <c r="L1308" s="85">
        <f>L1309</f>
        <v>30000</v>
      </c>
      <c r="M1308" s="104">
        <f t="shared" si="324"/>
        <v>30000</v>
      </c>
      <c r="N1308" s="85">
        <f>N1309</f>
        <v>0</v>
      </c>
      <c r="O1308" s="104">
        <f t="shared" si="325"/>
        <v>30000</v>
      </c>
      <c r="P1308" s="85">
        <f>P1309</f>
        <v>0</v>
      </c>
      <c r="Q1308" s="104">
        <f t="shared" si="314"/>
        <v>30000</v>
      </c>
      <c r="R1308" s="85">
        <f>R1309</f>
        <v>0</v>
      </c>
      <c r="S1308" s="104">
        <f t="shared" si="309"/>
        <v>30000</v>
      </c>
      <c r="T1308" s="85">
        <f>T1309</f>
        <v>0</v>
      </c>
      <c r="U1308" s="104">
        <f t="shared" si="308"/>
        <v>30000</v>
      </c>
      <c r="V1308" s="85">
        <f>V1309</f>
        <v>0</v>
      </c>
      <c r="W1308" s="104">
        <f t="shared" si="305"/>
        <v>30000</v>
      </c>
      <c r="X1308" s="85">
        <f>X1309</f>
        <v>0</v>
      </c>
      <c r="Y1308" s="104">
        <f t="shared" si="335"/>
        <v>30000</v>
      </c>
    </row>
    <row r="1309" spans="1:27" s="6" customFormat="1" ht="36.75" x14ac:dyDescent="0.25">
      <c r="A1309" s="17" t="s">
        <v>681</v>
      </c>
      <c r="B1309" s="56" t="s">
        <v>329</v>
      </c>
      <c r="C1309" s="42" t="s">
        <v>842</v>
      </c>
      <c r="D1309" s="42" t="s">
        <v>682</v>
      </c>
      <c r="E1309" s="104"/>
      <c r="F1309" s="104"/>
      <c r="G1309" s="104"/>
      <c r="H1309" s="104"/>
      <c r="I1309" s="104"/>
      <c r="J1309" s="104"/>
      <c r="K1309" s="104"/>
      <c r="L1309" s="51">
        <v>30000</v>
      </c>
      <c r="M1309" s="104">
        <f t="shared" si="324"/>
        <v>30000</v>
      </c>
      <c r="N1309" s="84"/>
      <c r="O1309" s="104">
        <f t="shared" si="325"/>
        <v>30000</v>
      </c>
      <c r="P1309" s="84"/>
      <c r="Q1309" s="104">
        <f t="shared" si="314"/>
        <v>30000</v>
      </c>
      <c r="R1309" s="84"/>
      <c r="S1309" s="104">
        <f t="shared" si="309"/>
        <v>30000</v>
      </c>
      <c r="T1309" s="84"/>
      <c r="U1309" s="104">
        <f t="shared" si="308"/>
        <v>30000</v>
      </c>
      <c r="V1309" s="84"/>
      <c r="W1309" s="104">
        <f t="shared" si="305"/>
        <v>30000</v>
      </c>
      <c r="X1309" s="84"/>
      <c r="Y1309" s="104">
        <f t="shared" si="335"/>
        <v>30000</v>
      </c>
      <c r="Z1309" s="189"/>
      <c r="AA1309" s="189">
        <f>Y1309+Z1309</f>
        <v>30000</v>
      </c>
    </row>
    <row r="1310" spans="1:27" s="6" customFormat="1" ht="60.75" hidden="1" x14ac:dyDescent="0.25">
      <c r="A1310" s="22" t="s">
        <v>668</v>
      </c>
      <c r="B1310" s="23" t="s">
        <v>329</v>
      </c>
      <c r="C1310" s="23" t="s">
        <v>670</v>
      </c>
      <c r="D1310" s="23" t="s">
        <v>2</v>
      </c>
      <c r="E1310" s="24"/>
      <c r="F1310" s="18">
        <f>F1311</f>
        <v>9592.6</v>
      </c>
      <c r="G1310" s="24">
        <f t="shared" si="327"/>
        <v>9592.6</v>
      </c>
      <c r="H1310" s="18">
        <f>H1311</f>
        <v>-9592.6</v>
      </c>
      <c r="I1310" s="24">
        <f t="shared" si="322"/>
        <v>0</v>
      </c>
      <c r="J1310" s="18">
        <f>J1311</f>
        <v>0</v>
      </c>
      <c r="K1310" s="24">
        <f t="shared" si="323"/>
        <v>0</v>
      </c>
      <c r="L1310" s="18">
        <f>L1311</f>
        <v>0</v>
      </c>
      <c r="M1310" s="24">
        <f t="shared" si="324"/>
        <v>0</v>
      </c>
      <c r="N1310" s="18">
        <f>N1311</f>
        <v>0</v>
      </c>
      <c r="O1310" s="24">
        <f t="shared" si="325"/>
        <v>0</v>
      </c>
      <c r="P1310" s="18">
        <f>P1311</f>
        <v>0</v>
      </c>
      <c r="Q1310" s="24">
        <f t="shared" si="314"/>
        <v>0</v>
      </c>
      <c r="R1310" s="18">
        <f>R1311</f>
        <v>0</v>
      </c>
      <c r="S1310" s="24">
        <f t="shared" si="309"/>
        <v>0</v>
      </c>
      <c r="T1310" s="18">
        <f>T1311</f>
        <v>0</v>
      </c>
      <c r="U1310" s="24">
        <f t="shared" si="308"/>
        <v>0</v>
      </c>
      <c r="V1310" s="18">
        <f>V1311</f>
        <v>0</v>
      </c>
      <c r="W1310" s="24">
        <f t="shared" si="305"/>
        <v>0</v>
      </c>
      <c r="X1310" s="18">
        <f>X1311</f>
        <v>0</v>
      </c>
      <c r="Y1310" s="24">
        <f t="shared" si="335"/>
        <v>0</v>
      </c>
      <c r="Z1310" s="189"/>
    </row>
    <row r="1311" spans="1:27" s="6" customFormat="1" ht="24.75" hidden="1" x14ac:dyDescent="0.25">
      <c r="A1311" s="25" t="s">
        <v>669</v>
      </c>
      <c r="B1311" s="26" t="s">
        <v>329</v>
      </c>
      <c r="C1311" s="26" t="s">
        <v>670</v>
      </c>
      <c r="D1311" s="26" t="s">
        <v>251</v>
      </c>
      <c r="E1311" s="24"/>
      <c r="F1311" s="43">
        <v>9592.6</v>
      </c>
      <c r="G1311" s="24">
        <f t="shared" si="327"/>
        <v>9592.6</v>
      </c>
      <c r="H1311" s="43">
        <v>-9592.6</v>
      </c>
      <c r="I1311" s="24">
        <f t="shared" si="322"/>
        <v>0</v>
      </c>
      <c r="J1311" s="69"/>
      <c r="K1311" s="24">
        <f t="shared" si="323"/>
        <v>0</v>
      </c>
      <c r="L1311" s="69"/>
      <c r="M1311" s="24">
        <f t="shared" si="324"/>
        <v>0</v>
      </c>
      <c r="N1311" s="69"/>
      <c r="O1311" s="24">
        <f t="shared" si="325"/>
        <v>0</v>
      </c>
      <c r="P1311" s="69"/>
      <c r="Q1311" s="24">
        <f t="shared" ref="Q1311:Q1419" si="344">O1311+P1311</f>
        <v>0</v>
      </c>
      <c r="R1311" s="69"/>
      <c r="S1311" s="24">
        <f t="shared" si="309"/>
        <v>0</v>
      </c>
      <c r="T1311" s="69"/>
      <c r="U1311" s="24">
        <f t="shared" si="308"/>
        <v>0</v>
      </c>
      <c r="V1311" s="69"/>
      <c r="W1311" s="24">
        <f t="shared" si="305"/>
        <v>0</v>
      </c>
      <c r="X1311" s="69"/>
      <c r="Y1311" s="24">
        <f t="shared" si="335"/>
        <v>0</v>
      </c>
      <c r="Z1311" s="189"/>
      <c r="AA1311" s="189">
        <f>Y1311+Z1311</f>
        <v>0</v>
      </c>
    </row>
    <row r="1312" spans="1:27" s="6" customFormat="1" x14ac:dyDescent="0.25">
      <c r="A1312" s="22" t="s">
        <v>235</v>
      </c>
      <c r="B1312" s="23" t="s">
        <v>329</v>
      </c>
      <c r="C1312" s="23" t="s">
        <v>339</v>
      </c>
      <c r="D1312" s="23" t="s">
        <v>2</v>
      </c>
      <c r="E1312" s="24">
        <f>E1313</f>
        <v>10000</v>
      </c>
      <c r="F1312" s="24">
        <f>F1313+F1315</f>
        <v>30551</v>
      </c>
      <c r="G1312" s="24">
        <f t="shared" si="327"/>
        <v>40551</v>
      </c>
      <c r="H1312" s="24">
        <f>H1313+H1315</f>
        <v>0</v>
      </c>
      <c r="I1312" s="24">
        <f t="shared" si="322"/>
        <v>40551</v>
      </c>
      <c r="J1312" s="24">
        <f>J1313+J1315+J1314</f>
        <v>-40.600000000000023</v>
      </c>
      <c r="K1312" s="24">
        <f t="shared" si="323"/>
        <v>40510.400000000001</v>
      </c>
      <c r="L1312" s="24">
        <f>L1313+L1315+L1314</f>
        <v>0</v>
      </c>
      <c r="M1312" s="24">
        <f t="shared" si="324"/>
        <v>40510.400000000001</v>
      </c>
      <c r="N1312" s="24">
        <f>N1313+N1315+N1314</f>
        <v>-34479.5</v>
      </c>
      <c r="O1312" s="24">
        <f t="shared" si="325"/>
        <v>6030.9000000000015</v>
      </c>
      <c r="P1312" s="24">
        <f>P1313+P1315+P1314</f>
        <v>-2721.3</v>
      </c>
      <c r="Q1312" s="24">
        <f t="shared" si="344"/>
        <v>3309.6000000000013</v>
      </c>
      <c r="R1312" s="24">
        <f>R1313+R1315+R1314</f>
        <v>-1428.7</v>
      </c>
      <c r="S1312" s="24">
        <f t="shared" si="309"/>
        <v>1880.9000000000012</v>
      </c>
      <c r="T1312" s="24">
        <f>T1313+T1315+T1314</f>
        <v>0</v>
      </c>
      <c r="U1312" s="24">
        <f t="shared" si="308"/>
        <v>1880.9000000000012</v>
      </c>
      <c r="V1312" s="24">
        <f>V1313+V1315+V1314</f>
        <v>1308.0999999999999</v>
      </c>
      <c r="W1312" s="24">
        <f t="shared" si="305"/>
        <v>3189.0000000000009</v>
      </c>
      <c r="X1312" s="24">
        <f>X1313+X1315+X1314</f>
        <v>-1241</v>
      </c>
      <c r="Y1312" s="24">
        <f t="shared" si="335"/>
        <v>1948.0000000000009</v>
      </c>
      <c r="Z1312" s="189"/>
    </row>
    <row r="1313" spans="1:27" s="6" customFormat="1" x14ac:dyDescent="0.25">
      <c r="A1313" s="25" t="s">
        <v>66</v>
      </c>
      <c r="B1313" s="26" t="s">
        <v>329</v>
      </c>
      <c r="C1313" s="26" t="s">
        <v>339</v>
      </c>
      <c r="D1313" s="26" t="s">
        <v>42</v>
      </c>
      <c r="E1313" s="27">
        <v>10000</v>
      </c>
      <c r="F1313" s="27"/>
      <c r="G1313" s="24">
        <f t="shared" si="327"/>
        <v>10000</v>
      </c>
      <c r="H1313" s="27"/>
      <c r="I1313" s="24">
        <f t="shared" si="322"/>
        <v>10000</v>
      </c>
      <c r="J1313" s="63">
        <v>-420.3</v>
      </c>
      <c r="K1313" s="24">
        <f t="shared" si="323"/>
        <v>9579.7000000000007</v>
      </c>
      <c r="L1313" s="69"/>
      <c r="M1313" s="24">
        <f t="shared" si="324"/>
        <v>9579.7000000000007</v>
      </c>
      <c r="N1313" s="63">
        <v>-3928.5</v>
      </c>
      <c r="O1313" s="24">
        <f t="shared" si="325"/>
        <v>5651.2000000000007</v>
      </c>
      <c r="P1313" s="94">
        <v>-2721.3</v>
      </c>
      <c r="Q1313" s="24">
        <f t="shared" si="344"/>
        <v>2929.9000000000005</v>
      </c>
      <c r="R1313" s="39">
        <v>-1428.7</v>
      </c>
      <c r="S1313" s="24">
        <f t="shared" si="309"/>
        <v>1501.2000000000005</v>
      </c>
      <c r="T1313" s="69"/>
      <c r="U1313" s="24">
        <f t="shared" si="308"/>
        <v>1501.2000000000005</v>
      </c>
      <c r="V1313" s="94">
        <v>1308.0999999999999</v>
      </c>
      <c r="W1313" s="24">
        <f t="shared" si="305"/>
        <v>2809.3</v>
      </c>
      <c r="X1313" s="39">
        <v>-1241</v>
      </c>
      <c r="Y1313" s="24">
        <f t="shared" si="335"/>
        <v>1568.3000000000002</v>
      </c>
      <c r="Z1313" s="189">
        <v>-1241</v>
      </c>
      <c r="AA1313" s="189">
        <f t="shared" ref="AA1313:AA1315" si="345">Y1313+Z1313</f>
        <v>327.30000000000018</v>
      </c>
    </row>
    <row r="1314" spans="1:27" s="6" customFormat="1" ht="42.75" customHeight="1" x14ac:dyDescent="0.25">
      <c r="A1314" s="17" t="s">
        <v>572</v>
      </c>
      <c r="B1314" s="21" t="s">
        <v>329</v>
      </c>
      <c r="C1314" s="21" t="s">
        <v>339</v>
      </c>
      <c r="D1314" s="21" t="s">
        <v>241</v>
      </c>
      <c r="E1314" s="27"/>
      <c r="F1314" s="27"/>
      <c r="G1314" s="24"/>
      <c r="H1314" s="27"/>
      <c r="I1314" s="24"/>
      <c r="J1314" s="63">
        <v>379.7</v>
      </c>
      <c r="K1314" s="24">
        <f t="shared" si="323"/>
        <v>379.7</v>
      </c>
      <c r="L1314" s="69"/>
      <c r="M1314" s="24">
        <f t="shared" si="324"/>
        <v>379.7</v>
      </c>
      <c r="N1314" s="69"/>
      <c r="O1314" s="24">
        <f t="shared" si="325"/>
        <v>379.7</v>
      </c>
      <c r="P1314" s="69"/>
      <c r="Q1314" s="24">
        <f t="shared" si="344"/>
        <v>379.7</v>
      </c>
      <c r="R1314" s="69"/>
      <c r="S1314" s="24">
        <f t="shared" si="309"/>
        <v>379.7</v>
      </c>
      <c r="T1314" s="69"/>
      <c r="U1314" s="24">
        <f t="shared" si="308"/>
        <v>379.7</v>
      </c>
      <c r="V1314" s="69"/>
      <c r="W1314" s="24">
        <f t="shared" si="305"/>
        <v>379.7</v>
      </c>
      <c r="X1314" s="69"/>
      <c r="Y1314" s="24">
        <f t="shared" si="335"/>
        <v>379.7</v>
      </c>
      <c r="Z1314" s="189"/>
      <c r="AA1314" s="189">
        <f t="shared" si="345"/>
        <v>379.7</v>
      </c>
    </row>
    <row r="1315" spans="1:27" s="6" customFormat="1" ht="36.75" hidden="1" x14ac:dyDescent="0.25">
      <c r="A1315" s="17" t="s">
        <v>681</v>
      </c>
      <c r="B1315" s="21" t="s">
        <v>329</v>
      </c>
      <c r="C1315" s="21" t="s">
        <v>339</v>
      </c>
      <c r="D1315" s="21" t="s">
        <v>682</v>
      </c>
      <c r="E1315" s="27"/>
      <c r="F1315" s="63">
        <v>30551</v>
      </c>
      <c r="G1315" s="24">
        <f t="shared" si="327"/>
        <v>30551</v>
      </c>
      <c r="H1315" s="69"/>
      <c r="I1315" s="24">
        <f t="shared" si="322"/>
        <v>30551</v>
      </c>
      <c r="J1315" s="69"/>
      <c r="K1315" s="24">
        <f t="shared" si="323"/>
        <v>30551</v>
      </c>
      <c r="L1315" s="69"/>
      <c r="M1315" s="24">
        <f t="shared" si="324"/>
        <v>30551</v>
      </c>
      <c r="N1315" s="39">
        <v>-30551</v>
      </c>
      <c r="O1315" s="24">
        <f t="shared" si="325"/>
        <v>0</v>
      </c>
      <c r="P1315" s="69"/>
      <c r="Q1315" s="24">
        <f t="shared" si="344"/>
        <v>0</v>
      </c>
      <c r="R1315" s="69"/>
      <c r="S1315" s="24">
        <f t="shared" si="309"/>
        <v>0</v>
      </c>
      <c r="T1315" s="69"/>
      <c r="U1315" s="24">
        <f t="shared" si="308"/>
        <v>0</v>
      </c>
      <c r="V1315" s="69"/>
      <c r="W1315" s="24">
        <f t="shared" si="305"/>
        <v>0</v>
      </c>
      <c r="X1315" s="69"/>
      <c r="Y1315" s="24">
        <f t="shared" si="335"/>
        <v>0</v>
      </c>
      <c r="Z1315" s="189"/>
      <c r="AA1315" s="189">
        <f t="shared" si="345"/>
        <v>0</v>
      </c>
    </row>
    <row r="1316" spans="1:27" s="6" customFormat="1" ht="24.75" x14ac:dyDescent="0.25">
      <c r="A1316" s="22" t="s">
        <v>234</v>
      </c>
      <c r="B1316" s="23" t="s">
        <v>329</v>
      </c>
      <c r="C1316" s="23" t="s">
        <v>325</v>
      </c>
      <c r="D1316" s="23" t="s">
        <v>2</v>
      </c>
      <c r="E1316" s="24">
        <f>E1318</f>
        <v>11500</v>
      </c>
      <c r="F1316" s="24">
        <f>F1318</f>
        <v>0</v>
      </c>
      <c r="G1316" s="24">
        <f t="shared" si="327"/>
        <v>11500</v>
      </c>
      <c r="H1316" s="24">
        <f>H1318</f>
        <v>0</v>
      </c>
      <c r="I1316" s="24">
        <f t="shared" si="322"/>
        <v>11500</v>
      </c>
      <c r="J1316" s="24">
        <f>J1318</f>
        <v>0</v>
      </c>
      <c r="K1316" s="24">
        <f t="shared" si="323"/>
        <v>11500</v>
      </c>
      <c r="L1316" s="24">
        <f>L1318+L1317</f>
        <v>13.399999999999636</v>
      </c>
      <c r="M1316" s="24">
        <f t="shared" si="324"/>
        <v>11513.4</v>
      </c>
      <c r="N1316" s="24">
        <f>N1318+N1317</f>
        <v>0</v>
      </c>
      <c r="O1316" s="24">
        <f t="shared" si="325"/>
        <v>11513.4</v>
      </c>
      <c r="P1316" s="24">
        <f>P1318+P1317</f>
        <v>-1058.8</v>
      </c>
      <c r="Q1316" s="24">
        <f t="shared" si="344"/>
        <v>10454.6</v>
      </c>
      <c r="R1316" s="24">
        <f>R1318+R1317</f>
        <v>0</v>
      </c>
      <c r="S1316" s="24">
        <f t="shared" si="309"/>
        <v>10454.6</v>
      </c>
      <c r="T1316" s="24">
        <f>T1318+T1317</f>
        <v>0</v>
      </c>
      <c r="U1316" s="24">
        <f t="shared" si="308"/>
        <v>10454.6</v>
      </c>
      <c r="V1316" s="24">
        <f>V1318+V1317</f>
        <v>-465.7</v>
      </c>
      <c r="W1316" s="24">
        <f t="shared" si="305"/>
        <v>9988.9</v>
      </c>
      <c r="X1316" s="24">
        <f>X1318+X1317</f>
        <v>0</v>
      </c>
      <c r="Y1316" s="24">
        <f t="shared" si="335"/>
        <v>9988.9</v>
      </c>
      <c r="Z1316" s="189"/>
    </row>
    <row r="1317" spans="1:27" ht="36.75" x14ac:dyDescent="0.25">
      <c r="A1317" s="17" t="s">
        <v>681</v>
      </c>
      <c r="B1317" s="26" t="s">
        <v>329</v>
      </c>
      <c r="C1317" s="26" t="s">
        <v>325</v>
      </c>
      <c r="D1317" s="26" t="s">
        <v>682</v>
      </c>
      <c r="E1317" s="24"/>
      <c r="F1317" s="24"/>
      <c r="G1317" s="24"/>
      <c r="H1317" s="24"/>
      <c r="I1317" s="24"/>
      <c r="J1317" s="24"/>
      <c r="K1317" s="24"/>
      <c r="L1317" s="107">
        <v>4441.2</v>
      </c>
      <c r="M1317" s="24">
        <f t="shared" si="324"/>
        <v>4441.2</v>
      </c>
      <c r="N1317" s="69"/>
      <c r="O1317" s="24">
        <f t="shared" si="325"/>
        <v>4441.2</v>
      </c>
      <c r="P1317" s="69"/>
      <c r="Q1317" s="24">
        <f t="shared" si="344"/>
        <v>4441.2</v>
      </c>
      <c r="R1317" s="69"/>
      <c r="S1317" s="24">
        <f t="shared" si="309"/>
        <v>4441.2</v>
      </c>
      <c r="T1317" s="69"/>
      <c r="U1317" s="24">
        <f t="shared" si="308"/>
        <v>4441.2</v>
      </c>
      <c r="V1317" s="39">
        <v>-448.8</v>
      </c>
      <c r="W1317" s="24">
        <f t="shared" si="305"/>
        <v>3992.3999999999996</v>
      </c>
      <c r="X1317" s="69"/>
      <c r="Y1317" s="24">
        <f t="shared" si="335"/>
        <v>3992.3999999999996</v>
      </c>
      <c r="AA1317" s="189">
        <f t="shared" ref="AA1317:AA1318" si="346">Y1317+Z1317</f>
        <v>3992.3999999999996</v>
      </c>
    </row>
    <row r="1318" spans="1:27" x14ac:dyDescent="0.25">
      <c r="A1318" s="25" t="s">
        <v>574</v>
      </c>
      <c r="B1318" s="26" t="s">
        <v>329</v>
      </c>
      <c r="C1318" s="26" t="s">
        <v>325</v>
      </c>
      <c r="D1318" s="26" t="s">
        <v>81</v>
      </c>
      <c r="E1318" s="27">
        <v>11500</v>
      </c>
      <c r="F1318" s="27"/>
      <c r="G1318" s="24">
        <f t="shared" si="327"/>
        <v>11500</v>
      </c>
      <c r="H1318" s="27"/>
      <c r="I1318" s="24">
        <f t="shared" si="322"/>
        <v>11500</v>
      </c>
      <c r="J1318" s="27"/>
      <c r="K1318" s="24">
        <f t="shared" si="323"/>
        <v>11500</v>
      </c>
      <c r="L1318" s="96">
        <f>13.4-4441.2</f>
        <v>-4427.8</v>
      </c>
      <c r="M1318" s="24">
        <f t="shared" si="324"/>
        <v>7072.2</v>
      </c>
      <c r="N1318" s="69"/>
      <c r="O1318" s="24">
        <f t="shared" si="325"/>
        <v>7072.2</v>
      </c>
      <c r="P1318" s="94">
        <v>-1058.8</v>
      </c>
      <c r="Q1318" s="24">
        <f t="shared" si="344"/>
        <v>6013.4</v>
      </c>
      <c r="R1318" s="69"/>
      <c r="S1318" s="24">
        <f t="shared" si="309"/>
        <v>6013.4</v>
      </c>
      <c r="T1318" s="69"/>
      <c r="U1318" s="24">
        <f t="shared" si="308"/>
        <v>6013.4</v>
      </c>
      <c r="V1318" s="94">
        <v>-16.899999999999999</v>
      </c>
      <c r="W1318" s="24">
        <f t="shared" si="305"/>
        <v>5996.5</v>
      </c>
      <c r="X1318" s="69"/>
      <c r="Y1318" s="24">
        <f t="shared" si="335"/>
        <v>5996.5</v>
      </c>
      <c r="AA1318" s="189">
        <f t="shared" si="346"/>
        <v>5996.5</v>
      </c>
    </row>
    <row r="1319" spans="1:27" x14ac:dyDescent="0.25">
      <c r="A1319" s="22" t="s">
        <v>245</v>
      </c>
      <c r="B1319" s="23" t="s">
        <v>329</v>
      </c>
      <c r="C1319" s="23" t="s">
        <v>340</v>
      </c>
      <c r="D1319" s="23" t="s">
        <v>2</v>
      </c>
      <c r="E1319" s="24">
        <f>E1320</f>
        <v>8000</v>
      </c>
      <c r="F1319" s="24">
        <f>F1320</f>
        <v>0</v>
      </c>
      <c r="G1319" s="24">
        <f t="shared" si="327"/>
        <v>8000</v>
      </c>
      <c r="H1319" s="24">
        <f>H1320</f>
        <v>0</v>
      </c>
      <c r="I1319" s="24">
        <f t="shared" si="322"/>
        <v>8000</v>
      </c>
      <c r="J1319" s="24">
        <f>J1320</f>
        <v>0</v>
      </c>
      <c r="K1319" s="24">
        <f t="shared" si="323"/>
        <v>8000</v>
      </c>
      <c r="L1319" s="24">
        <f>L1320</f>
        <v>0</v>
      </c>
      <c r="M1319" s="24">
        <f t="shared" si="324"/>
        <v>8000</v>
      </c>
      <c r="N1319" s="24">
        <f>N1320</f>
        <v>0</v>
      </c>
      <c r="O1319" s="24">
        <f t="shared" si="325"/>
        <v>8000</v>
      </c>
      <c r="P1319" s="24">
        <f>P1320</f>
        <v>-6980</v>
      </c>
      <c r="Q1319" s="24">
        <f t="shared" si="344"/>
        <v>1020</v>
      </c>
      <c r="R1319" s="24">
        <f>R1320</f>
        <v>0</v>
      </c>
      <c r="S1319" s="24">
        <f t="shared" si="309"/>
        <v>1020</v>
      </c>
      <c r="T1319" s="24">
        <f>T1320</f>
        <v>0</v>
      </c>
      <c r="U1319" s="24">
        <f t="shared" si="308"/>
        <v>1020</v>
      </c>
      <c r="V1319" s="24">
        <f>V1320</f>
        <v>0</v>
      </c>
      <c r="W1319" s="24">
        <f t="shared" si="305"/>
        <v>1020</v>
      </c>
      <c r="X1319" s="24">
        <f>X1320</f>
        <v>0</v>
      </c>
      <c r="Y1319" s="24">
        <f t="shared" si="335"/>
        <v>1020</v>
      </c>
    </row>
    <row r="1320" spans="1:27" s="6" customFormat="1" x14ac:dyDescent="0.25">
      <c r="A1320" s="25" t="s">
        <v>574</v>
      </c>
      <c r="B1320" s="26" t="s">
        <v>329</v>
      </c>
      <c r="C1320" s="26" t="s">
        <v>340</v>
      </c>
      <c r="D1320" s="26" t="s">
        <v>81</v>
      </c>
      <c r="E1320" s="27">
        <v>8000</v>
      </c>
      <c r="F1320" s="27"/>
      <c r="G1320" s="24">
        <f t="shared" si="327"/>
        <v>8000</v>
      </c>
      <c r="H1320" s="27"/>
      <c r="I1320" s="24">
        <f t="shared" si="322"/>
        <v>8000</v>
      </c>
      <c r="J1320" s="27"/>
      <c r="K1320" s="24">
        <f t="shared" si="323"/>
        <v>8000</v>
      </c>
      <c r="L1320" s="27"/>
      <c r="M1320" s="24">
        <f t="shared" si="324"/>
        <v>8000</v>
      </c>
      <c r="N1320" s="27"/>
      <c r="O1320" s="24">
        <f t="shared" si="325"/>
        <v>8000</v>
      </c>
      <c r="P1320" s="94">
        <v>-6980</v>
      </c>
      <c r="Q1320" s="24">
        <f t="shared" si="344"/>
        <v>1020</v>
      </c>
      <c r="R1320" s="69"/>
      <c r="S1320" s="24">
        <f t="shared" si="309"/>
        <v>1020</v>
      </c>
      <c r="T1320" s="69"/>
      <c r="U1320" s="24">
        <f t="shared" si="308"/>
        <v>1020</v>
      </c>
      <c r="V1320" s="69"/>
      <c r="W1320" s="24">
        <f t="shared" si="305"/>
        <v>1020</v>
      </c>
      <c r="X1320" s="69"/>
      <c r="Y1320" s="24">
        <f t="shared" si="335"/>
        <v>1020</v>
      </c>
      <c r="Z1320" s="189"/>
      <c r="AA1320" s="189">
        <f>Y1320+Z1320</f>
        <v>1020</v>
      </c>
    </row>
    <row r="1321" spans="1:27" s="6" customFormat="1" x14ac:dyDescent="0.25">
      <c r="A1321" s="16" t="s">
        <v>811</v>
      </c>
      <c r="B1321" s="20" t="s">
        <v>329</v>
      </c>
      <c r="C1321" s="20" t="s">
        <v>814</v>
      </c>
      <c r="D1321" s="21"/>
      <c r="E1321" s="27"/>
      <c r="F1321" s="27"/>
      <c r="G1321" s="24"/>
      <c r="H1321" s="27"/>
      <c r="I1321" s="24"/>
      <c r="J1321" s="27"/>
      <c r="K1321" s="24"/>
      <c r="L1321" s="18">
        <f>L1322</f>
        <v>754.7</v>
      </c>
      <c r="M1321" s="24">
        <f t="shared" si="324"/>
        <v>754.7</v>
      </c>
      <c r="N1321" s="18">
        <f>N1322</f>
        <v>237</v>
      </c>
      <c r="O1321" s="24">
        <f t="shared" si="325"/>
        <v>991.7</v>
      </c>
      <c r="P1321" s="18">
        <f>P1322</f>
        <v>0</v>
      </c>
      <c r="Q1321" s="24">
        <f t="shared" si="344"/>
        <v>991.7</v>
      </c>
      <c r="R1321" s="18">
        <f>R1322</f>
        <v>917</v>
      </c>
      <c r="S1321" s="24">
        <f t="shared" si="309"/>
        <v>1908.7</v>
      </c>
      <c r="T1321" s="18">
        <f>T1322</f>
        <v>-163.9</v>
      </c>
      <c r="U1321" s="24">
        <f t="shared" si="308"/>
        <v>1744.8</v>
      </c>
      <c r="V1321" s="18">
        <f>V1322</f>
        <v>0</v>
      </c>
      <c r="W1321" s="24">
        <f t="shared" si="305"/>
        <v>1744.8</v>
      </c>
      <c r="X1321" s="18">
        <f>X1322</f>
        <v>0</v>
      </c>
      <c r="Y1321" s="24">
        <f t="shared" si="335"/>
        <v>1744.8</v>
      </c>
      <c r="Z1321" s="189"/>
    </row>
    <row r="1322" spans="1:27" x14ac:dyDescent="0.25">
      <c r="A1322" s="17" t="s">
        <v>574</v>
      </c>
      <c r="B1322" s="21" t="s">
        <v>329</v>
      </c>
      <c r="C1322" s="21" t="s">
        <v>814</v>
      </c>
      <c r="D1322" s="21" t="s">
        <v>81</v>
      </c>
      <c r="E1322" s="27"/>
      <c r="F1322" s="27"/>
      <c r="G1322" s="24"/>
      <c r="H1322" s="27"/>
      <c r="I1322" s="24"/>
      <c r="J1322" s="27"/>
      <c r="K1322" s="24"/>
      <c r="L1322" s="96">
        <f>465+289.7</f>
        <v>754.7</v>
      </c>
      <c r="M1322" s="24">
        <f t="shared" si="324"/>
        <v>754.7</v>
      </c>
      <c r="N1322" s="63">
        <v>237</v>
      </c>
      <c r="O1322" s="24">
        <f t="shared" si="325"/>
        <v>991.7</v>
      </c>
      <c r="P1322" s="69"/>
      <c r="Q1322" s="24">
        <f t="shared" si="344"/>
        <v>991.7</v>
      </c>
      <c r="R1322" s="39">
        <v>917</v>
      </c>
      <c r="S1322" s="24">
        <f t="shared" si="309"/>
        <v>1908.7</v>
      </c>
      <c r="T1322" s="63">
        <v>-163.9</v>
      </c>
      <c r="U1322" s="24">
        <f t="shared" si="308"/>
        <v>1744.8</v>
      </c>
      <c r="V1322" s="69"/>
      <c r="W1322" s="24">
        <f t="shared" si="305"/>
        <v>1744.8</v>
      </c>
      <c r="X1322" s="69"/>
      <c r="Y1322" s="24">
        <f t="shared" si="335"/>
        <v>1744.8</v>
      </c>
      <c r="AA1322" s="189">
        <f>Y1322+Z1322</f>
        <v>1744.8</v>
      </c>
    </row>
    <row r="1323" spans="1:27" s="6" customFormat="1" ht="24.75" x14ac:dyDescent="0.25">
      <c r="A1323" s="22" t="s">
        <v>618</v>
      </c>
      <c r="B1323" s="23" t="s">
        <v>329</v>
      </c>
      <c r="C1323" s="23" t="s">
        <v>616</v>
      </c>
      <c r="D1323" s="23" t="s">
        <v>2</v>
      </c>
      <c r="E1323" s="24">
        <f>E1324+E1325</f>
        <v>900</v>
      </c>
      <c r="F1323" s="24">
        <f>F1324+F1325</f>
        <v>0</v>
      </c>
      <c r="G1323" s="24">
        <f t="shared" si="327"/>
        <v>900</v>
      </c>
      <c r="H1323" s="24">
        <f>H1324+H1325</f>
        <v>0</v>
      </c>
      <c r="I1323" s="24">
        <f t="shared" si="322"/>
        <v>900</v>
      </c>
      <c r="J1323" s="24">
        <f>J1324+J1325</f>
        <v>0</v>
      </c>
      <c r="K1323" s="24">
        <f t="shared" si="323"/>
        <v>900</v>
      </c>
      <c r="L1323" s="24">
        <f>L1324+L1325</f>
        <v>-300</v>
      </c>
      <c r="M1323" s="24">
        <f t="shared" si="324"/>
        <v>600</v>
      </c>
      <c r="N1323" s="24">
        <f>N1324+N1325</f>
        <v>0</v>
      </c>
      <c r="O1323" s="24">
        <f t="shared" si="325"/>
        <v>600</v>
      </c>
      <c r="P1323" s="24">
        <f>P1324+P1325</f>
        <v>0</v>
      </c>
      <c r="Q1323" s="24">
        <f t="shared" si="344"/>
        <v>600</v>
      </c>
      <c r="R1323" s="24">
        <f>R1324+R1325</f>
        <v>-300</v>
      </c>
      <c r="S1323" s="24">
        <f t="shared" si="309"/>
        <v>300</v>
      </c>
      <c r="T1323" s="24">
        <f>T1324+T1325</f>
        <v>0</v>
      </c>
      <c r="U1323" s="24">
        <f t="shared" si="308"/>
        <v>300</v>
      </c>
      <c r="V1323" s="24">
        <f>V1324+V1325</f>
        <v>0</v>
      </c>
      <c r="W1323" s="24">
        <f t="shared" si="305"/>
        <v>300</v>
      </c>
      <c r="X1323" s="24">
        <f>X1324+X1325</f>
        <v>0</v>
      </c>
      <c r="Y1323" s="24">
        <f t="shared" si="335"/>
        <v>300</v>
      </c>
      <c r="Z1323" s="189"/>
    </row>
    <row r="1324" spans="1:27" x14ac:dyDescent="0.25">
      <c r="A1324" s="25" t="s">
        <v>574</v>
      </c>
      <c r="B1324" s="26" t="s">
        <v>329</v>
      </c>
      <c r="C1324" s="26" t="s">
        <v>616</v>
      </c>
      <c r="D1324" s="26" t="s">
        <v>81</v>
      </c>
      <c r="E1324" s="27">
        <v>600</v>
      </c>
      <c r="F1324" s="27"/>
      <c r="G1324" s="24">
        <f t="shared" si="327"/>
        <v>600</v>
      </c>
      <c r="H1324" s="27"/>
      <c r="I1324" s="24">
        <f t="shared" si="322"/>
        <v>600</v>
      </c>
      <c r="J1324" s="27"/>
      <c r="K1324" s="24">
        <f t="shared" si="323"/>
        <v>600</v>
      </c>
      <c r="L1324" s="39">
        <v>-300</v>
      </c>
      <c r="M1324" s="24">
        <f t="shared" si="324"/>
        <v>300</v>
      </c>
      <c r="N1324" s="69"/>
      <c r="O1324" s="24">
        <f t="shared" si="325"/>
        <v>300</v>
      </c>
      <c r="P1324" s="69"/>
      <c r="Q1324" s="24">
        <f t="shared" si="344"/>
        <v>300</v>
      </c>
      <c r="R1324" s="69"/>
      <c r="S1324" s="24">
        <f t="shared" si="309"/>
        <v>300</v>
      </c>
      <c r="T1324" s="69"/>
      <c r="U1324" s="24">
        <f t="shared" si="308"/>
        <v>300</v>
      </c>
      <c r="V1324" s="69"/>
      <c r="W1324" s="24">
        <f t="shared" si="305"/>
        <v>300</v>
      </c>
      <c r="X1324" s="69"/>
      <c r="Y1324" s="24">
        <f t="shared" si="335"/>
        <v>300</v>
      </c>
      <c r="AA1324" s="189">
        <f t="shared" ref="AA1324:AA1325" si="347">Y1324+Z1324</f>
        <v>300</v>
      </c>
    </row>
    <row r="1325" spans="1:27" hidden="1" x14ac:dyDescent="0.25">
      <c r="A1325" s="25" t="s">
        <v>321</v>
      </c>
      <c r="B1325" s="26" t="s">
        <v>329</v>
      </c>
      <c r="C1325" s="26" t="s">
        <v>616</v>
      </c>
      <c r="D1325" s="26" t="s">
        <v>322</v>
      </c>
      <c r="E1325" s="27">
        <v>300</v>
      </c>
      <c r="F1325" s="27"/>
      <c r="G1325" s="24">
        <f t="shared" si="327"/>
        <v>300</v>
      </c>
      <c r="H1325" s="27"/>
      <c r="I1325" s="24">
        <f t="shared" si="322"/>
        <v>300</v>
      </c>
      <c r="J1325" s="27"/>
      <c r="K1325" s="24">
        <f t="shared" si="323"/>
        <v>300</v>
      </c>
      <c r="L1325" s="27"/>
      <c r="M1325" s="24">
        <f t="shared" si="324"/>
        <v>300</v>
      </c>
      <c r="N1325" s="27"/>
      <c r="O1325" s="24">
        <f t="shared" si="325"/>
        <v>300</v>
      </c>
      <c r="P1325" s="39"/>
      <c r="Q1325" s="24">
        <f t="shared" si="344"/>
        <v>300</v>
      </c>
      <c r="R1325" s="39">
        <v>-300</v>
      </c>
      <c r="S1325" s="24">
        <f t="shared" si="309"/>
        <v>0</v>
      </c>
      <c r="T1325" s="69"/>
      <c r="U1325" s="24">
        <f t="shared" si="308"/>
        <v>0</v>
      </c>
      <c r="V1325" s="69"/>
      <c r="W1325" s="24">
        <f t="shared" si="305"/>
        <v>0</v>
      </c>
      <c r="X1325" s="69"/>
      <c r="Y1325" s="24">
        <f t="shared" si="335"/>
        <v>0</v>
      </c>
      <c r="AA1325" s="189">
        <f t="shared" si="347"/>
        <v>0</v>
      </c>
    </row>
    <row r="1326" spans="1:27" ht="36.75" x14ac:dyDescent="0.25">
      <c r="A1326" s="22" t="s">
        <v>619</v>
      </c>
      <c r="B1326" s="23" t="s">
        <v>329</v>
      </c>
      <c r="C1326" s="23" t="s">
        <v>636</v>
      </c>
      <c r="D1326" s="26"/>
      <c r="E1326" s="24">
        <f>E1327+E1328</f>
        <v>967</v>
      </c>
      <c r="F1326" s="24">
        <f>F1327+F1328</f>
        <v>0</v>
      </c>
      <c r="G1326" s="24">
        <f t="shared" si="327"/>
        <v>967</v>
      </c>
      <c r="H1326" s="24">
        <f>H1327+H1328</f>
        <v>0</v>
      </c>
      <c r="I1326" s="24">
        <f t="shared" si="322"/>
        <v>967</v>
      </c>
      <c r="J1326" s="24">
        <f>J1327+J1328</f>
        <v>0</v>
      </c>
      <c r="K1326" s="24">
        <f t="shared" si="323"/>
        <v>967</v>
      </c>
      <c r="L1326" s="24">
        <f>L1327+L1328</f>
        <v>0</v>
      </c>
      <c r="M1326" s="24">
        <f t="shared" si="324"/>
        <v>967</v>
      </c>
      <c r="N1326" s="24">
        <f>N1327+N1328</f>
        <v>0</v>
      </c>
      <c r="O1326" s="24">
        <f t="shared" si="325"/>
        <v>967</v>
      </c>
      <c r="P1326" s="24">
        <f>P1327+P1328</f>
        <v>0</v>
      </c>
      <c r="Q1326" s="24">
        <f t="shared" si="344"/>
        <v>967</v>
      </c>
      <c r="R1326" s="24">
        <f>R1327+R1328</f>
        <v>0</v>
      </c>
      <c r="S1326" s="24">
        <f t="shared" si="309"/>
        <v>967</v>
      </c>
      <c r="T1326" s="24">
        <f>T1327+T1328</f>
        <v>0</v>
      </c>
      <c r="U1326" s="24">
        <f t="shared" si="308"/>
        <v>967</v>
      </c>
      <c r="V1326" s="24">
        <f>V1327+V1328</f>
        <v>0</v>
      </c>
      <c r="W1326" s="24">
        <f t="shared" si="305"/>
        <v>967</v>
      </c>
      <c r="X1326" s="24">
        <f>X1327+X1328</f>
        <v>0</v>
      </c>
      <c r="Y1326" s="24">
        <f t="shared" si="335"/>
        <v>967</v>
      </c>
    </row>
    <row r="1327" spans="1:27" s="6" customFormat="1" x14ac:dyDescent="0.25">
      <c r="A1327" s="25" t="s">
        <v>574</v>
      </c>
      <c r="B1327" s="26" t="s">
        <v>329</v>
      </c>
      <c r="C1327" s="26" t="s">
        <v>636</v>
      </c>
      <c r="D1327" s="26" t="s">
        <v>81</v>
      </c>
      <c r="E1327" s="27">
        <v>767</v>
      </c>
      <c r="F1327" s="27"/>
      <c r="G1327" s="24">
        <f t="shared" si="327"/>
        <v>767</v>
      </c>
      <c r="H1327" s="27"/>
      <c r="I1327" s="24">
        <f t="shared" si="322"/>
        <v>767</v>
      </c>
      <c r="J1327" s="27"/>
      <c r="K1327" s="24">
        <f t="shared" si="323"/>
        <v>767</v>
      </c>
      <c r="L1327" s="27"/>
      <c r="M1327" s="24">
        <f t="shared" si="324"/>
        <v>767</v>
      </c>
      <c r="N1327" s="27"/>
      <c r="O1327" s="24">
        <f t="shared" si="325"/>
        <v>767</v>
      </c>
      <c r="P1327" s="27"/>
      <c r="Q1327" s="24">
        <f t="shared" si="344"/>
        <v>767</v>
      </c>
      <c r="R1327" s="27"/>
      <c r="S1327" s="24">
        <f t="shared" si="309"/>
        <v>767</v>
      </c>
      <c r="T1327" s="69"/>
      <c r="U1327" s="24">
        <f t="shared" si="308"/>
        <v>767</v>
      </c>
      <c r="V1327" s="69"/>
      <c r="W1327" s="24">
        <f t="shared" si="305"/>
        <v>767</v>
      </c>
      <c r="X1327" s="69"/>
      <c r="Y1327" s="24">
        <f t="shared" si="335"/>
        <v>767</v>
      </c>
      <c r="Z1327" s="189"/>
      <c r="AA1327" s="189">
        <f t="shared" ref="AA1327:AA1328" si="348">Y1327+Z1327</f>
        <v>767</v>
      </c>
    </row>
    <row r="1328" spans="1:27" x14ac:dyDescent="0.25">
      <c r="A1328" s="25" t="s">
        <v>321</v>
      </c>
      <c r="B1328" s="26" t="s">
        <v>329</v>
      </c>
      <c r="C1328" s="26" t="s">
        <v>636</v>
      </c>
      <c r="D1328" s="26" t="s">
        <v>322</v>
      </c>
      <c r="E1328" s="27">
        <v>200</v>
      </c>
      <c r="F1328" s="27"/>
      <c r="G1328" s="24">
        <f t="shared" si="327"/>
        <v>200</v>
      </c>
      <c r="H1328" s="27"/>
      <c r="I1328" s="24">
        <f t="shared" si="322"/>
        <v>200</v>
      </c>
      <c r="J1328" s="27"/>
      <c r="K1328" s="24">
        <f t="shared" si="323"/>
        <v>200</v>
      </c>
      <c r="L1328" s="27"/>
      <c r="M1328" s="24">
        <f t="shared" si="324"/>
        <v>200</v>
      </c>
      <c r="N1328" s="27"/>
      <c r="O1328" s="24">
        <f t="shared" si="325"/>
        <v>200</v>
      </c>
      <c r="P1328" s="27"/>
      <c r="Q1328" s="24">
        <f t="shared" si="344"/>
        <v>200</v>
      </c>
      <c r="R1328" s="27"/>
      <c r="S1328" s="24">
        <f t="shared" si="309"/>
        <v>200</v>
      </c>
      <c r="T1328" s="69"/>
      <c r="U1328" s="24">
        <f t="shared" si="308"/>
        <v>200</v>
      </c>
      <c r="V1328" s="69"/>
      <c r="W1328" s="24">
        <f t="shared" si="305"/>
        <v>200</v>
      </c>
      <c r="X1328" s="69"/>
      <c r="Y1328" s="24">
        <f t="shared" si="335"/>
        <v>200</v>
      </c>
      <c r="AA1328" s="189">
        <f t="shared" si="348"/>
        <v>200</v>
      </c>
    </row>
    <row r="1329" spans="1:27" ht="36.75" x14ac:dyDescent="0.25">
      <c r="A1329" s="22" t="s">
        <v>326</v>
      </c>
      <c r="B1329" s="23" t="s">
        <v>329</v>
      </c>
      <c r="C1329" s="23" t="s">
        <v>327</v>
      </c>
      <c r="D1329" s="23" t="s">
        <v>2</v>
      </c>
      <c r="E1329" s="24">
        <f>E1330</f>
        <v>2000</v>
      </c>
      <c r="F1329" s="24">
        <f>F1330</f>
        <v>0</v>
      </c>
      <c r="G1329" s="24">
        <f t="shared" si="327"/>
        <v>2000</v>
      </c>
      <c r="H1329" s="24">
        <f>H1330</f>
        <v>0</v>
      </c>
      <c r="I1329" s="24">
        <f t="shared" si="322"/>
        <v>2000</v>
      </c>
      <c r="J1329" s="24">
        <f>J1330</f>
        <v>0</v>
      </c>
      <c r="K1329" s="24">
        <f t="shared" si="323"/>
        <v>2000</v>
      </c>
      <c r="L1329" s="24">
        <f>L1330</f>
        <v>0</v>
      </c>
      <c r="M1329" s="24">
        <f t="shared" si="324"/>
        <v>2000</v>
      </c>
      <c r="N1329" s="24">
        <f>N1330</f>
        <v>-55.6</v>
      </c>
      <c r="O1329" s="24">
        <f t="shared" si="325"/>
        <v>1944.4</v>
      </c>
      <c r="P1329" s="24">
        <f>P1330</f>
        <v>0</v>
      </c>
      <c r="Q1329" s="24">
        <f t="shared" si="344"/>
        <v>1944.4</v>
      </c>
      <c r="R1329" s="24">
        <f>R1330</f>
        <v>-27.5</v>
      </c>
      <c r="S1329" s="24">
        <f t="shared" si="309"/>
        <v>1916.9</v>
      </c>
      <c r="T1329" s="24">
        <f>T1330+T1331</f>
        <v>-1097.5</v>
      </c>
      <c r="U1329" s="24">
        <f t="shared" si="308"/>
        <v>819.40000000000009</v>
      </c>
      <c r="V1329" s="24">
        <f>V1330+V1331</f>
        <v>-34.5</v>
      </c>
      <c r="W1329" s="24">
        <f t="shared" si="305"/>
        <v>784.90000000000009</v>
      </c>
      <c r="X1329" s="24">
        <f>X1330+X1331</f>
        <v>0</v>
      </c>
      <c r="Y1329" s="24">
        <f t="shared" si="335"/>
        <v>784.90000000000009</v>
      </c>
    </row>
    <row r="1330" spans="1:27" x14ac:dyDescent="0.25">
      <c r="A1330" s="25" t="s">
        <v>574</v>
      </c>
      <c r="B1330" s="26" t="s">
        <v>329</v>
      </c>
      <c r="C1330" s="26" t="s">
        <v>327</v>
      </c>
      <c r="D1330" s="26" t="s">
        <v>81</v>
      </c>
      <c r="E1330" s="27">
        <v>2000</v>
      </c>
      <c r="F1330" s="27"/>
      <c r="G1330" s="24">
        <f t="shared" si="327"/>
        <v>2000</v>
      </c>
      <c r="H1330" s="27"/>
      <c r="I1330" s="24">
        <f t="shared" si="322"/>
        <v>2000</v>
      </c>
      <c r="J1330" s="27"/>
      <c r="K1330" s="24">
        <f t="shared" si="323"/>
        <v>2000</v>
      </c>
      <c r="L1330" s="27"/>
      <c r="M1330" s="24">
        <f t="shared" si="324"/>
        <v>2000</v>
      </c>
      <c r="N1330" s="63">
        <v>-55.6</v>
      </c>
      <c r="O1330" s="24">
        <f t="shared" si="325"/>
        <v>1944.4</v>
      </c>
      <c r="P1330" s="69"/>
      <c r="Q1330" s="24">
        <f t="shared" si="344"/>
        <v>1944.4</v>
      </c>
      <c r="R1330" s="39">
        <v>-27.5</v>
      </c>
      <c r="S1330" s="24">
        <f t="shared" si="309"/>
        <v>1916.9</v>
      </c>
      <c r="T1330" s="63">
        <v>-1125</v>
      </c>
      <c r="U1330" s="24">
        <f t="shared" si="308"/>
        <v>791.90000000000009</v>
      </c>
      <c r="V1330" s="94">
        <v>-9.5</v>
      </c>
      <c r="W1330" s="24">
        <f t="shared" si="305"/>
        <v>782.40000000000009</v>
      </c>
      <c r="X1330" s="69"/>
      <c r="Y1330" s="24">
        <f t="shared" si="335"/>
        <v>782.40000000000009</v>
      </c>
      <c r="AA1330" s="189">
        <f t="shared" ref="AA1330:AA1331" si="349">Y1330+Z1330</f>
        <v>782.40000000000009</v>
      </c>
    </row>
    <row r="1331" spans="1:27" x14ac:dyDescent="0.25">
      <c r="A1331" s="25" t="s">
        <v>321</v>
      </c>
      <c r="B1331" s="26" t="s">
        <v>329</v>
      </c>
      <c r="C1331" s="26" t="s">
        <v>327</v>
      </c>
      <c r="D1331" s="26" t="s">
        <v>322</v>
      </c>
      <c r="E1331" s="27"/>
      <c r="F1331" s="27"/>
      <c r="G1331" s="24"/>
      <c r="H1331" s="27"/>
      <c r="I1331" s="24"/>
      <c r="J1331" s="27"/>
      <c r="K1331" s="24"/>
      <c r="L1331" s="27"/>
      <c r="M1331" s="24"/>
      <c r="N1331" s="63"/>
      <c r="O1331" s="24"/>
      <c r="P1331" s="69"/>
      <c r="Q1331" s="24"/>
      <c r="R1331" s="39"/>
      <c r="S1331" s="24"/>
      <c r="T1331" s="63">
        <v>27.5</v>
      </c>
      <c r="U1331" s="24">
        <f t="shared" ref="U1331" si="350">S1331+T1331</f>
        <v>27.5</v>
      </c>
      <c r="V1331" s="94">
        <v>-25</v>
      </c>
      <c r="W1331" s="24">
        <f t="shared" si="305"/>
        <v>2.5</v>
      </c>
      <c r="X1331" s="69"/>
      <c r="Y1331" s="24">
        <f t="shared" si="335"/>
        <v>2.5</v>
      </c>
      <c r="AA1331" s="189">
        <f t="shared" si="349"/>
        <v>2.5</v>
      </c>
    </row>
    <row r="1332" spans="1:27" ht="24.75" x14ac:dyDescent="0.25">
      <c r="A1332" s="22" t="s">
        <v>642</v>
      </c>
      <c r="B1332" s="23" t="s">
        <v>329</v>
      </c>
      <c r="C1332" s="23" t="s">
        <v>641</v>
      </c>
      <c r="D1332" s="23" t="s">
        <v>2</v>
      </c>
      <c r="E1332" s="24">
        <f>E1333+E1334</f>
        <v>15833.7</v>
      </c>
      <c r="F1332" s="24">
        <f>F1333+F1334</f>
        <v>0</v>
      </c>
      <c r="G1332" s="24">
        <f t="shared" si="327"/>
        <v>15833.7</v>
      </c>
      <c r="H1332" s="24">
        <f>H1333+H1334</f>
        <v>0</v>
      </c>
      <c r="I1332" s="24">
        <f t="shared" si="322"/>
        <v>15833.7</v>
      </c>
      <c r="J1332" s="24">
        <f>J1333+J1334</f>
        <v>-317.5</v>
      </c>
      <c r="K1332" s="24">
        <f t="shared" si="323"/>
        <v>15516.2</v>
      </c>
      <c r="L1332" s="24">
        <f>L1333+L1334</f>
        <v>-7307.6000000000013</v>
      </c>
      <c r="M1332" s="24">
        <f t="shared" si="324"/>
        <v>8208.5999999999985</v>
      </c>
      <c r="N1332" s="24">
        <f>N1333+N1334</f>
        <v>-5761.1</v>
      </c>
      <c r="O1332" s="24">
        <f t="shared" si="325"/>
        <v>2447.4999999999982</v>
      </c>
      <c r="P1332" s="24">
        <f>P1333+P1334</f>
        <v>0</v>
      </c>
      <c r="Q1332" s="24">
        <f t="shared" si="344"/>
        <v>2447.4999999999982</v>
      </c>
      <c r="R1332" s="24">
        <f>R1333+R1334</f>
        <v>-28.1</v>
      </c>
      <c r="S1332" s="24">
        <f t="shared" si="309"/>
        <v>2419.3999999999983</v>
      </c>
      <c r="T1332" s="24">
        <f>T1333+T1334</f>
        <v>0</v>
      </c>
      <c r="U1332" s="24">
        <f t="shared" si="308"/>
        <v>2419.3999999999983</v>
      </c>
      <c r="V1332" s="24">
        <f>V1333+V1334</f>
        <v>0</v>
      </c>
      <c r="W1332" s="24">
        <f t="shared" si="305"/>
        <v>2419.3999999999983</v>
      </c>
      <c r="X1332" s="24">
        <f>X1333+X1334</f>
        <v>0</v>
      </c>
      <c r="Y1332" s="24">
        <f t="shared" si="335"/>
        <v>2419.3999999999983</v>
      </c>
    </row>
    <row r="1333" spans="1:27" x14ac:dyDescent="0.25">
      <c r="A1333" s="123" t="s">
        <v>574</v>
      </c>
      <c r="B1333" s="26" t="s">
        <v>329</v>
      </c>
      <c r="C1333" s="26" t="s">
        <v>641</v>
      </c>
      <c r="D1333" s="26" t="s">
        <v>81</v>
      </c>
      <c r="E1333" s="27">
        <v>14807</v>
      </c>
      <c r="F1333" s="27"/>
      <c r="G1333" s="24">
        <f t="shared" si="327"/>
        <v>14807</v>
      </c>
      <c r="H1333" s="27"/>
      <c r="I1333" s="24">
        <f t="shared" si="322"/>
        <v>14807</v>
      </c>
      <c r="J1333" s="63">
        <v>-317.5</v>
      </c>
      <c r="K1333" s="24">
        <f t="shared" si="323"/>
        <v>14489.5</v>
      </c>
      <c r="L1333" s="96">
        <f>5789.2-12398.7</f>
        <v>-6609.5000000000009</v>
      </c>
      <c r="M1333" s="24">
        <f t="shared" si="324"/>
        <v>7879.9999999999991</v>
      </c>
      <c r="N1333" s="63">
        <v>-5761.1</v>
      </c>
      <c r="O1333" s="24">
        <f t="shared" si="325"/>
        <v>2118.8999999999987</v>
      </c>
      <c r="P1333" s="69"/>
      <c r="Q1333" s="24">
        <f t="shared" si="344"/>
        <v>2118.8999999999987</v>
      </c>
      <c r="R1333" s="39">
        <v>-28.1</v>
      </c>
      <c r="S1333" s="24">
        <f t="shared" si="309"/>
        <v>2090.7999999999988</v>
      </c>
      <c r="T1333" s="69"/>
      <c r="U1333" s="24">
        <f t="shared" si="308"/>
        <v>2090.7999999999988</v>
      </c>
      <c r="V1333" s="69"/>
      <c r="W1333" s="24">
        <f t="shared" si="305"/>
        <v>2090.7999999999988</v>
      </c>
      <c r="X1333" s="69"/>
      <c r="Y1333" s="24">
        <f t="shared" si="335"/>
        <v>2090.7999999999988</v>
      </c>
      <c r="AA1333" s="189">
        <f t="shared" ref="AA1333:AA1334" si="351">Y1333+Z1333</f>
        <v>2090.7999999999988</v>
      </c>
    </row>
    <row r="1334" spans="1:27" s="6" customFormat="1" x14ac:dyDescent="0.25">
      <c r="A1334" s="25" t="s">
        <v>321</v>
      </c>
      <c r="B1334" s="26" t="s">
        <v>329</v>
      </c>
      <c r="C1334" s="26" t="s">
        <v>641</v>
      </c>
      <c r="D1334" s="26" t="s">
        <v>322</v>
      </c>
      <c r="E1334" s="27">
        <v>1026.7</v>
      </c>
      <c r="F1334" s="27"/>
      <c r="G1334" s="24">
        <f t="shared" si="327"/>
        <v>1026.7</v>
      </c>
      <c r="H1334" s="27"/>
      <c r="I1334" s="24">
        <f t="shared" si="322"/>
        <v>1026.7</v>
      </c>
      <c r="J1334" s="27"/>
      <c r="K1334" s="24">
        <f t="shared" si="323"/>
        <v>1026.7</v>
      </c>
      <c r="L1334" s="107">
        <v>-698.1</v>
      </c>
      <c r="M1334" s="24">
        <f t="shared" si="324"/>
        <v>328.6</v>
      </c>
      <c r="N1334" s="69"/>
      <c r="O1334" s="24">
        <f t="shared" si="325"/>
        <v>328.6</v>
      </c>
      <c r="P1334" s="69"/>
      <c r="Q1334" s="24">
        <f t="shared" si="344"/>
        <v>328.6</v>
      </c>
      <c r="R1334" s="69"/>
      <c r="S1334" s="24">
        <f t="shared" si="309"/>
        <v>328.6</v>
      </c>
      <c r="T1334" s="69"/>
      <c r="U1334" s="24">
        <f t="shared" si="308"/>
        <v>328.6</v>
      </c>
      <c r="V1334" s="69"/>
      <c r="W1334" s="24">
        <f t="shared" si="305"/>
        <v>328.6</v>
      </c>
      <c r="X1334" s="69"/>
      <c r="Y1334" s="24">
        <f t="shared" si="335"/>
        <v>328.6</v>
      </c>
      <c r="Z1334" s="189"/>
      <c r="AA1334" s="189">
        <f t="shared" si="351"/>
        <v>328.6</v>
      </c>
    </row>
    <row r="1335" spans="1:27" ht="24.75" x14ac:dyDescent="0.25">
      <c r="A1335" s="22" t="s">
        <v>341</v>
      </c>
      <c r="B1335" s="23" t="s">
        <v>329</v>
      </c>
      <c r="C1335" s="23" t="s">
        <v>342</v>
      </c>
      <c r="D1335" s="23" t="s">
        <v>2</v>
      </c>
      <c r="E1335" s="24">
        <f>E1336</f>
        <v>269300.09999999998</v>
      </c>
      <c r="F1335" s="24">
        <f>F1336+F1339</f>
        <v>409742.30000000005</v>
      </c>
      <c r="G1335" s="24">
        <f t="shared" si="327"/>
        <v>679042.4</v>
      </c>
      <c r="H1335" s="24">
        <f>H1336+H1339</f>
        <v>-4088.1</v>
      </c>
      <c r="I1335" s="24">
        <f t="shared" si="322"/>
        <v>674954.3</v>
      </c>
      <c r="J1335" s="24">
        <f>J1336+J1339</f>
        <v>40.6</v>
      </c>
      <c r="K1335" s="24">
        <f t="shared" si="323"/>
        <v>674994.9</v>
      </c>
      <c r="L1335" s="24">
        <f>L1336+L1339</f>
        <v>0</v>
      </c>
      <c r="M1335" s="24">
        <f t="shared" si="324"/>
        <v>674994.9</v>
      </c>
      <c r="N1335" s="24">
        <f>N1336+N1339</f>
        <v>0</v>
      </c>
      <c r="O1335" s="24">
        <f t="shared" si="325"/>
        <v>674994.9</v>
      </c>
      <c r="P1335" s="24">
        <f>P1336+P1339</f>
        <v>0</v>
      </c>
      <c r="Q1335" s="24">
        <f t="shared" si="344"/>
        <v>674994.9</v>
      </c>
      <c r="R1335" s="24">
        <f>R1336+R1339</f>
        <v>0</v>
      </c>
      <c r="S1335" s="24">
        <f t="shared" si="309"/>
        <v>674994.9</v>
      </c>
      <c r="T1335" s="24">
        <f>T1336+T1339</f>
        <v>0</v>
      </c>
      <c r="U1335" s="24">
        <f t="shared" si="308"/>
        <v>674994.9</v>
      </c>
      <c r="V1335" s="24">
        <f>V1336+V1339</f>
        <v>0</v>
      </c>
      <c r="W1335" s="24">
        <f t="shared" si="305"/>
        <v>674994.9</v>
      </c>
      <c r="X1335" s="24">
        <f>X1336+X1339</f>
        <v>0</v>
      </c>
      <c r="Y1335" s="24">
        <f t="shared" si="335"/>
        <v>674994.9</v>
      </c>
    </row>
    <row r="1336" spans="1:27" ht="13.5" customHeight="1" x14ac:dyDescent="0.25">
      <c r="A1336" s="16" t="s">
        <v>672</v>
      </c>
      <c r="B1336" s="23" t="s">
        <v>329</v>
      </c>
      <c r="C1336" s="23" t="s">
        <v>671</v>
      </c>
      <c r="D1336" s="23" t="s">
        <v>2</v>
      </c>
      <c r="E1336" s="24">
        <f>E1337</f>
        <v>269300.09999999998</v>
      </c>
      <c r="F1336" s="24">
        <f>F1337</f>
        <v>-0.1</v>
      </c>
      <c r="G1336" s="24">
        <f t="shared" si="327"/>
        <v>269300</v>
      </c>
      <c r="H1336" s="24">
        <f>H1337</f>
        <v>0.1</v>
      </c>
      <c r="I1336" s="24">
        <f t="shared" si="322"/>
        <v>269300.09999999998</v>
      </c>
      <c r="J1336" s="47">
        <f>J1337</f>
        <v>0</v>
      </c>
      <c r="K1336" s="24">
        <f t="shared" si="323"/>
        <v>269300.09999999998</v>
      </c>
      <c r="L1336" s="47">
        <f>L1337</f>
        <v>0</v>
      </c>
      <c r="M1336" s="24">
        <f t="shared" si="324"/>
        <v>269300.09999999998</v>
      </c>
      <c r="N1336" s="47">
        <f>N1337+N1338</f>
        <v>0</v>
      </c>
      <c r="O1336" s="24">
        <f t="shared" si="325"/>
        <v>269300.09999999998</v>
      </c>
      <c r="P1336" s="47">
        <f>P1337+P1338</f>
        <v>0</v>
      </c>
      <c r="Q1336" s="24">
        <f t="shared" si="344"/>
        <v>269300.09999999998</v>
      </c>
      <c r="R1336" s="47">
        <f>R1337+R1338</f>
        <v>0</v>
      </c>
      <c r="S1336" s="24">
        <f t="shared" si="309"/>
        <v>269300.09999999998</v>
      </c>
      <c r="T1336" s="47">
        <f>T1337+T1338</f>
        <v>0</v>
      </c>
      <c r="U1336" s="24">
        <f t="shared" si="308"/>
        <v>269300.09999999998</v>
      </c>
      <c r="V1336" s="47">
        <f>V1337+V1338</f>
        <v>0</v>
      </c>
      <c r="W1336" s="24">
        <f t="shared" si="305"/>
        <v>269300.09999999998</v>
      </c>
      <c r="X1336" s="47">
        <f>X1337+X1338</f>
        <v>0</v>
      </c>
      <c r="Y1336" s="24">
        <f t="shared" si="335"/>
        <v>269300.09999999998</v>
      </c>
    </row>
    <row r="1337" spans="1:27" s="114" customFormat="1" ht="24.75" x14ac:dyDescent="0.25">
      <c r="A1337" s="25" t="s">
        <v>572</v>
      </c>
      <c r="B1337" s="26" t="s">
        <v>329</v>
      </c>
      <c r="C1337" s="26" t="s">
        <v>671</v>
      </c>
      <c r="D1337" s="26" t="s">
        <v>241</v>
      </c>
      <c r="E1337" s="27">
        <v>269300.09999999998</v>
      </c>
      <c r="F1337" s="43">
        <v>-0.1</v>
      </c>
      <c r="G1337" s="24">
        <f t="shared" si="327"/>
        <v>269300</v>
      </c>
      <c r="H1337" s="43">
        <v>0.1</v>
      </c>
      <c r="I1337" s="24">
        <f t="shared" si="322"/>
        <v>269300.09999999998</v>
      </c>
      <c r="J1337" s="69"/>
      <c r="K1337" s="24">
        <f t="shared" si="323"/>
        <v>269300.09999999998</v>
      </c>
      <c r="L1337" s="69"/>
      <c r="M1337" s="24">
        <f t="shared" si="324"/>
        <v>269300.09999999998</v>
      </c>
      <c r="N1337" s="120">
        <v>-30790.9</v>
      </c>
      <c r="O1337" s="24">
        <f t="shared" si="325"/>
        <v>238509.19999999998</v>
      </c>
      <c r="P1337" s="69"/>
      <c r="Q1337" s="24">
        <f t="shared" si="344"/>
        <v>238509.19999999998</v>
      </c>
      <c r="R1337" s="69"/>
      <c r="S1337" s="24">
        <f t="shared" si="309"/>
        <v>238509.19999999998</v>
      </c>
      <c r="T1337" s="69"/>
      <c r="U1337" s="24">
        <f t="shared" si="308"/>
        <v>238509.19999999998</v>
      </c>
      <c r="V1337" s="69"/>
      <c r="W1337" s="24">
        <f t="shared" si="305"/>
        <v>238509.19999999998</v>
      </c>
      <c r="X1337" s="69"/>
      <c r="Y1337" s="24">
        <f t="shared" si="335"/>
        <v>238509.19999999998</v>
      </c>
      <c r="Z1337" s="193"/>
      <c r="AA1337" s="189">
        <f t="shared" ref="AA1337:AA1338" si="352">Y1337+Z1337</f>
        <v>238509.19999999998</v>
      </c>
    </row>
    <row r="1338" spans="1:27" ht="36.75" x14ac:dyDescent="0.25">
      <c r="A1338" s="25" t="s">
        <v>681</v>
      </c>
      <c r="B1338" s="26" t="s">
        <v>329</v>
      </c>
      <c r="C1338" s="26" t="s">
        <v>671</v>
      </c>
      <c r="D1338" s="26" t="s">
        <v>682</v>
      </c>
      <c r="E1338" s="27"/>
      <c r="F1338" s="43"/>
      <c r="G1338" s="24"/>
      <c r="H1338" s="43"/>
      <c r="I1338" s="24"/>
      <c r="J1338" s="69"/>
      <c r="K1338" s="24"/>
      <c r="L1338" s="69"/>
      <c r="M1338" s="24"/>
      <c r="N1338" s="120">
        <v>30790.9</v>
      </c>
      <c r="O1338" s="24">
        <f t="shared" si="325"/>
        <v>30790.9</v>
      </c>
      <c r="P1338" s="69"/>
      <c r="Q1338" s="24">
        <f t="shared" si="344"/>
        <v>30790.9</v>
      </c>
      <c r="R1338" s="69"/>
      <c r="S1338" s="24">
        <f t="shared" si="309"/>
        <v>30790.9</v>
      </c>
      <c r="T1338" s="69"/>
      <c r="U1338" s="24">
        <f t="shared" si="308"/>
        <v>30790.9</v>
      </c>
      <c r="V1338" s="69"/>
      <c r="W1338" s="24">
        <f t="shared" si="305"/>
        <v>30790.9</v>
      </c>
      <c r="X1338" s="69"/>
      <c r="Y1338" s="24">
        <f t="shared" si="335"/>
        <v>30790.9</v>
      </c>
      <c r="AA1338" s="189">
        <f t="shared" si="352"/>
        <v>30790.9</v>
      </c>
    </row>
    <row r="1339" spans="1:27" s="6" customFormat="1" ht="24.75" x14ac:dyDescent="0.25">
      <c r="A1339" s="22" t="s">
        <v>673</v>
      </c>
      <c r="B1339" s="55" t="s">
        <v>329</v>
      </c>
      <c r="C1339" s="55" t="s">
        <v>343</v>
      </c>
      <c r="D1339" s="56"/>
      <c r="E1339" s="27"/>
      <c r="F1339" s="50">
        <f>F1340</f>
        <v>409742.4</v>
      </c>
      <c r="G1339" s="24">
        <f t="shared" si="327"/>
        <v>409742.4</v>
      </c>
      <c r="H1339" s="50">
        <f>H1340</f>
        <v>-4088.2</v>
      </c>
      <c r="I1339" s="24">
        <f t="shared" si="322"/>
        <v>405654.2</v>
      </c>
      <c r="J1339" s="85">
        <f>J1340+J1341</f>
        <v>40.6</v>
      </c>
      <c r="K1339" s="24">
        <f t="shared" si="323"/>
        <v>405694.8</v>
      </c>
      <c r="L1339" s="85">
        <f>L1340+L1341</f>
        <v>0</v>
      </c>
      <c r="M1339" s="24">
        <f t="shared" si="324"/>
        <v>405694.8</v>
      </c>
      <c r="N1339" s="85">
        <f>N1340+N1341</f>
        <v>0</v>
      </c>
      <c r="O1339" s="24">
        <f t="shared" si="325"/>
        <v>405694.8</v>
      </c>
      <c r="P1339" s="85">
        <f>P1340+P1341</f>
        <v>0</v>
      </c>
      <c r="Q1339" s="24">
        <f t="shared" si="344"/>
        <v>405694.8</v>
      </c>
      <c r="R1339" s="85">
        <f>R1340+R1341</f>
        <v>0</v>
      </c>
      <c r="S1339" s="24">
        <f t="shared" si="309"/>
        <v>405694.8</v>
      </c>
      <c r="T1339" s="85">
        <f>T1340+T1341</f>
        <v>0</v>
      </c>
      <c r="U1339" s="24">
        <f t="shared" si="308"/>
        <v>405694.8</v>
      </c>
      <c r="V1339" s="85">
        <f>V1340+V1341</f>
        <v>0</v>
      </c>
      <c r="W1339" s="24">
        <f t="shared" si="305"/>
        <v>405694.8</v>
      </c>
      <c r="X1339" s="85">
        <f>X1340+X1341</f>
        <v>0</v>
      </c>
      <c r="Y1339" s="24">
        <f t="shared" si="335"/>
        <v>405694.8</v>
      </c>
      <c r="Z1339" s="189"/>
    </row>
    <row r="1340" spans="1:27" s="6" customFormat="1" ht="24.75" x14ac:dyDescent="0.25">
      <c r="A1340" s="17" t="s">
        <v>572</v>
      </c>
      <c r="B1340" s="56" t="s">
        <v>329</v>
      </c>
      <c r="C1340" s="56" t="s">
        <v>343</v>
      </c>
      <c r="D1340" s="21" t="s">
        <v>241</v>
      </c>
      <c r="E1340" s="27"/>
      <c r="F1340" s="51">
        <v>409742.4</v>
      </c>
      <c r="G1340" s="24">
        <f t="shared" si="327"/>
        <v>409742.4</v>
      </c>
      <c r="H1340" s="51">
        <v>-4088.2</v>
      </c>
      <c r="I1340" s="24">
        <f t="shared" si="322"/>
        <v>405654.2</v>
      </c>
      <c r="J1340" s="84"/>
      <c r="K1340" s="24">
        <f t="shared" si="323"/>
        <v>405654.2</v>
      </c>
      <c r="L1340" s="84"/>
      <c r="M1340" s="24">
        <f t="shared" si="324"/>
        <v>405654.2</v>
      </c>
      <c r="N1340" s="84"/>
      <c r="O1340" s="24">
        <f t="shared" si="325"/>
        <v>405654.2</v>
      </c>
      <c r="P1340" s="84"/>
      <c r="Q1340" s="24">
        <f t="shared" si="344"/>
        <v>405654.2</v>
      </c>
      <c r="R1340" s="84"/>
      <c r="S1340" s="24">
        <f t="shared" si="309"/>
        <v>405654.2</v>
      </c>
      <c r="T1340" s="84"/>
      <c r="U1340" s="24">
        <f t="shared" si="308"/>
        <v>405654.2</v>
      </c>
      <c r="V1340" s="84"/>
      <c r="W1340" s="24">
        <f t="shared" si="305"/>
        <v>405654.2</v>
      </c>
      <c r="X1340" s="84"/>
      <c r="Y1340" s="24">
        <f t="shared" si="335"/>
        <v>405654.2</v>
      </c>
      <c r="Z1340" s="189"/>
      <c r="AA1340" s="189">
        <f t="shared" ref="AA1340:AA1341" si="353">Y1340+Z1340</f>
        <v>405654.2</v>
      </c>
    </row>
    <row r="1341" spans="1:27" ht="24.75" x14ac:dyDescent="0.25">
      <c r="A1341" s="17" t="s">
        <v>572</v>
      </c>
      <c r="B1341" s="56" t="s">
        <v>329</v>
      </c>
      <c r="C1341" s="56" t="s">
        <v>343</v>
      </c>
      <c r="D1341" s="21" t="s">
        <v>241</v>
      </c>
      <c r="E1341" s="27"/>
      <c r="F1341" s="51"/>
      <c r="G1341" s="24"/>
      <c r="H1341" s="51"/>
      <c r="I1341" s="24"/>
      <c r="J1341" s="91">
        <v>40.6</v>
      </c>
      <c r="K1341" s="87">
        <f t="shared" si="323"/>
        <v>40.6</v>
      </c>
      <c r="L1341" s="91"/>
      <c r="M1341" s="87">
        <f t="shared" si="324"/>
        <v>40.6</v>
      </c>
      <c r="N1341" s="91"/>
      <c r="O1341" s="87">
        <f t="shared" si="325"/>
        <v>40.6</v>
      </c>
      <c r="P1341" s="91"/>
      <c r="Q1341" s="87">
        <f t="shared" si="344"/>
        <v>40.6</v>
      </c>
      <c r="R1341" s="91"/>
      <c r="S1341" s="87">
        <f t="shared" si="309"/>
        <v>40.6</v>
      </c>
      <c r="T1341" s="84"/>
      <c r="U1341" s="87">
        <f t="shared" si="308"/>
        <v>40.6</v>
      </c>
      <c r="V1341" s="84"/>
      <c r="W1341" s="87">
        <f t="shared" si="305"/>
        <v>40.6</v>
      </c>
      <c r="X1341" s="84"/>
      <c r="Y1341" s="87">
        <f t="shared" si="335"/>
        <v>40.6</v>
      </c>
      <c r="Z1341" s="61">
        <f>13-13</f>
        <v>0</v>
      </c>
      <c r="AA1341" s="189">
        <f t="shared" si="353"/>
        <v>40.6</v>
      </c>
    </row>
    <row r="1342" spans="1:27" ht="36.75" x14ac:dyDescent="0.25">
      <c r="A1342" s="22" t="s">
        <v>344</v>
      </c>
      <c r="B1342" s="23" t="s">
        <v>329</v>
      </c>
      <c r="C1342" s="23" t="s">
        <v>345</v>
      </c>
      <c r="D1342" s="23" t="s">
        <v>2</v>
      </c>
      <c r="E1342" s="24">
        <f>E1343</f>
        <v>2769.1</v>
      </c>
      <c r="F1342" s="24">
        <f>F1343</f>
        <v>0</v>
      </c>
      <c r="G1342" s="24">
        <f t="shared" si="327"/>
        <v>2769.1</v>
      </c>
      <c r="H1342" s="24">
        <f>H1343</f>
        <v>0</v>
      </c>
      <c r="I1342" s="24">
        <f t="shared" si="322"/>
        <v>2769.1</v>
      </c>
      <c r="J1342" s="47">
        <f>J1343</f>
        <v>0</v>
      </c>
      <c r="K1342" s="24">
        <f t="shared" si="323"/>
        <v>2769.1</v>
      </c>
      <c r="L1342" s="47">
        <f>L1343</f>
        <v>0</v>
      </c>
      <c r="M1342" s="24">
        <f t="shared" si="324"/>
        <v>2769.1</v>
      </c>
      <c r="N1342" s="47">
        <f>N1343</f>
        <v>0</v>
      </c>
      <c r="O1342" s="24">
        <f t="shared" si="325"/>
        <v>2769.1</v>
      </c>
      <c r="P1342" s="47">
        <f>P1343</f>
        <v>0</v>
      </c>
      <c r="Q1342" s="24">
        <f t="shared" si="344"/>
        <v>2769.1</v>
      </c>
      <c r="R1342" s="47">
        <f>R1343</f>
        <v>0</v>
      </c>
      <c r="S1342" s="24">
        <f t="shared" si="309"/>
        <v>2769.1</v>
      </c>
      <c r="T1342" s="47">
        <f>T1343</f>
        <v>0</v>
      </c>
      <c r="U1342" s="24">
        <f t="shared" si="308"/>
        <v>2769.1</v>
      </c>
      <c r="V1342" s="47">
        <f>V1343</f>
        <v>28</v>
      </c>
      <c r="W1342" s="24">
        <f t="shared" si="305"/>
        <v>2797.1</v>
      </c>
      <c r="X1342" s="47">
        <f>X1343</f>
        <v>0</v>
      </c>
      <c r="Y1342" s="24">
        <f t="shared" si="335"/>
        <v>2797.1</v>
      </c>
    </row>
    <row r="1343" spans="1:27" ht="36.75" x14ac:dyDescent="0.25">
      <c r="A1343" s="22" t="s">
        <v>346</v>
      </c>
      <c r="B1343" s="23" t="s">
        <v>329</v>
      </c>
      <c r="C1343" s="23" t="s">
        <v>347</v>
      </c>
      <c r="D1343" s="23" t="s">
        <v>2</v>
      </c>
      <c r="E1343" s="24">
        <f>E1344</f>
        <v>2769.1</v>
      </c>
      <c r="F1343" s="24">
        <f>F1344</f>
        <v>0</v>
      </c>
      <c r="G1343" s="24">
        <f t="shared" si="327"/>
        <v>2769.1</v>
      </c>
      <c r="H1343" s="24">
        <f>H1344</f>
        <v>0</v>
      </c>
      <c r="I1343" s="24">
        <f t="shared" si="322"/>
        <v>2769.1</v>
      </c>
      <c r="J1343" s="47">
        <f>J1344</f>
        <v>0</v>
      </c>
      <c r="K1343" s="24">
        <f t="shared" si="323"/>
        <v>2769.1</v>
      </c>
      <c r="L1343" s="47">
        <f>L1344</f>
        <v>0</v>
      </c>
      <c r="M1343" s="24">
        <f t="shared" si="324"/>
        <v>2769.1</v>
      </c>
      <c r="N1343" s="47">
        <f>N1344</f>
        <v>0</v>
      </c>
      <c r="O1343" s="24">
        <f t="shared" si="325"/>
        <v>2769.1</v>
      </c>
      <c r="P1343" s="47">
        <f>P1344</f>
        <v>0</v>
      </c>
      <c r="Q1343" s="24">
        <f t="shared" si="344"/>
        <v>2769.1</v>
      </c>
      <c r="R1343" s="47">
        <f>R1344</f>
        <v>0</v>
      </c>
      <c r="S1343" s="24">
        <f t="shared" si="309"/>
        <v>2769.1</v>
      </c>
      <c r="T1343" s="47">
        <f>T1344</f>
        <v>0</v>
      </c>
      <c r="U1343" s="24">
        <f t="shared" si="308"/>
        <v>2769.1</v>
      </c>
      <c r="V1343" s="47">
        <f>V1344+V1345</f>
        <v>28</v>
      </c>
      <c r="W1343" s="24">
        <f t="shared" si="305"/>
        <v>2797.1</v>
      </c>
      <c r="X1343" s="47">
        <f>X1344+X1345</f>
        <v>0</v>
      </c>
      <c r="Y1343" s="24">
        <f t="shared" si="335"/>
        <v>2797.1</v>
      </c>
    </row>
    <row r="1344" spans="1:27" x14ac:dyDescent="0.25">
      <c r="A1344" s="25" t="s">
        <v>574</v>
      </c>
      <c r="B1344" s="26" t="s">
        <v>329</v>
      </c>
      <c r="C1344" s="26" t="s">
        <v>347</v>
      </c>
      <c r="D1344" s="26" t="s">
        <v>81</v>
      </c>
      <c r="E1344" s="27">
        <v>2769.1</v>
      </c>
      <c r="F1344" s="27"/>
      <c r="G1344" s="24">
        <f t="shared" si="327"/>
        <v>2769.1</v>
      </c>
      <c r="H1344" s="27"/>
      <c r="I1344" s="24">
        <f t="shared" ref="I1344:I1487" si="354">G1344+H1344</f>
        <v>2769.1</v>
      </c>
      <c r="J1344" s="69"/>
      <c r="K1344" s="24">
        <f t="shared" ref="K1344:K1487" si="355">I1344+J1344</f>
        <v>2769.1</v>
      </c>
      <c r="L1344" s="69"/>
      <c r="M1344" s="24">
        <f t="shared" ref="M1344:M1487" si="356">K1344+L1344</f>
        <v>2769.1</v>
      </c>
      <c r="N1344" s="69"/>
      <c r="O1344" s="24">
        <f t="shared" ref="O1344:O1487" si="357">M1344+N1344</f>
        <v>2769.1</v>
      </c>
      <c r="P1344" s="69"/>
      <c r="Q1344" s="24">
        <f t="shared" si="344"/>
        <v>2769.1</v>
      </c>
      <c r="R1344" s="69"/>
      <c r="S1344" s="24">
        <f t="shared" si="309"/>
        <v>2769.1</v>
      </c>
      <c r="T1344" s="69"/>
      <c r="U1344" s="24">
        <f t="shared" si="308"/>
        <v>2769.1</v>
      </c>
      <c r="V1344" s="69"/>
      <c r="W1344" s="24">
        <f t="shared" si="305"/>
        <v>2769.1</v>
      </c>
      <c r="X1344" s="69"/>
      <c r="Y1344" s="24">
        <f t="shared" si="335"/>
        <v>2769.1</v>
      </c>
      <c r="AA1344" s="189">
        <f t="shared" ref="AA1344:AA1345" si="358">Y1344+Z1344</f>
        <v>2769.1</v>
      </c>
    </row>
    <row r="1345" spans="1:27" x14ac:dyDescent="0.25">
      <c r="A1345" s="25" t="s">
        <v>574</v>
      </c>
      <c r="B1345" s="26" t="s">
        <v>329</v>
      </c>
      <c r="C1345" s="26" t="s">
        <v>347</v>
      </c>
      <c r="D1345" s="26" t="s">
        <v>81</v>
      </c>
      <c r="E1345" s="27"/>
      <c r="F1345" s="27"/>
      <c r="G1345" s="24"/>
      <c r="H1345" s="27"/>
      <c r="I1345" s="24"/>
      <c r="J1345" s="69"/>
      <c r="K1345" s="24"/>
      <c r="L1345" s="69"/>
      <c r="M1345" s="24"/>
      <c r="N1345" s="69"/>
      <c r="O1345" s="24"/>
      <c r="P1345" s="69"/>
      <c r="Q1345" s="24"/>
      <c r="R1345" s="69"/>
      <c r="S1345" s="24"/>
      <c r="T1345" s="69"/>
      <c r="U1345" s="24"/>
      <c r="V1345" s="94">
        <v>28</v>
      </c>
      <c r="W1345" s="24">
        <f t="shared" ref="W1345" si="359">U1345+V1345</f>
        <v>28</v>
      </c>
      <c r="X1345" s="69"/>
      <c r="Y1345" s="24">
        <f t="shared" si="335"/>
        <v>28</v>
      </c>
      <c r="AA1345" s="189">
        <f t="shared" si="358"/>
        <v>28</v>
      </c>
    </row>
    <row r="1346" spans="1:27" x14ac:dyDescent="0.25">
      <c r="A1346" s="22" t="s">
        <v>348</v>
      </c>
      <c r="B1346" s="23" t="s">
        <v>329</v>
      </c>
      <c r="C1346" s="23" t="s">
        <v>349</v>
      </c>
      <c r="D1346" s="23" t="s">
        <v>2</v>
      </c>
      <c r="E1346" s="24">
        <f>E1347</f>
        <v>54545.8</v>
      </c>
      <c r="F1346" s="24">
        <f>F1347</f>
        <v>266.2</v>
      </c>
      <c r="G1346" s="24">
        <f t="shared" si="327"/>
        <v>54812</v>
      </c>
      <c r="H1346" s="24">
        <f>H1347</f>
        <v>245.8</v>
      </c>
      <c r="I1346" s="24">
        <f t="shared" si="354"/>
        <v>55057.8</v>
      </c>
      <c r="J1346" s="47">
        <f>J1347</f>
        <v>0</v>
      </c>
      <c r="K1346" s="24">
        <f t="shared" si="355"/>
        <v>55057.8</v>
      </c>
      <c r="L1346" s="47">
        <f>L1347</f>
        <v>0</v>
      </c>
      <c r="M1346" s="24">
        <f t="shared" si="356"/>
        <v>55057.8</v>
      </c>
      <c r="N1346" s="47">
        <f>N1347</f>
        <v>2263.7000000000003</v>
      </c>
      <c r="O1346" s="24">
        <f t="shared" si="357"/>
        <v>57321.5</v>
      </c>
      <c r="P1346" s="47">
        <f>P1347</f>
        <v>4041.1</v>
      </c>
      <c r="Q1346" s="24">
        <f t="shared" si="344"/>
        <v>61362.6</v>
      </c>
      <c r="R1346" s="47">
        <f>R1347</f>
        <v>0</v>
      </c>
      <c r="S1346" s="24">
        <f t="shared" si="309"/>
        <v>61362.6</v>
      </c>
      <c r="T1346" s="47">
        <f>T1347</f>
        <v>0</v>
      </c>
      <c r="U1346" s="24">
        <f t="shared" si="308"/>
        <v>61362.6</v>
      </c>
      <c r="V1346" s="47">
        <f>V1347</f>
        <v>0</v>
      </c>
      <c r="W1346" s="24">
        <f t="shared" si="305"/>
        <v>61362.6</v>
      </c>
      <c r="X1346" s="47">
        <f>X1347</f>
        <v>17.099999999999998</v>
      </c>
      <c r="Y1346" s="24">
        <f t="shared" si="335"/>
        <v>61379.7</v>
      </c>
    </row>
    <row r="1347" spans="1:27" s="6" customFormat="1" x14ac:dyDescent="0.25">
      <c r="A1347" s="22" t="s">
        <v>350</v>
      </c>
      <c r="B1347" s="23" t="s">
        <v>329</v>
      </c>
      <c r="C1347" s="23" t="s">
        <v>351</v>
      </c>
      <c r="D1347" s="23" t="s">
        <v>2</v>
      </c>
      <c r="E1347" s="24">
        <f>E1348+E1351+E1362</f>
        <v>54545.8</v>
      </c>
      <c r="F1347" s="24">
        <f>F1348+F1351+F1362</f>
        <v>266.2</v>
      </c>
      <c r="G1347" s="24">
        <f t="shared" si="327"/>
        <v>54812</v>
      </c>
      <c r="H1347" s="24">
        <f>H1348+H1351+H1362</f>
        <v>245.8</v>
      </c>
      <c r="I1347" s="24">
        <f t="shared" si="354"/>
        <v>55057.8</v>
      </c>
      <c r="J1347" s="47">
        <f>J1348+J1351+J1362</f>
        <v>0</v>
      </c>
      <c r="K1347" s="24">
        <f t="shared" si="355"/>
        <v>55057.8</v>
      </c>
      <c r="L1347" s="47">
        <f>L1348+L1351+L1362</f>
        <v>0</v>
      </c>
      <c r="M1347" s="24">
        <f t="shared" si="356"/>
        <v>55057.8</v>
      </c>
      <c r="N1347" s="47">
        <f>N1348+N1351+N1362</f>
        <v>2263.7000000000003</v>
      </c>
      <c r="O1347" s="24">
        <f t="shared" si="357"/>
        <v>57321.5</v>
      </c>
      <c r="P1347" s="47">
        <f>P1348+P1351+P1362+P1356</f>
        <v>4041.1</v>
      </c>
      <c r="Q1347" s="24">
        <f t="shared" si="344"/>
        <v>61362.6</v>
      </c>
      <c r="R1347" s="47">
        <f>R1348+R1351+R1362+R1356</f>
        <v>0</v>
      </c>
      <c r="S1347" s="24">
        <f t="shared" si="309"/>
        <v>61362.6</v>
      </c>
      <c r="T1347" s="47">
        <f>T1348+T1351+T1362+T1356</f>
        <v>0</v>
      </c>
      <c r="U1347" s="24">
        <f t="shared" si="308"/>
        <v>61362.6</v>
      </c>
      <c r="V1347" s="47">
        <f>V1348+V1351+V1362+V1356+V1359</f>
        <v>0</v>
      </c>
      <c r="W1347" s="24">
        <f t="shared" si="305"/>
        <v>61362.6</v>
      </c>
      <c r="X1347" s="47">
        <f>X1348+X1351+X1362+X1356+X1359</f>
        <v>17.099999999999998</v>
      </c>
      <c r="Y1347" s="24">
        <f t="shared" si="335"/>
        <v>61379.7</v>
      </c>
      <c r="Z1347" s="189"/>
    </row>
    <row r="1348" spans="1:27" s="6" customFormat="1" ht="28.5" customHeight="1" x14ac:dyDescent="0.25">
      <c r="A1348" s="22" t="s">
        <v>352</v>
      </c>
      <c r="B1348" s="23" t="s">
        <v>329</v>
      </c>
      <c r="C1348" s="23" t="s">
        <v>353</v>
      </c>
      <c r="D1348" s="23" t="s">
        <v>2</v>
      </c>
      <c r="E1348" s="24">
        <f>E1349+E1350</f>
        <v>1814.9</v>
      </c>
      <c r="F1348" s="24">
        <f>F1349+F1350</f>
        <v>0</v>
      </c>
      <c r="G1348" s="24">
        <f t="shared" si="327"/>
        <v>1814.9</v>
      </c>
      <c r="H1348" s="24">
        <f>H1349+H1350</f>
        <v>-15.7</v>
      </c>
      <c r="I1348" s="24">
        <f t="shared" si="354"/>
        <v>1799.2</v>
      </c>
      <c r="J1348" s="47">
        <f>J1349+J1350</f>
        <v>0</v>
      </c>
      <c r="K1348" s="24">
        <f t="shared" si="355"/>
        <v>1799.2</v>
      </c>
      <c r="L1348" s="47">
        <f>L1349+L1350</f>
        <v>0</v>
      </c>
      <c r="M1348" s="24">
        <f t="shared" si="356"/>
        <v>1799.2</v>
      </c>
      <c r="N1348" s="47">
        <f>N1349+N1350</f>
        <v>2263.7000000000003</v>
      </c>
      <c r="O1348" s="24">
        <f t="shared" si="357"/>
        <v>4062.9000000000005</v>
      </c>
      <c r="P1348" s="47">
        <f>P1349+P1350</f>
        <v>0</v>
      </c>
      <c r="Q1348" s="24">
        <f t="shared" si="344"/>
        <v>4062.9000000000005</v>
      </c>
      <c r="R1348" s="47">
        <f>R1349+R1350</f>
        <v>0</v>
      </c>
      <c r="S1348" s="24">
        <f t="shared" si="309"/>
        <v>4062.9000000000005</v>
      </c>
      <c r="T1348" s="47">
        <f>T1349+T1350</f>
        <v>0</v>
      </c>
      <c r="U1348" s="24">
        <f t="shared" si="308"/>
        <v>4062.9000000000005</v>
      </c>
      <c r="V1348" s="47">
        <f>V1349+V1350</f>
        <v>0</v>
      </c>
      <c r="W1348" s="24">
        <f t="shared" si="305"/>
        <v>4062.9000000000005</v>
      </c>
      <c r="X1348" s="47">
        <f>X1349+X1350</f>
        <v>0</v>
      </c>
      <c r="Y1348" s="24">
        <f t="shared" si="335"/>
        <v>4062.9000000000005</v>
      </c>
      <c r="Z1348" s="189"/>
    </row>
    <row r="1349" spans="1:27" x14ac:dyDescent="0.25">
      <c r="A1349" s="25" t="s">
        <v>574</v>
      </c>
      <c r="B1349" s="26" t="s">
        <v>329</v>
      </c>
      <c r="C1349" s="26" t="s">
        <v>353</v>
      </c>
      <c r="D1349" s="26" t="s">
        <v>81</v>
      </c>
      <c r="E1349" s="27">
        <v>1665.5</v>
      </c>
      <c r="F1349" s="27"/>
      <c r="G1349" s="24">
        <f t="shared" si="327"/>
        <v>1665.5</v>
      </c>
      <c r="H1349" s="39">
        <v>-15.7</v>
      </c>
      <c r="I1349" s="24">
        <f t="shared" si="354"/>
        <v>1649.8</v>
      </c>
      <c r="J1349" s="69"/>
      <c r="K1349" s="24">
        <f t="shared" si="355"/>
        <v>1649.8</v>
      </c>
      <c r="L1349" s="69"/>
      <c r="M1349" s="24">
        <f t="shared" si="356"/>
        <v>1649.8</v>
      </c>
      <c r="N1349" s="86">
        <v>2113.9</v>
      </c>
      <c r="O1349" s="24">
        <f t="shared" si="357"/>
        <v>3763.7</v>
      </c>
      <c r="P1349" s="69"/>
      <c r="Q1349" s="24">
        <f t="shared" si="344"/>
        <v>3763.7</v>
      </c>
      <c r="R1349" s="69"/>
      <c r="S1349" s="24">
        <f t="shared" si="309"/>
        <v>3763.7</v>
      </c>
      <c r="T1349" s="69"/>
      <c r="U1349" s="24">
        <f t="shared" si="308"/>
        <v>3763.7</v>
      </c>
      <c r="V1349" s="69"/>
      <c r="W1349" s="24">
        <f t="shared" si="305"/>
        <v>3763.7</v>
      </c>
      <c r="X1349" s="69"/>
      <c r="Y1349" s="24">
        <f t="shared" si="335"/>
        <v>3763.7</v>
      </c>
      <c r="AA1349" s="189">
        <f t="shared" ref="AA1349:AA1350" si="360">Y1349+Z1349</f>
        <v>3763.7</v>
      </c>
    </row>
    <row r="1350" spans="1:27" s="6" customFormat="1" x14ac:dyDescent="0.25">
      <c r="A1350" s="25" t="s">
        <v>321</v>
      </c>
      <c r="B1350" s="26" t="s">
        <v>329</v>
      </c>
      <c r="C1350" s="26" t="s">
        <v>353</v>
      </c>
      <c r="D1350" s="26" t="s">
        <v>322</v>
      </c>
      <c r="E1350" s="27">
        <v>149.4</v>
      </c>
      <c r="F1350" s="27"/>
      <c r="G1350" s="24">
        <f t="shared" si="327"/>
        <v>149.4</v>
      </c>
      <c r="H1350" s="27"/>
      <c r="I1350" s="24">
        <f t="shared" si="354"/>
        <v>149.4</v>
      </c>
      <c r="J1350" s="69"/>
      <c r="K1350" s="24">
        <f t="shared" si="355"/>
        <v>149.4</v>
      </c>
      <c r="L1350" s="69"/>
      <c r="M1350" s="24">
        <f t="shared" si="356"/>
        <v>149.4</v>
      </c>
      <c r="N1350" s="86">
        <v>149.80000000000001</v>
      </c>
      <c r="O1350" s="24">
        <f t="shared" si="357"/>
        <v>299.20000000000005</v>
      </c>
      <c r="P1350" s="69"/>
      <c r="Q1350" s="24">
        <f t="shared" si="344"/>
        <v>299.20000000000005</v>
      </c>
      <c r="R1350" s="69"/>
      <c r="S1350" s="24">
        <f t="shared" si="309"/>
        <v>299.20000000000005</v>
      </c>
      <c r="T1350" s="69"/>
      <c r="U1350" s="24">
        <f t="shared" si="308"/>
        <v>299.20000000000005</v>
      </c>
      <c r="V1350" s="69"/>
      <c r="W1350" s="24">
        <f t="shared" si="305"/>
        <v>299.20000000000005</v>
      </c>
      <c r="X1350" s="69"/>
      <c r="Y1350" s="24">
        <f t="shared" si="335"/>
        <v>299.20000000000005</v>
      </c>
      <c r="Z1350" s="189"/>
      <c r="AA1350" s="189">
        <f t="shared" si="360"/>
        <v>299.20000000000005</v>
      </c>
    </row>
    <row r="1351" spans="1:27" s="6" customFormat="1" ht="36.75" x14ac:dyDescent="0.25">
      <c r="A1351" s="22" t="s">
        <v>354</v>
      </c>
      <c r="B1351" s="23" t="s">
        <v>329</v>
      </c>
      <c r="C1351" s="23" t="s">
        <v>355</v>
      </c>
      <c r="D1351" s="23" t="s">
        <v>2</v>
      </c>
      <c r="E1351" s="24">
        <f>E1352+E1354+E1353+E1355</f>
        <v>51776.800000000003</v>
      </c>
      <c r="F1351" s="24">
        <f>F1352+F1354</f>
        <v>266.2</v>
      </c>
      <c r="G1351" s="24">
        <f t="shared" si="327"/>
        <v>52043</v>
      </c>
      <c r="H1351" s="24">
        <f>H1352+H1354+H1353+H1355</f>
        <v>261.5</v>
      </c>
      <c r="I1351" s="24">
        <f t="shared" si="354"/>
        <v>52304.5</v>
      </c>
      <c r="J1351" s="47">
        <f>J1352+J1354+J1353+J1355</f>
        <v>0</v>
      </c>
      <c r="K1351" s="24">
        <f t="shared" si="355"/>
        <v>52304.5</v>
      </c>
      <c r="L1351" s="47">
        <f>L1352+L1354+L1353+L1355</f>
        <v>0</v>
      </c>
      <c r="M1351" s="24">
        <f t="shared" si="356"/>
        <v>52304.5</v>
      </c>
      <c r="N1351" s="47">
        <f>N1352+N1354+N1353+N1355</f>
        <v>0</v>
      </c>
      <c r="O1351" s="24">
        <f t="shared" si="357"/>
        <v>52304.5</v>
      </c>
      <c r="P1351" s="47">
        <f>P1352+P1354+P1353+P1355</f>
        <v>0</v>
      </c>
      <c r="Q1351" s="24">
        <f t="shared" si="344"/>
        <v>52304.5</v>
      </c>
      <c r="R1351" s="47">
        <f>R1352+R1354+R1353+R1355</f>
        <v>0</v>
      </c>
      <c r="S1351" s="24">
        <f t="shared" si="309"/>
        <v>52304.5</v>
      </c>
      <c r="T1351" s="47">
        <f>T1352+T1354+T1353+T1355</f>
        <v>0</v>
      </c>
      <c r="U1351" s="24">
        <f t="shared" si="308"/>
        <v>52304.5</v>
      </c>
      <c r="V1351" s="47">
        <f>V1352+V1354+V1353+V1355</f>
        <v>0</v>
      </c>
      <c r="W1351" s="24">
        <f t="shared" si="305"/>
        <v>52304.5</v>
      </c>
      <c r="X1351" s="47">
        <f>X1352+X1354+X1353+X1355</f>
        <v>0</v>
      </c>
      <c r="Y1351" s="24">
        <f t="shared" si="335"/>
        <v>52304.5</v>
      </c>
      <c r="Z1351" s="189"/>
    </row>
    <row r="1352" spans="1:27" s="6" customFormat="1" x14ac:dyDescent="0.25">
      <c r="A1352" s="25" t="s">
        <v>574</v>
      </c>
      <c r="B1352" s="26" t="s">
        <v>329</v>
      </c>
      <c r="C1352" s="26" t="s">
        <v>355</v>
      </c>
      <c r="D1352" s="26" t="s">
        <v>81</v>
      </c>
      <c r="E1352" s="43">
        <f>47244.8-224.2</f>
        <v>47020.600000000006</v>
      </c>
      <c r="F1352" s="43">
        <v>266.2</v>
      </c>
      <c r="G1352" s="24">
        <f t="shared" si="327"/>
        <v>47286.8</v>
      </c>
      <c r="H1352" s="43">
        <v>209.8</v>
      </c>
      <c r="I1352" s="24">
        <f t="shared" si="354"/>
        <v>47496.600000000006</v>
      </c>
      <c r="J1352" s="69"/>
      <c r="K1352" s="24">
        <f t="shared" si="355"/>
        <v>47496.600000000006</v>
      </c>
      <c r="L1352" s="69"/>
      <c r="M1352" s="24">
        <f t="shared" si="356"/>
        <v>47496.600000000006</v>
      </c>
      <c r="N1352" s="69"/>
      <c r="O1352" s="24">
        <f t="shared" si="357"/>
        <v>47496.600000000006</v>
      </c>
      <c r="P1352" s="69"/>
      <c r="Q1352" s="24">
        <f t="shared" si="344"/>
        <v>47496.600000000006</v>
      </c>
      <c r="R1352" s="69"/>
      <c r="S1352" s="24">
        <f t="shared" si="309"/>
        <v>47496.600000000006</v>
      </c>
      <c r="T1352" s="69"/>
      <c r="U1352" s="24">
        <f t="shared" si="308"/>
        <v>47496.600000000006</v>
      </c>
      <c r="V1352" s="69"/>
      <c r="W1352" s="24">
        <f t="shared" si="305"/>
        <v>47496.600000000006</v>
      </c>
      <c r="X1352" s="69"/>
      <c r="Y1352" s="24">
        <f t="shared" si="335"/>
        <v>47496.600000000006</v>
      </c>
      <c r="Z1352" s="189"/>
      <c r="AA1352" s="189">
        <f t="shared" ref="AA1352:AA1355" si="361">Y1352+Z1352</f>
        <v>47496.600000000006</v>
      </c>
    </row>
    <row r="1353" spans="1:27" x14ac:dyDescent="0.25">
      <c r="A1353" s="25" t="s">
        <v>574</v>
      </c>
      <c r="B1353" s="26" t="s">
        <v>329</v>
      </c>
      <c r="C1353" s="26" t="s">
        <v>355</v>
      </c>
      <c r="D1353" s="26" t="s">
        <v>81</v>
      </c>
      <c r="E1353" s="39">
        <v>224.2</v>
      </c>
      <c r="F1353" s="43"/>
      <c r="G1353" s="24">
        <f t="shared" ref="G1353:G1355" si="362">E1353+F1353</f>
        <v>224.2</v>
      </c>
      <c r="H1353" s="39">
        <v>14.5</v>
      </c>
      <c r="I1353" s="24">
        <f t="shared" si="354"/>
        <v>238.7</v>
      </c>
      <c r="J1353" s="69"/>
      <c r="K1353" s="24">
        <f t="shared" si="355"/>
        <v>238.7</v>
      </c>
      <c r="L1353" s="69"/>
      <c r="M1353" s="24">
        <f t="shared" si="356"/>
        <v>238.7</v>
      </c>
      <c r="N1353" s="69"/>
      <c r="O1353" s="24">
        <f t="shared" si="357"/>
        <v>238.7</v>
      </c>
      <c r="P1353" s="69"/>
      <c r="Q1353" s="24">
        <f t="shared" si="344"/>
        <v>238.7</v>
      </c>
      <c r="R1353" s="69"/>
      <c r="S1353" s="24">
        <f t="shared" si="309"/>
        <v>238.7</v>
      </c>
      <c r="T1353" s="69"/>
      <c r="U1353" s="24">
        <f t="shared" si="308"/>
        <v>238.7</v>
      </c>
      <c r="V1353" s="69"/>
      <c r="W1353" s="24">
        <f t="shared" si="305"/>
        <v>238.7</v>
      </c>
      <c r="X1353" s="69"/>
      <c r="Y1353" s="24">
        <f t="shared" si="335"/>
        <v>238.7</v>
      </c>
      <c r="AA1353" s="189">
        <f t="shared" si="361"/>
        <v>238.7</v>
      </c>
    </row>
    <row r="1354" spans="1:27" x14ac:dyDescent="0.25">
      <c r="A1354" s="25" t="s">
        <v>321</v>
      </c>
      <c r="B1354" s="26" t="s">
        <v>329</v>
      </c>
      <c r="C1354" s="26" t="s">
        <v>355</v>
      </c>
      <c r="D1354" s="26" t="s">
        <v>322</v>
      </c>
      <c r="E1354" s="43">
        <f>4532-21.6</f>
        <v>4510.3999999999996</v>
      </c>
      <c r="F1354" s="27"/>
      <c r="G1354" s="24">
        <f t="shared" si="362"/>
        <v>4510.3999999999996</v>
      </c>
      <c r="H1354" s="43">
        <v>36</v>
      </c>
      <c r="I1354" s="24">
        <f t="shared" si="354"/>
        <v>4546.3999999999996</v>
      </c>
      <c r="J1354" s="69"/>
      <c r="K1354" s="24">
        <f t="shared" si="355"/>
        <v>4546.3999999999996</v>
      </c>
      <c r="L1354" s="69"/>
      <c r="M1354" s="24">
        <f t="shared" si="356"/>
        <v>4546.3999999999996</v>
      </c>
      <c r="N1354" s="69"/>
      <c r="O1354" s="24">
        <f t="shared" si="357"/>
        <v>4546.3999999999996</v>
      </c>
      <c r="P1354" s="69"/>
      <c r="Q1354" s="24">
        <f t="shared" si="344"/>
        <v>4546.3999999999996</v>
      </c>
      <c r="R1354" s="69"/>
      <c r="S1354" s="24">
        <f t="shared" si="309"/>
        <v>4546.3999999999996</v>
      </c>
      <c r="T1354" s="69"/>
      <c r="U1354" s="24">
        <f t="shared" si="308"/>
        <v>4546.3999999999996</v>
      </c>
      <c r="V1354" s="69"/>
      <c r="W1354" s="24">
        <f t="shared" si="305"/>
        <v>4546.3999999999996</v>
      </c>
      <c r="X1354" s="69"/>
      <c r="Y1354" s="24">
        <f t="shared" si="335"/>
        <v>4546.3999999999996</v>
      </c>
      <c r="AA1354" s="189">
        <f t="shared" si="361"/>
        <v>4546.3999999999996</v>
      </c>
    </row>
    <row r="1355" spans="1:27" s="6" customFormat="1" x14ac:dyDescent="0.25">
      <c r="A1355" s="25" t="s">
        <v>321</v>
      </c>
      <c r="B1355" s="26" t="s">
        <v>329</v>
      </c>
      <c r="C1355" s="26" t="s">
        <v>355</v>
      </c>
      <c r="D1355" s="26" t="s">
        <v>322</v>
      </c>
      <c r="E1355" s="39">
        <v>21.6</v>
      </c>
      <c r="F1355" s="27"/>
      <c r="G1355" s="24">
        <f t="shared" si="362"/>
        <v>21.6</v>
      </c>
      <c r="H1355" s="39">
        <v>1.2</v>
      </c>
      <c r="I1355" s="24">
        <f t="shared" si="354"/>
        <v>22.8</v>
      </c>
      <c r="J1355" s="69"/>
      <c r="K1355" s="24">
        <f t="shared" si="355"/>
        <v>22.8</v>
      </c>
      <c r="L1355" s="69"/>
      <c r="M1355" s="24">
        <f t="shared" si="356"/>
        <v>22.8</v>
      </c>
      <c r="N1355" s="69"/>
      <c r="O1355" s="24">
        <f t="shared" si="357"/>
        <v>22.8</v>
      </c>
      <c r="P1355" s="69"/>
      <c r="Q1355" s="24">
        <f t="shared" si="344"/>
        <v>22.8</v>
      </c>
      <c r="R1355" s="69"/>
      <c r="S1355" s="24">
        <f t="shared" si="309"/>
        <v>22.8</v>
      </c>
      <c r="T1355" s="69"/>
      <c r="U1355" s="24">
        <f t="shared" si="308"/>
        <v>22.8</v>
      </c>
      <c r="V1355" s="69"/>
      <c r="W1355" s="24">
        <f t="shared" si="305"/>
        <v>22.8</v>
      </c>
      <c r="X1355" s="69"/>
      <c r="Y1355" s="24">
        <f t="shared" si="335"/>
        <v>22.8</v>
      </c>
      <c r="Z1355" s="189"/>
      <c r="AA1355" s="189">
        <f t="shared" si="361"/>
        <v>22.8</v>
      </c>
    </row>
    <row r="1356" spans="1:27" ht="48.75" x14ac:dyDescent="0.25">
      <c r="A1356" s="22" t="s">
        <v>911</v>
      </c>
      <c r="B1356" s="23" t="s">
        <v>329</v>
      </c>
      <c r="C1356" s="23" t="s">
        <v>912</v>
      </c>
      <c r="D1356" s="23"/>
      <c r="E1356" s="87"/>
      <c r="F1356" s="24"/>
      <c r="G1356" s="24"/>
      <c r="H1356" s="87"/>
      <c r="I1356" s="24"/>
      <c r="J1356" s="47"/>
      <c r="K1356" s="24"/>
      <c r="L1356" s="47"/>
      <c r="M1356" s="24"/>
      <c r="N1356" s="47"/>
      <c r="O1356" s="24">
        <f t="shared" si="357"/>
        <v>0</v>
      </c>
      <c r="P1356" s="47">
        <f>P1357+P1358</f>
        <v>4041.1</v>
      </c>
      <c r="Q1356" s="24">
        <f t="shared" si="344"/>
        <v>4041.1</v>
      </c>
      <c r="R1356" s="47">
        <f>R1357+R1358</f>
        <v>0</v>
      </c>
      <c r="S1356" s="24">
        <f t="shared" si="309"/>
        <v>4041.1</v>
      </c>
      <c r="T1356" s="47">
        <f>T1357+T1358</f>
        <v>0</v>
      </c>
      <c r="U1356" s="24">
        <f t="shared" si="308"/>
        <v>4041.1</v>
      </c>
      <c r="V1356" s="47">
        <f>V1357+V1358</f>
        <v>0</v>
      </c>
      <c r="W1356" s="24">
        <f t="shared" si="305"/>
        <v>4041.1</v>
      </c>
      <c r="X1356" s="47">
        <f>X1357+X1358</f>
        <v>0</v>
      </c>
      <c r="Y1356" s="24">
        <f t="shared" si="335"/>
        <v>4041.1</v>
      </c>
    </row>
    <row r="1357" spans="1:27" x14ac:dyDescent="0.25">
      <c r="A1357" s="25" t="s">
        <v>574</v>
      </c>
      <c r="B1357" s="26" t="s">
        <v>329</v>
      </c>
      <c r="C1357" s="26" t="s">
        <v>912</v>
      </c>
      <c r="D1357" s="26" t="s">
        <v>81</v>
      </c>
      <c r="E1357" s="39"/>
      <c r="F1357" s="27"/>
      <c r="G1357" s="24"/>
      <c r="H1357" s="39"/>
      <c r="I1357" s="24"/>
      <c r="J1357" s="69"/>
      <c r="K1357" s="24"/>
      <c r="L1357" s="69"/>
      <c r="M1357" s="24"/>
      <c r="N1357" s="69"/>
      <c r="O1357" s="24">
        <f t="shared" si="357"/>
        <v>0</v>
      </c>
      <c r="P1357" s="43">
        <v>3824.6</v>
      </c>
      <c r="Q1357" s="24">
        <f t="shared" si="344"/>
        <v>3824.6</v>
      </c>
      <c r="R1357" s="69"/>
      <c r="S1357" s="24">
        <f t="shared" si="309"/>
        <v>3824.6</v>
      </c>
      <c r="T1357" s="69"/>
      <c r="U1357" s="24">
        <f t="shared" si="308"/>
        <v>3824.6</v>
      </c>
      <c r="V1357" s="69"/>
      <c r="W1357" s="24">
        <f t="shared" si="305"/>
        <v>3824.6</v>
      </c>
      <c r="X1357" s="69"/>
      <c r="Y1357" s="24">
        <f t="shared" si="335"/>
        <v>3824.6</v>
      </c>
      <c r="AA1357" s="189">
        <f t="shared" ref="AA1357:AA1358" si="363">Y1357+Z1357</f>
        <v>3824.6</v>
      </c>
    </row>
    <row r="1358" spans="1:27" x14ac:dyDescent="0.25">
      <c r="A1358" s="25" t="s">
        <v>321</v>
      </c>
      <c r="B1358" s="26" t="s">
        <v>329</v>
      </c>
      <c r="C1358" s="26" t="s">
        <v>912</v>
      </c>
      <c r="D1358" s="26" t="s">
        <v>322</v>
      </c>
      <c r="E1358" s="39"/>
      <c r="F1358" s="27"/>
      <c r="G1358" s="24"/>
      <c r="H1358" s="39"/>
      <c r="I1358" s="24"/>
      <c r="J1358" s="69"/>
      <c r="K1358" s="24"/>
      <c r="L1358" s="69"/>
      <c r="M1358" s="24"/>
      <c r="N1358" s="69"/>
      <c r="O1358" s="24">
        <f t="shared" si="357"/>
        <v>0</v>
      </c>
      <c r="P1358" s="43">
        <v>216.5</v>
      </c>
      <c r="Q1358" s="24">
        <f t="shared" si="344"/>
        <v>216.5</v>
      </c>
      <c r="R1358" s="69"/>
      <c r="S1358" s="24">
        <f t="shared" si="309"/>
        <v>216.5</v>
      </c>
      <c r="T1358" s="69"/>
      <c r="U1358" s="24">
        <f t="shared" si="308"/>
        <v>216.5</v>
      </c>
      <c r="V1358" s="69"/>
      <c r="W1358" s="24">
        <f t="shared" si="305"/>
        <v>216.5</v>
      </c>
      <c r="X1358" s="69"/>
      <c r="Y1358" s="24">
        <f t="shared" si="335"/>
        <v>216.5</v>
      </c>
      <c r="AA1358" s="189">
        <f t="shared" si="363"/>
        <v>216.5</v>
      </c>
    </row>
    <row r="1359" spans="1:27" ht="36.75" x14ac:dyDescent="0.25">
      <c r="A1359" s="16" t="s">
        <v>1417</v>
      </c>
      <c r="B1359" s="20" t="s">
        <v>329</v>
      </c>
      <c r="C1359" s="20" t="s">
        <v>1418</v>
      </c>
      <c r="D1359" s="20"/>
      <c r="E1359" s="39"/>
      <c r="F1359" s="27"/>
      <c r="G1359" s="24"/>
      <c r="H1359" s="39"/>
      <c r="I1359" s="24"/>
      <c r="J1359" s="69"/>
      <c r="K1359" s="24"/>
      <c r="L1359" s="69"/>
      <c r="M1359" s="24"/>
      <c r="N1359" s="69"/>
      <c r="O1359" s="24"/>
      <c r="P1359" s="43"/>
      <c r="Q1359" s="24"/>
      <c r="R1359" s="69"/>
      <c r="S1359" s="24"/>
      <c r="T1359" s="69"/>
      <c r="U1359" s="24"/>
      <c r="V1359" s="47">
        <f>V1360+V1361</f>
        <v>20.3</v>
      </c>
      <c r="W1359" s="24">
        <f t="shared" ref="W1359:W1361" si="364">U1359+V1359</f>
        <v>20.3</v>
      </c>
      <c r="X1359" s="47">
        <f>X1360+X1361</f>
        <v>17.099999999999998</v>
      </c>
      <c r="Y1359" s="24">
        <f t="shared" si="335"/>
        <v>37.4</v>
      </c>
    </row>
    <row r="1360" spans="1:27" x14ac:dyDescent="0.25">
      <c r="A1360" s="25" t="s">
        <v>574</v>
      </c>
      <c r="B1360" s="21" t="s">
        <v>329</v>
      </c>
      <c r="C1360" s="21" t="s">
        <v>1418</v>
      </c>
      <c r="D1360" s="21" t="s">
        <v>81</v>
      </c>
      <c r="E1360" s="39"/>
      <c r="F1360" s="27"/>
      <c r="G1360" s="24"/>
      <c r="H1360" s="39"/>
      <c r="I1360" s="24"/>
      <c r="J1360" s="69"/>
      <c r="K1360" s="24"/>
      <c r="L1360" s="69"/>
      <c r="M1360" s="24"/>
      <c r="N1360" s="69"/>
      <c r="O1360" s="24"/>
      <c r="P1360" s="43"/>
      <c r="Q1360" s="24"/>
      <c r="R1360" s="69"/>
      <c r="S1360" s="24"/>
      <c r="T1360" s="69"/>
      <c r="U1360" s="24"/>
      <c r="V1360" s="94">
        <v>19.2</v>
      </c>
      <c r="W1360" s="24">
        <f t="shared" si="364"/>
        <v>19.2</v>
      </c>
      <c r="X1360" s="39">
        <v>16.399999999999999</v>
      </c>
      <c r="Y1360" s="24">
        <f t="shared" si="335"/>
        <v>35.599999999999994</v>
      </c>
      <c r="Z1360" s="61">
        <v>16.399999999999999</v>
      </c>
      <c r="AA1360" s="189">
        <f t="shared" ref="AA1360:AA1361" si="365">Y1360+Z1360</f>
        <v>51.999999999999993</v>
      </c>
    </row>
    <row r="1361" spans="1:27" x14ac:dyDescent="0.25">
      <c r="A1361" s="17" t="s">
        <v>321</v>
      </c>
      <c r="B1361" s="21" t="s">
        <v>329</v>
      </c>
      <c r="C1361" s="21" t="s">
        <v>1418</v>
      </c>
      <c r="D1361" s="21" t="s">
        <v>322</v>
      </c>
      <c r="E1361" s="39"/>
      <c r="F1361" s="27"/>
      <c r="G1361" s="24"/>
      <c r="H1361" s="39"/>
      <c r="I1361" s="24"/>
      <c r="J1361" s="69"/>
      <c r="K1361" s="24"/>
      <c r="L1361" s="69"/>
      <c r="M1361" s="24"/>
      <c r="N1361" s="69"/>
      <c r="O1361" s="24"/>
      <c r="P1361" s="43"/>
      <c r="Q1361" s="24"/>
      <c r="R1361" s="69"/>
      <c r="S1361" s="24"/>
      <c r="T1361" s="69"/>
      <c r="U1361" s="24"/>
      <c r="V1361" s="94">
        <v>1.1000000000000001</v>
      </c>
      <c r="W1361" s="24">
        <f t="shared" si="364"/>
        <v>1.1000000000000001</v>
      </c>
      <c r="X1361" s="39">
        <v>0.7</v>
      </c>
      <c r="Y1361" s="24">
        <f t="shared" si="335"/>
        <v>1.8</v>
      </c>
      <c r="Z1361" s="61">
        <v>0.7</v>
      </c>
      <c r="AA1361" s="189">
        <f t="shared" si="365"/>
        <v>2.5</v>
      </c>
    </row>
    <row r="1362" spans="1:27" ht="24.75" x14ac:dyDescent="0.25">
      <c r="A1362" s="22" t="s">
        <v>356</v>
      </c>
      <c r="B1362" s="23" t="s">
        <v>329</v>
      </c>
      <c r="C1362" s="23" t="s">
        <v>357</v>
      </c>
      <c r="D1362" s="23" t="s">
        <v>2</v>
      </c>
      <c r="E1362" s="24">
        <f>E1363+E1364</f>
        <v>954.1</v>
      </c>
      <c r="F1362" s="24">
        <f>F1363+F1364</f>
        <v>0</v>
      </c>
      <c r="G1362" s="24">
        <f t="shared" ref="G1362:G1491" si="366">E1362+F1362</f>
        <v>954.1</v>
      </c>
      <c r="H1362" s="24">
        <f>H1363+H1364</f>
        <v>0</v>
      </c>
      <c r="I1362" s="24">
        <f t="shared" si="354"/>
        <v>954.1</v>
      </c>
      <c r="J1362" s="47">
        <f>J1363+J1364</f>
        <v>0</v>
      </c>
      <c r="K1362" s="24">
        <f t="shared" si="355"/>
        <v>954.1</v>
      </c>
      <c r="L1362" s="47">
        <f>L1363+L1364</f>
        <v>0</v>
      </c>
      <c r="M1362" s="24">
        <f t="shared" si="356"/>
        <v>954.1</v>
      </c>
      <c r="N1362" s="47">
        <f>N1363+N1364</f>
        <v>0</v>
      </c>
      <c r="O1362" s="24">
        <f t="shared" si="357"/>
        <v>954.1</v>
      </c>
      <c r="P1362" s="47">
        <f>P1363+P1364</f>
        <v>0</v>
      </c>
      <c r="Q1362" s="24">
        <f t="shared" si="344"/>
        <v>954.1</v>
      </c>
      <c r="R1362" s="47">
        <f>R1363+R1364</f>
        <v>0</v>
      </c>
      <c r="S1362" s="24">
        <f t="shared" si="309"/>
        <v>954.1</v>
      </c>
      <c r="T1362" s="47">
        <f>T1363+T1364</f>
        <v>0</v>
      </c>
      <c r="U1362" s="24">
        <f t="shared" si="308"/>
        <v>954.1</v>
      </c>
      <c r="V1362" s="47">
        <f>V1363+V1364</f>
        <v>-20.3</v>
      </c>
      <c r="W1362" s="24">
        <f t="shared" si="305"/>
        <v>933.80000000000007</v>
      </c>
      <c r="X1362" s="47">
        <f>X1363+X1364</f>
        <v>0</v>
      </c>
      <c r="Y1362" s="24">
        <f t="shared" si="335"/>
        <v>933.80000000000007</v>
      </c>
    </row>
    <row r="1363" spans="1:27" x14ac:dyDescent="0.25">
      <c r="A1363" s="25" t="s">
        <v>574</v>
      </c>
      <c r="B1363" s="26" t="s">
        <v>329</v>
      </c>
      <c r="C1363" s="26" t="s">
        <v>357</v>
      </c>
      <c r="D1363" s="26" t="s">
        <v>81</v>
      </c>
      <c r="E1363" s="27">
        <v>870.2</v>
      </c>
      <c r="F1363" s="27"/>
      <c r="G1363" s="24">
        <f t="shared" si="366"/>
        <v>870.2</v>
      </c>
      <c r="H1363" s="27"/>
      <c r="I1363" s="24">
        <f t="shared" si="354"/>
        <v>870.2</v>
      </c>
      <c r="J1363" s="27"/>
      <c r="K1363" s="24">
        <f t="shared" si="355"/>
        <v>870.2</v>
      </c>
      <c r="L1363" s="27"/>
      <c r="M1363" s="24">
        <f t="shared" si="356"/>
        <v>870.2</v>
      </c>
      <c r="N1363" s="27"/>
      <c r="O1363" s="24">
        <f t="shared" si="357"/>
        <v>870.2</v>
      </c>
      <c r="P1363" s="27"/>
      <c r="Q1363" s="24">
        <f t="shared" si="344"/>
        <v>870.2</v>
      </c>
      <c r="R1363" s="27"/>
      <c r="S1363" s="24">
        <f t="shared" si="309"/>
        <v>870.2</v>
      </c>
      <c r="T1363" s="69"/>
      <c r="U1363" s="24">
        <f t="shared" si="308"/>
        <v>870.2</v>
      </c>
      <c r="V1363" s="94">
        <v>-20.3</v>
      </c>
      <c r="W1363" s="24">
        <f t="shared" si="305"/>
        <v>849.90000000000009</v>
      </c>
      <c r="X1363" s="69"/>
      <c r="Y1363" s="24">
        <f t="shared" si="335"/>
        <v>849.90000000000009</v>
      </c>
      <c r="AA1363" s="189">
        <f t="shared" ref="AA1363:AA1364" si="367">Y1363+Z1363</f>
        <v>849.90000000000009</v>
      </c>
    </row>
    <row r="1364" spans="1:27" x14ac:dyDescent="0.25">
      <c r="A1364" s="25" t="s">
        <v>321</v>
      </c>
      <c r="B1364" s="26" t="s">
        <v>329</v>
      </c>
      <c r="C1364" s="26" t="s">
        <v>357</v>
      </c>
      <c r="D1364" s="26" t="s">
        <v>322</v>
      </c>
      <c r="E1364" s="27">
        <v>83.9</v>
      </c>
      <c r="F1364" s="27"/>
      <c r="G1364" s="24">
        <f t="shared" si="366"/>
        <v>83.9</v>
      </c>
      <c r="H1364" s="27"/>
      <c r="I1364" s="24">
        <f t="shared" si="354"/>
        <v>83.9</v>
      </c>
      <c r="J1364" s="27"/>
      <c r="K1364" s="24">
        <f t="shared" si="355"/>
        <v>83.9</v>
      </c>
      <c r="L1364" s="27"/>
      <c r="M1364" s="24">
        <f t="shared" si="356"/>
        <v>83.9</v>
      </c>
      <c r="N1364" s="27"/>
      <c r="O1364" s="24">
        <f t="shared" si="357"/>
        <v>83.9</v>
      </c>
      <c r="P1364" s="27"/>
      <c r="Q1364" s="24">
        <f t="shared" si="344"/>
        <v>83.9</v>
      </c>
      <c r="R1364" s="27"/>
      <c r="S1364" s="24">
        <f t="shared" si="309"/>
        <v>83.9</v>
      </c>
      <c r="T1364" s="69"/>
      <c r="U1364" s="24">
        <f t="shared" si="308"/>
        <v>83.9</v>
      </c>
      <c r="V1364" s="69"/>
      <c r="W1364" s="24">
        <f t="shared" si="305"/>
        <v>83.9</v>
      </c>
      <c r="X1364" s="69"/>
      <c r="Y1364" s="24">
        <f t="shared" si="335"/>
        <v>83.9</v>
      </c>
      <c r="AA1364" s="189">
        <f t="shared" si="367"/>
        <v>83.9</v>
      </c>
    </row>
    <row r="1365" spans="1:27" ht="24.75" hidden="1" x14ac:dyDescent="0.25">
      <c r="A1365" s="45" t="s">
        <v>759</v>
      </c>
      <c r="B1365" s="20" t="s">
        <v>329</v>
      </c>
      <c r="C1365" s="54" t="s">
        <v>537</v>
      </c>
      <c r="D1365" s="21"/>
      <c r="E1365" s="27"/>
      <c r="F1365" s="27"/>
      <c r="G1365" s="24"/>
      <c r="H1365" s="18">
        <f>H1366</f>
        <v>2500</v>
      </c>
      <c r="I1365" s="24">
        <f t="shared" si="354"/>
        <v>2500</v>
      </c>
      <c r="J1365" s="18">
        <f>J1366</f>
        <v>0</v>
      </c>
      <c r="K1365" s="24">
        <f t="shared" si="355"/>
        <v>2500</v>
      </c>
      <c r="L1365" s="18">
        <f>L1366</f>
        <v>0</v>
      </c>
      <c r="M1365" s="24">
        <f t="shared" si="356"/>
        <v>2500</v>
      </c>
      <c r="N1365" s="18">
        <f>N1366</f>
        <v>-2500</v>
      </c>
      <c r="O1365" s="24">
        <f t="shared" si="357"/>
        <v>0</v>
      </c>
      <c r="P1365" s="18">
        <f>P1366</f>
        <v>0</v>
      </c>
      <c r="Q1365" s="24">
        <f t="shared" si="344"/>
        <v>0</v>
      </c>
      <c r="R1365" s="18">
        <f>R1366</f>
        <v>0</v>
      </c>
      <c r="S1365" s="24">
        <f t="shared" si="309"/>
        <v>0</v>
      </c>
      <c r="T1365" s="18">
        <f>T1366</f>
        <v>0</v>
      </c>
      <c r="U1365" s="24">
        <f t="shared" si="308"/>
        <v>0</v>
      </c>
      <c r="V1365" s="18">
        <f>V1366</f>
        <v>0</v>
      </c>
      <c r="W1365" s="24">
        <f t="shared" si="305"/>
        <v>0</v>
      </c>
      <c r="X1365" s="18">
        <f>X1366</f>
        <v>0</v>
      </c>
      <c r="Y1365" s="24">
        <f t="shared" si="335"/>
        <v>0</v>
      </c>
    </row>
    <row r="1366" spans="1:27" s="6" customFormat="1" ht="24.75" hidden="1" x14ac:dyDescent="0.25">
      <c r="A1366" s="22" t="s">
        <v>538</v>
      </c>
      <c r="B1366" s="20" t="s">
        <v>329</v>
      </c>
      <c r="C1366" s="23" t="s">
        <v>539</v>
      </c>
      <c r="D1366" s="21"/>
      <c r="E1366" s="27"/>
      <c r="F1366" s="27"/>
      <c r="G1366" s="24"/>
      <c r="H1366" s="18">
        <f>H1367</f>
        <v>2500</v>
      </c>
      <c r="I1366" s="24">
        <f t="shared" si="354"/>
        <v>2500</v>
      </c>
      <c r="J1366" s="18">
        <f>J1367</f>
        <v>0</v>
      </c>
      <c r="K1366" s="24">
        <f t="shared" si="355"/>
        <v>2500</v>
      </c>
      <c r="L1366" s="18">
        <f>L1367</f>
        <v>0</v>
      </c>
      <c r="M1366" s="24">
        <f t="shared" si="356"/>
        <v>2500</v>
      </c>
      <c r="N1366" s="18">
        <f>N1367</f>
        <v>-2500</v>
      </c>
      <c r="O1366" s="24">
        <f t="shared" si="357"/>
        <v>0</v>
      </c>
      <c r="P1366" s="18">
        <f>P1367</f>
        <v>0</v>
      </c>
      <c r="Q1366" s="24">
        <f t="shared" si="344"/>
        <v>0</v>
      </c>
      <c r="R1366" s="18">
        <f>R1367</f>
        <v>0</v>
      </c>
      <c r="S1366" s="24">
        <f t="shared" si="309"/>
        <v>0</v>
      </c>
      <c r="T1366" s="18">
        <f>T1367</f>
        <v>0</v>
      </c>
      <c r="U1366" s="24">
        <f t="shared" si="308"/>
        <v>0</v>
      </c>
      <c r="V1366" s="18">
        <f>V1367</f>
        <v>0</v>
      </c>
      <c r="W1366" s="24">
        <f t="shared" si="305"/>
        <v>0</v>
      </c>
      <c r="X1366" s="18">
        <f>X1367</f>
        <v>0</v>
      </c>
      <c r="Y1366" s="24">
        <f t="shared" si="335"/>
        <v>0</v>
      </c>
      <c r="Z1366" s="189"/>
    </row>
    <row r="1367" spans="1:27" ht="24.75" hidden="1" x14ac:dyDescent="0.25">
      <c r="A1367" s="16" t="s">
        <v>234</v>
      </c>
      <c r="B1367" s="55" t="s">
        <v>329</v>
      </c>
      <c r="C1367" s="48" t="s">
        <v>760</v>
      </c>
      <c r="D1367" s="56"/>
      <c r="E1367" s="106"/>
      <c r="F1367" s="106"/>
      <c r="G1367" s="104"/>
      <c r="H1367" s="50">
        <f>H1368</f>
        <v>2500</v>
      </c>
      <c r="I1367" s="104">
        <f t="shared" si="354"/>
        <v>2500</v>
      </c>
      <c r="J1367" s="85">
        <f>J1368</f>
        <v>0</v>
      </c>
      <c r="K1367" s="104">
        <f t="shared" si="355"/>
        <v>2500</v>
      </c>
      <c r="L1367" s="85">
        <f>L1368</f>
        <v>0</v>
      </c>
      <c r="M1367" s="104">
        <f t="shared" si="356"/>
        <v>2500</v>
      </c>
      <c r="N1367" s="85">
        <f>N1368</f>
        <v>-2500</v>
      </c>
      <c r="O1367" s="104">
        <f t="shared" si="357"/>
        <v>0</v>
      </c>
      <c r="P1367" s="85">
        <f>P1368</f>
        <v>0</v>
      </c>
      <c r="Q1367" s="104">
        <f t="shared" si="344"/>
        <v>0</v>
      </c>
      <c r="R1367" s="85">
        <f>R1368</f>
        <v>0</v>
      </c>
      <c r="S1367" s="104">
        <f t="shared" si="309"/>
        <v>0</v>
      </c>
      <c r="T1367" s="85">
        <f>T1368</f>
        <v>0</v>
      </c>
      <c r="U1367" s="104">
        <f t="shared" si="308"/>
        <v>0</v>
      </c>
      <c r="V1367" s="85">
        <f>V1368</f>
        <v>0</v>
      </c>
      <c r="W1367" s="104">
        <f t="shared" si="305"/>
        <v>0</v>
      </c>
      <c r="X1367" s="85">
        <f>X1368</f>
        <v>0</v>
      </c>
      <c r="Y1367" s="104">
        <f t="shared" si="335"/>
        <v>0</v>
      </c>
    </row>
    <row r="1368" spans="1:27" hidden="1" x14ac:dyDescent="0.25">
      <c r="A1368" s="17" t="s">
        <v>574</v>
      </c>
      <c r="B1368" s="56" t="s">
        <v>329</v>
      </c>
      <c r="C1368" s="49" t="s">
        <v>760</v>
      </c>
      <c r="D1368" s="56" t="s">
        <v>81</v>
      </c>
      <c r="E1368" s="106"/>
      <c r="F1368" s="106"/>
      <c r="G1368" s="104"/>
      <c r="H1368" s="91">
        <v>2500</v>
      </c>
      <c r="I1368" s="104">
        <f t="shared" si="354"/>
        <v>2500</v>
      </c>
      <c r="J1368" s="84"/>
      <c r="K1368" s="104">
        <f t="shared" si="355"/>
        <v>2500</v>
      </c>
      <c r="L1368" s="98"/>
      <c r="M1368" s="104">
        <f t="shared" si="356"/>
        <v>2500</v>
      </c>
      <c r="N1368" s="91">
        <v>-2500</v>
      </c>
      <c r="O1368" s="104">
        <f t="shared" si="357"/>
        <v>0</v>
      </c>
      <c r="P1368" s="84"/>
      <c r="Q1368" s="104">
        <f t="shared" si="344"/>
        <v>0</v>
      </c>
      <c r="R1368" s="84"/>
      <c r="S1368" s="104">
        <f t="shared" si="309"/>
        <v>0</v>
      </c>
      <c r="T1368" s="84"/>
      <c r="U1368" s="104">
        <f t="shared" si="308"/>
        <v>0</v>
      </c>
      <c r="V1368" s="84"/>
      <c r="W1368" s="104">
        <f t="shared" si="305"/>
        <v>0</v>
      </c>
      <c r="X1368" s="84"/>
      <c r="Y1368" s="104">
        <f t="shared" si="335"/>
        <v>0</v>
      </c>
      <c r="AA1368" s="189">
        <f>Y1368+Z1368</f>
        <v>0</v>
      </c>
    </row>
    <row r="1369" spans="1:27" ht="24.75" x14ac:dyDescent="0.25">
      <c r="A1369" s="45" t="s">
        <v>621</v>
      </c>
      <c r="B1369" s="20" t="s">
        <v>329</v>
      </c>
      <c r="C1369" s="54" t="s">
        <v>60</v>
      </c>
      <c r="D1369" s="21"/>
      <c r="E1369" s="27"/>
      <c r="F1369" s="27"/>
      <c r="G1369" s="24"/>
      <c r="H1369" s="18">
        <f>H1372</f>
        <v>892.2</v>
      </c>
      <c r="I1369" s="24">
        <f t="shared" si="354"/>
        <v>892.2</v>
      </c>
      <c r="J1369" s="47">
        <f>J1372</f>
        <v>63</v>
      </c>
      <c r="K1369" s="24">
        <f t="shared" si="355"/>
        <v>955.2</v>
      </c>
      <c r="L1369" s="47">
        <f>L1372</f>
        <v>-428.20000000000005</v>
      </c>
      <c r="M1369" s="24">
        <f t="shared" si="356"/>
        <v>527</v>
      </c>
      <c r="N1369" s="47">
        <f>N1372+N1370+N1398</f>
        <v>-33</v>
      </c>
      <c r="O1369" s="24">
        <f t="shared" si="357"/>
        <v>494</v>
      </c>
      <c r="P1369" s="47">
        <f>P1372+P1370+P1398</f>
        <v>-35.200000000000003</v>
      </c>
      <c r="Q1369" s="24">
        <f t="shared" si="344"/>
        <v>458.8</v>
      </c>
      <c r="R1369" s="47">
        <f>R1372+R1370+R1398</f>
        <v>-265.39999999999998</v>
      </c>
      <c r="S1369" s="24">
        <f t="shared" si="309"/>
        <v>193.40000000000003</v>
      </c>
      <c r="T1369" s="47">
        <f>T1372+T1370+T1398</f>
        <v>984.8</v>
      </c>
      <c r="U1369" s="24">
        <f t="shared" si="308"/>
        <v>1178.2</v>
      </c>
      <c r="V1369" s="47">
        <f>V1372+V1370+V1398</f>
        <v>0</v>
      </c>
      <c r="W1369" s="24">
        <f t="shared" si="305"/>
        <v>1178.2</v>
      </c>
      <c r="X1369" s="47">
        <f>X1372+X1370+X1398</f>
        <v>12.7</v>
      </c>
      <c r="Y1369" s="24">
        <f t="shared" si="335"/>
        <v>1190.9000000000001</v>
      </c>
    </row>
    <row r="1370" spans="1:27" hidden="1" x14ac:dyDescent="0.25">
      <c r="A1370" s="22" t="s">
        <v>851</v>
      </c>
      <c r="B1370" s="20" t="s">
        <v>329</v>
      </c>
      <c r="C1370" s="23" t="s">
        <v>850</v>
      </c>
      <c r="D1370" s="21"/>
      <c r="E1370" s="27"/>
      <c r="F1370" s="27"/>
      <c r="G1370" s="24"/>
      <c r="H1370" s="18"/>
      <c r="I1370" s="24"/>
      <c r="J1370" s="47"/>
      <c r="K1370" s="24"/>
      <c r="L1370" s="47"/>
      <c r="M1370" s="24"/>
      <c r="N1370" s="47">
        <f>N1371</f>
        <v>0</v>
      </c>
      <c r="O1370" s="24">
        <f t="shared" si="357"/>
        <v>0</v>
      </c>
      <c r="P1370" s="47">
        <f>P1371</f>
        <v>0</v>
      </c>
      <c r="Q1370" s="24">
        <f t="shared" si="344"/>
        <v>0</v>
      </c>
      <c r="R1370" s="47">
        <f>R1371</f>
        <v>0</v>
      </c>
      <c r="S1370" s="24">
        <f t="shared" si="309"/>
        <v>0</v>
      </c>
      <c r="T1370" s="47">
        <f>T1371</f>
        <v>0</v>
      </c>
      <c r="U1370" s="24">
        <f t="shared" si="308"/>
        <v>0</v>
      </c>
      <c r="V1370" s="47">
        <f>V1371</f>
        <v>0</v>
      </c>
      <c r="W1370" s="24">
        <f t="shared" si="305"/>
        <v>0</v>
      </c>
      <c r="X1370" s="47">
        <f>X1371</f>
        <v>0</v>
      </c>
      <c r="Y1370" s="24">
        <f t="shared" si="335"/>
        <v>0</v>
      </c>
    </row>
    <row r="1371" spans="1:27" hidden="1" x14ac:dyDescent="0.25">
      <c r="A1371" s="17" t="s">
        <v>574</v>
      </c>
      <c r="B1371" s="21" t="s">
        <v>329</v>
      </c>
      <c r="C1371" s="26" t="s">
        <v>850</v>
      </c>
      <c r="D1371" s="21" t="s">
        <v>81</v>
      </c>
      <c r="E1371" s="27"/>
      <c r="F1371" s="27"/>
      <c r="G1371" s="27"/>
      <c r="H1371" s="19"/>
      <c r="I1371" s="27"/>
      <c r="J1371" s="69"/>
      <c r="K1371" s="27"/>
      <c r="L1371" s="69"/>
      <c r="M1371" s="27"/>
      <c r="N1371" s="19"/>
      <c r="O1371" s="27">
        <f t="shared" si="357"/>
        <v>0</v>
      </c>
      <c r="P1371" s="19"/>
      <c r="Q1371" s="27">
        <f t="shared" si="344"/>
        <v>0</v>
      </c>
      <c r="R1371" s="19"/>
      <c r="S1371" s="27">
        <f t="shared" si="309"/>
        <v>0</v>
      </c>
      <c r="T1371" s="69"/>
      <c r="U1371" s="27">
        <f t="shared" si="308"/>
        <v>0</v>
      </c>
      <c r="V1371" s="69"/>
      <c r="W1371" s="27">
        <f t="shared" si="305"/>
        <v>0</v>
      </c>
      <c r="X1371" s="69"/>
      <c r="Y1371" s="27">
        <f t="shared" si="335"/>
        <v>0</v>
      </c>
      <c r="AA1371" s="189">
        <f>Y1371+Z1371</f>
        <v>0</v>
      </c>
    </row>
    <row r="1372" spans="1:27" ht="24.75" x14ac:dyDescent="0.25">
      <c r="A1372" s="22" t="s">
        <v>90</v>
      </c>
      <c r="B1372" s="20" t="s">
        <v>329</v>
      </c>
      <c r="C1372" s="23" t="s">
        <v>605</v>
      </c>
      <c r="D1372" s="21"/>
      <c r="E1372" s="27"/>
      <c r="F1372" s="27"/>
      <c r="G1372" s="24"/>
      <c r="H1372" s="18">
        <f>H1373</f>
        <v>892.2</v>
      </c>
      <c r="I1372" s="24">
        <f t="shared" si="354"/>
        <v>892.2</v>
      </c>
      <c r="J1372" s="47">
        <f>J1373</f>
        <v>63</v>
      </c>
      <c r="K1372" s="24">
        <f t="shared" si="355"/>
        <v>955.2</v>
      </c>
      <c r="L1372" s="47">
        <f>L1373+L1388</f>
        <v>-428.20000000000005</v>
      </c>
      <c r="M1372" s="24">
        <f t="shared" si="356"/>
        <v>527</v>
      </c>
      <c r="N1372" s="47">
        <f>N1373+N1388+N1396</f>
        <v>-113</v>
      </c>
      <c r="O1372" s="24">
        <f t="shared" si="357"/>
        <v>414</v>
      </c>
      <c r="P1372" s="47">
        <f>P1373+P1388+P1396</f>
        <v>-35.200000000000003</v>
      </c>
      <c r="Q1372" s="24">
        <f t="shared" si="344"/>
        <v>378.8</v>
      </c>
      <c r="R1372" s="47">
        <f>R1373+R1388+R1396</f>
        <v>-265.39999999999998</v>
      </c>
      <c r="S1372" s="24">
        <f t="shared" si="309"/>
        <v>113.40000000000003</v>
      </c>
      <c r="T1372" s="47">
        <f>T1373+T1388+T1396</f>
        <v>984.8</v>
      </c>
      <c r="U1372" s="24">
        <f t="shared" si="308"/>
        <v>1098.2</v>
      </c>
      <c r="V1372" s="47">
        <f>V1373+V1388+V1396</f>
        <v>0</v>
      </c>
      <c r="W1372" s="24">
        <f t="shared" si="305"/>
        <v>1098.2</v>
      </c>
      <c r="X1372" s="47">
        <f>X1373+X1388+X1396</f>
        <v>12.7</v>
      </c>
      <c r="Y1372" s="24">
        <f t="shared" si="335"/>
        <v>1110.9000000000001</v>
      </c>
    </row>
    <row r="1373" spans="1:27" x14ac:dyDescent="0.25">
      <c r="A1373" s="22" t="s">
        <v>718</v>
      </c>
      <c r="B1373" s="20" t="s">
        <v>329</v>
      </c>
      <c r="C1373" s="23" t="s">
        <v>791</v>
      </c>
      <c r="D1373" s="21"/>
      <c r="E1373" s="27"/>
      <c r="F1373" s="27"/>
      <c r="G1373" s="24"/>
      <c r="H1373" s="18">
        <f>H1376+H1378+H1380+H1382+H1384+H1386</f>
        <v>892.2</v>
      </c>
      <c r="I1373" s="24">
        <f t="shared" si="354"/>
        <v>892.2</v>
      </c>
      <c r="J1373" s="47">
        <f>J1376+J1378+J1380+J1382+J1384+J1386+J1374</f>
        <v>63</v>
      </c>
      <c r="K1373" s="24">
        <f t="shared" si="355"/>
        <v>955.2</v>
      </c>
      <c r="L1373" s="47">
        <f>L1376+L1378+L1380+L1382+L1384+L1386+L1374</f>
        <v>-700.6</v>
      </c>
      <c r="M1373" s="24">
        <f t="shared" si="356"/>
        <v>254.60000000000002</v>
      </c>
      <c r="N1373" s="47">
        <f>N1376+N1378+N1380+N1382+N1384+N1386+N1374</f>
        <v>-198.6</v>
      </c>
      <c r="O1373" s="24">
        <f t="shared" si="357"/>
        <v>56.000000000000028</v>
      </c>
      <c r="P1373" s="47">
        <f>P1376+P1378+P1380+P1382+P1384+P1386+P1374</f>
        <v>-35.200000000000003</v>
      </c>
      <c r="Q1373" s="24">
        <f t="shared" si="344"/>
        <v>20.800000000000026</v>
      </c>
      <c r="R1373" s="47">
        <f>R1376+R1378+R1380+R1382+R1384+R1386+R1374</f>
        <v>0</v>
      </c>
      <c r="S1373" s="24">
        <f t="shared" si="309"/>
        <v>20.800000000000026</v>
      </c>
      <c r="T1373" s="47">
        <f>T1376+T1378+T1380+T1382+T1384+T1386+T1374</f>
        <v>0</v>
      </c>
      <c r="U1373" s="24">
        <f t="shared" si="308"/>
        <v>20.800000000000026</v>
      </c>
      <c r="V1373" s="47">
        <f>V1376+V1378+V1380+V1382+V1384+V1386+V1374</f>
        <v>0</v>
      </c>
      <c r="W1373" s="24">
        <f t="shared" si="305"/>
        <v>20.800000000000026</v>
      </c>
      <c r="X1373" s="47">
        <f>X1376+X1378+X1380+X1382+X1384+X1386+X1374</f>
        <v>12.7</v>
      </c>
      <c r="Y1373" s="24">
        <f t="shared" si="335"/>
        <v>33.500000000000028</v>
      </c>
    </row>
    <row r="1374" spans="1:27" ht="24.75" x14ac:dyDescent="0.25">
      <c r="A1374" s="22" t="s">
        <v>790</v>
      </c>
      <c r="B1374" s="20" t="s">
        <v>329</v>
      </c>
      <c r="C1374" s="54" t="s">
        <v>791</v>
      </c>
      <c r="D1374" s="21"/>
      <c r="E1374" s="27"/>
      <c r="F1374" s="27"/>
      <c r="G1374" s="24"/>
      <c r="H1374" s="18"/>
      <c r="I1374" s="24"/>
      <c r="J1374" s="47">
        <f>J1375</f>
        <v>63</v>
      </c>
      <c r="K1374" s="24">
        <f t="shared" si="355"/>
        <v>63</v>
      </c>
      <c r="L1374" s="47">
        <f>L1375</f>
        <v>-7</v>
      </c>
      <c r="M1374" s="24">
        <f t="shared" si="356"/>
        <v>56</v>
      </c>
      <c r="N1374" s="47">
        <f>N1375</f>
        <v>0</v>
      </c>
      <c r="O1374" s="24">
        <f t="shared" si="357"/>
        <v>56</v>
      </c>
      <c r="P1374" s="47">
        <f>P1375</f>
        <v>-35.200000000000003</v>
      </c>
      <c r="Q1374" s="24">
        <f t="shared" si="344"/>
        <v>20.799999999999997</v>
      </c>
      <c r="R1374" s="47">
        <f>R1375</f>
        <v>0</v>
      </c>
      <c r="S1374" s="24">
        <f t="shared" si="309"/>
        <v>20.799999999999997</v>
      </c>
      <c r="T1374" s="47">
        <f>T1375</f>
        <v>0</v>
      </c>
      <c r="U1374" s="24">
        <f t="shared" si="308"/>
        <v>20.799999999999997</v>
      </c>
      <c r="V1374" s="47">
        <f>V1375</f>
        <v>0</v>
      </c>
      <c r="W1374" s="24">
        <f t="shared" si="305"/>
        <v>20.799999999999997</v>
      </c>
      <c r="X1374" s="47">
        <f>X1375</f>
        <v>12.7</v>
      </c>
      <c r="Y1374" s="24">
        <f t="shared" si="335"/>
        <v>33.5</v>
      </c>
    </row>
    <row r="1375" spans="1:27" x14ac:dyDescent="0.25">
      <c r="A1375" s="17" t="s">
        <v>574</v>
      </c>
      <c r="B1375" s="21" t="s">
        <v>329</v>
      </c>
      <c r="C1375" s="76" t="s">
        <v>791</v>
      </c>
      <c r="D1375" s="21" t="s">
        <v>81</v>
      </c>
      <c r="E1375" s="27"/>
      <c r="F1375" s="27"/>
      <c r="G1375" s="24"/>
      <c r="H1375" s="18"/>
      <c r="I1375" s="24"/>
      <c r="J1375" s="63">
        <v>63</v>
      </c>
      <c r="K1375" s="24">
        <f t="shared" si="355"/>
        <v>63</v>
      </c>
      <c r="L1375" s="107">
        <v>-7</v>
      </c>
      <c r="M1375" s="24">
        <f t="shared" si="356"/>
        <v>56</v>
      </c>
      <c r="N1375" s="69"/>
      <c r="O1375" s="24">
        <f t="shared" si="357"/>
        <v>56</v>
      </c>
      <c r="P1375" s="94">
        <v>-35.200000000000003</v>
      </c>
      <c r="Q1375" s="24">
        <f t="shared" si="344"/>
        <v>20.799999999999997</v>
      </c>
      <c r="R1375" s="69"/>
      <c r="S1375" s="24">
        <f t="shared" si="309"/>
        <v>20.799999999999997</v>
      </c>
      <c r="T1375" s="69"/>
      <c r="U1375" s="24">
        <f t="shared" si="308"/>
        <v>20.799999999999997</v>
      </c>
      <c r="V1375" s="69"/>
      <c r="W1375" s="24">
        <f t="shared" si="305"/>
        <v>20.799999999999997</v>
      </c>
      <c r="X1375" s="39">
        <v>12.7</v>
      </c>
      <c r="Y1375" s="24">
        <f t="shared" si="335"/>
        <v>33.5</v>
      </c>
      <c r="Z1375" s="61">
        <v>12.7</v>
      </c>
      <c r="AA1375" s="189">
        <f>Y1375+Z1375</f>
        <v>46.2</v>
      </c>
    </row>
    <row r="1376" spans="1:27" hidden="1" x14ac:dyDescent="0.25">
      <c r="A1376" s="82" t="s">
        <v>746</v>
      </c>
      <c r="B1376" s="20" t="s">
        <v>329</v>
      </c>
      <c r="C1376" s="54" t="s">
        <v>752</v>
      </c>
      <c r="D1376" s="21"/>
      <c r="E1376" s="27"/>
      <c r="F1376" s="27"/>
      <c r="G1376" s="24"/>
      <c r="H1376" s="47">
        <f>H1377</f>
        <v>180</v>
      </c>
      <c r="I1376" s="24">
        <f t="shared" si="354"/>
        <v>180</v>
      </c>
      <c r="J1376" s="47">
        <f>J1377</f>
        <v>0</v>
      </c>
      <c r="K1376" s="24">
        <f t="shared" si="355"/>
        <v>180</v>
      </c>
      <c r="L1376" s="47">
        <f>L1377</f>
        <v>-180</v>
      </c>
      <c r="M1376" s="24">
        <f t="shared" si="356"/>
        <v>0</v>
      </c>
      <c r="N1376" s="47">
        <f>N1377</f>
        <v>0</v>
      </c>
      <c r="O1376" s="24">
        <f t="shared" si="357"/>
        <v>0</v>
      </c>
      <c r="P1376" s="47">
        <f>P1377</f>
        <v>0</v>
      </c>
      <c r="Q1376" s="24">
        <f t="shared" si="344"/>
        <v>0</v>
      </c>
      <c r="R1376" s="47">
        <f>R1377</f>
        <v>0</v>
      </c>
      <c r="S1376" s="24">
        <f t="shared" si="309"/>
        <v>0</v>
      </c>
      <c r="T1376" s="47">
        <f>T1377</f>
        <v>0</v>
      </c>
      <c r="U1376" s="24">
        <f t="shared" si="308"/>
        <v>0</v>
      </c>
      <c r="V1376" s="47">
        <f>V1377</f>
        <v>0</v>
      </c>
      <c r="W1376" s="24">
        <f t="shared" si="305"/>
        <v>0</v>
      </c>
      <c r="X1376" s="47">
        <f>X1377</f>
        <v>0</v>
      </c>
      <c r="Y1376" s="24">
        <f t="shared" si="335"/>
        <v>0</v>
      </c>
    </row>
    <row r="1377" spans="1:27" hidden="1" x14ac:dyDescent="0.25">
      <c r="A1377" s="64" t="s">
        <v>574</v>
      </c>
      <c r="B1377" s="21" t="s">
        <v>329</v>
      </c>
      <c r="C1377" s="76" t="s">
        <v>752</v>
      </c>
      <c r="D1377" s="21" t="s">
        <v>81</v>
      </c>
      <c r="E1377" s="27"/>
      <c r="F1377" s="27"/>
      <c r="G1377" s="24"/>
      <c r="H1377" s="39">
        <v>180</v>
      </c>
      <c r="I1377" s="24">
        <f t="shared" si="354"/>
        <v>180</v>
      </c>
      <c r="J1377" s="69"/>
      <c r="K1377" s="24">
        <f t="shared" si="355"/>
        <v>180</v>
      </c>
      <c r="L1377" s="94">
        <v>-180</v>
      </c>
      <c r="M1377" s="24">
        <f t="shared" si="356"/>
        <v>0</v>
      </c>
      <c r="N1377" s="69"/>
      <c r="O1377" s="24">
        <f t="shared" si="357"/>
        <v>0</v>
      </c>
      <c r="P1377" s="69"/>
      <c r="Q1377" s="24">
        <f t="shared" si="344"/>
        <v>0</v>
      </c>
      <c r="R1377" s="69"/>
      <c r="S1377" s="24">
        <f t="shared" ref="S1377:S1489" si="368">Q1377+R1377</f>
        <v>0</v>
      </c>
      <c r="T1377" s="69"/>
      <c r="U1377" s="24">
        <f t="shared" si="308"/>
        <v>0</v>
      </c>
      <c r="V1377" s="69"/>
      <c r="W1377" s="24">
        <f t="shared" si="305"/>
        <v>0</v>
      </c>
      <c r="X1377" s="69"/>
      <c r="Y1377" s="24">
        <f t="shared" si="335"/>
        <v>0</v>
      </c>
      <c r="AA1377" s="189">
        <f>Y1377+Z1377</f>
        <v>0</v>
      </c>
    </row>
    <row r="1378" spans="1:27" ht="24" hidden="1" x14ac:dyDescent="0.25">
      <c r="A1378" s="82" t="s">
        <v>747</v>
      </c>
      <c r="B1378" s="20" t="s">
        <v>329</v>
      </c>
      <c r="C1378" s="54" t="s">
        <v>753</v>
      </c>
      <c r="D1378" s="21"/>
      <c r="E1378" s="27"/>
      <c r="F1378" s="27"/>
      <c r="G1378" s="24"/>
      <c r="H1378" s="47">
        <f>H1379</f>
        <v>70</v>
      </c>
      <c r="I1378" s="24">
        <f t="shared" si="354"/>
        <v>70</v>
      </c>
      <c r="J1378" s="47">
        <f>J1379</f>
        <v>0</v>
      </c>
      <c r="K1378" s="24">
        <f t="shared" si="355"/>
        <v>70</v>
      </c>
      <c r="L1378" s="47">
        <f>L1379</f>
        <v>-70</v>
      </c>
      <c r="M1378" s="24">
        <f t="shared" si="356"/>
        <v>0</v>
      </c>
      <c r="N1378" s="47">
        <f>N1379</f>
        <v>0</v>
      </c>
      <c r="O1378" s="24">
        <f t="shared" si="357"/>
        <v>0</v>
      </c>
      <c r="P1378" s="47">
        <f>P1379</f>
        <v>0</v>
      </c>
      <c r="Q1378" s="24">
        <f t="shared" si="344"/>
        <v>0</v>
      </c>
      <c r="R1378" s="47">
        <f>R1379</f>
        <v>0</v>
      </c>
      <c r="S1378" s="24">
        <f t="shared" si="368"/>
        <v>0</v>
      </c>
      <c r="T1378" s="47">
        <f>T1379</f>
        <v>0</v>
      </c>
      <c r="U1378" s="24">
        <f t="shared" si="308"/>
        <v>0</v>
      </c>
      <c r="V1378" s="47">
        <f>V1379</f>
        <v>0</v>
      </c>
      <c r="W1378" s="24">
        <f t="shared" si="305"/>
        <v>0</v>
      </c>
      <c r="X1378" s="47">
        <f>X1379</f>
        <v>0</v>
      </c>
      <c r="Y1378" s="24">
        <f t="shared" si="335"/>
        <v>0</v>
      </c>
    </row>
    <row r="1379" spans="1:27" hidden="1" x14ac:dyDescent="0.25">
      <c r="A1379" s="64" t="s">
        <v>574</v>
      </c>
      <c r="B1379" s="21" t="s">
        <v>329</v>
      </c>
      <c r="C1379" s="76" t="s">
        <v>753</v>
      </c>
      <c r="D1379" s="21" t="s">
        <v>81</v>
      </c>
      <c r="E1379" s="27"/>
      <c r="F1379" s="27"/>
      <c r="G1379" s="24"/>
      <c r="H1379" s="39">
        <v>70</v>
      </c>
      <c r="I1379" s="24">
        <f t="shared" si="354"/>
        <v>70</v>
      </c>
      <c r="J1379" s="69"/>
      <c r="K1379" s="24">
        <f t="shared" si="355"/>
        <v>70</v>
      </c>
      <c r="L1379" s="94">
        <v>-70</v>
      </c>
      <c r="M1379" s="24">
        <f t="shared" si="356"/>
        <v>0</v>
      </c>
      <c r="N1379" s="69"/>
      <c r="O1379" s="24">
        <f t="shared" si="357"/>
        <v>0</v>
      </c>
      <c r="P1379" s="69"/>
      <c r="Q1379" s="24">
        <f t="shared" si="344"/>
        <v>0</v>
      </c>
      <c r="R1379" s="69"/>
      <c r="S1379" s="24">
        <f t="shared" si="368"/>
        <v>0</v>
      </c>
      <c r="T1379" s="69"/>
      <c r="U1379" s="24">
        <f t="shared" si="308"/>
        <v>0</v>
      </c>
      <c r="V1379" s="69"/>
      <c r="W1379" s="24">
        <f t="shared" si="305"/>
        <v>0</v>
      </c>
      <c r="X1379" s="69"/>
      <c r="Y1379" s="24">
        <f t="shared" si="335"/>
        <v>0</v>
      </c>
      <c r="AA1379" s="189">
        <f>Y1379+Z1379</f>
        <v>0</v>
      </c>
    </row>
    <row r="1380" spans="1:27" hidden="1" x14ac:dyDescent="0.25">
      <c r="A1380" s="82" t="s">
        <v>748</v>
      </c>
      <c r="B1380" s="20" t="s">
        <v>329</v>
      </c>
      <c r="C1380" s="54" t="s">
        <v>754</v>
      </c>
      <c r="D1380" s="21"/>
      <c r="E1380" s="27"/>
      <c r="F1380" s="27"/>
      <c r="G1380" s="24"/>
      <c r="H1380" s="47">
        <f>H1381</f>
        <v>66.2</v>
      </c>
      <c r="I1380" s="24">
        <f t="shared" si="354"/>
        <v>66.2</v>
      </c>
      <c r="J1380" s="47">
        <f>J1381</f>
        <v>0</v>
      </c>
      <c r="K1380" s="24">
        <f t="shared" si="355"/>
        <v>66.2</v>
      </c>
      <c r="L1380" s="47">
        <f>L1381</f>
        <v>132.4</v>
      </c>
      <c r="M1380" s="24">
        <f t="shared" si="356"/>
        <v>198.60000000000002</v>
      </c>
      <c r="N1380" s="47">
        <f>N1381</f>
        <v>-198.6</v>
      </c>
      <c r="O1380" s="24">
        <f t="shared" si="357"/>
        <v>0</v>
      </c>
      <c r="P1380" s="47">
        <f>P1381</f>
        <v>0</v>
      </c>
      <c r="Q1380" s="24">
        <f t="shared" si="344"/>
        <v>0</v>
      </c>
      <c r="R1380" s="47">
        <f>R1381</f>
        <v>0</v>
      </c>
      <c r="S1380" s="24">
        <f t="shared" si="368"/>
        <v>0</v>
      </c>
      <c r="T1380" s="47">
        <f>T1381</f>
        <v>0</v>
      </c>
      <c r="U1380" s="24">
        <f t="shared" si="308"/>
        <v>0</v>
      </c>
      <c r="V1380" s="47">
        <f>V1381</f>
        <v>0</v>
      </c>
      <c r="W1380" s="24">
        <f t="shared" si="305"/>
        <v>0</v>
      </c>
      <c r="X1380" s="47">
        <f>X1381</f>
        <v>0</v>
      </c>
      <c r="Y1380" s="24">
        <f t="shared" si="335"/>
        <v>0</v>
      </c>
    </row>
    <row r="1381" spans="1:27" hidden="1" x14ac:dyDescent="0.25">
      <c r="A1381" s="64" t="s">
        <v>574</v>
      </c>
      <c r="B1381" s="21" t="s">
        <v>329</v>
      </c>
      <c r="C1381" s="76" t="s">
        <v>754</v>
      </c>
      <c r="D1381" s="21" t="s">
        <v>81</v>
      </c>
      <c r="E1381" s="27"/>
      <c r="F1381" s="27"/>
      <c r="G1381" s="24"/>
      <c r="H1381" s="39">
        <v>66.2</v>
      </c>
      <c r="I1381" s="24">
        <f t="shared" si="354"/>
        <v>66.2</v>
      </c>
      <c r="J1381" s="69"/>
      <c r="K1381" s="24">
        <f t="shared" si="355"/>
        <v>66.2</v>
      </c>
      <c r="L1381" s="94">
        <v>132.4</v>
      </c>
      <c r="M1381" s="24">
        <f t="shared" si="356"/>
        <v>198.60000000000002</v>
      </c>
      <c r="N1381" s="39">
        <v>-198.6</v>
      </c>
      <c r="O1381" s="24">
        <f t="shared" si="357"/>
        <v>0</v>
      </c>
      <c r="P1381" s="69"/>
      <c r="Q1381" s="24">
        <f t="shared" si="344"/>
        <v>0</v>
      </c>
      <c r="R1381" s="69"/>
      <c r="S1381" s="24">
        <f t="shared" si="368"/>
        <v>0</v>
      </c>
      <c r="T1381" s="69"/>
      <c r="U1381" s="24">
        <f t="shared" si="308"/>
        <v>0</v>
      </c>
      <c r="V1381" s="69"/>
      <c r="W1381" s="24">
        <f t="shared" si="305"/>
        <v>0</v>
      </c>
      <c r="X1381" s="69"/>
      <c r="Y1381" s="24">
        <f t="shared" si="335"/>
        <v>0</v>
      </c>
      <c r="AA1381" s="189">
        <f>Y1381+Z1381</f>
        <v>0</v>
      </c>
    </row>
    <row r="1382" spans="1:27" hidden="1" x14ac:dyDescent="0.25">
      <c r="A1382" s="72" t="s">
        <v>749</v>
      </c>
      <c r="B1382" s="20" t="s">
        <v>329</v>
      </c>
      <c r="C1382" s="54" t="s">
        <v>755</v>
      </c>
      <c r="D1382" s="21"/>
      <c r="E1382" s="27"/>
      <c r="F1382" s="27"/>
      <c r="G1382" s="24"/>
      <c r="H1382" s="47">
        <f>H1383</f>
        <v>216</v>
      </c>
      <c r="I1382" s="24">
        <f t="shared" si="354"/>
        <v>216</v>
      </c>
      <c r="J1382" s="47">
        <f>J1383</f>
        <v>0</v>
      </c>
      <c r="K1382" s="24">
        <f t="shared" si="355"/>
        <v>216</v>
      </c>
      <c r="L1382" s="47">
        <f>L1383</f>
        <v>-216</v>
      </c>
      <c r="M1382" s="24">
        <f t="shared" si="356"/>
        <v>0</v>
      </c>
      <c r="N1382" s="47">
        <f>N1383</f>
        <v>0</v>
      </c>
      <c r="O1382" s="24">
        <f t="shared" si="357"/>
        <v>0</v>
      </c>
      <c r="P1382" s="47">
        <f>P1383</f>
        <v>0</v>
      </c>
      <c r="Q1382" s="24">
        <f t="shared" si="344"/>
        <v>0</v>
      </c>
      <c r="R1382" s="47">
        <f>R1383</f>
        <v>0</v>
      </c>
      <c r="S1382" s="24">
        <f t="shared" si="368"/>
        <v>0</v>
      </c>
      <c r="T1382" s="47">
        <f>T1383</f>
        <v>0</v>
      </c>
      <c r="U1382" s="24">
        <f t="shared" si="308"/>
        <v>0</v>
      </c>
      <c r="V1382" s="47">
        <f>V1383</f>
        <v>0</v>
      </c>
      <c r="W1382" s="24">
        <f t="shared" si="305"/>
        <v>0</v>
      </c>
      <c r="X1382" s="47">
        <f>X1383</f>
        <v>0</v>
      </c>
      <c r="Y1382" s="24">
        <f t="shared" si="335"/>
        <v>0</v>
      </c>
    </row>
    <row r="1383" spans="1:27" hidden="1" x14ac:dyDescent="0.25">
      <c r="A1383" s="64" t="s">
        <v>574</v>
      </c>
      <c r="B1383" s="21" t="s">
        <v>329</v>
      </c>
      <c r="C1383" s="76" t="s">
        <v>755</v>
      </c>
      <c r="D1383" s="21" t="s">
        <v>81</v>
      </c>
      <c r="E1383" s="27"/>
      <c r="F1383" s="27"/>
      <c r="G1383" s="24"/>
      <c r="H1383" s="39">
        <v>216</v>
      </c>
      <c r="I1383" s="24">
        <f t="shared" si="354"/>
        <v>216</v>
      </c>
      <c r="J1383" s="69"/>
      <c r="K1383" s="24">
        <f t="shared" si="355"/>
        <v>216</v>
      </c>
      <c r="L1383" s="94">
        <v>-216</v>
      </c>
      <c r="M1383" s="24">
        <f t="shared" si="356"/>
        <v>0</v>
      </c>
      <c r="N1383" s="69"/>
      <c r="O1383" s="24">
        <f t="shared" si="357"/>
        <v>0</v>
      </c>
      <c r="P1383" s="69"/>
      <c r="Q1383" s="24">
        <f t="shared" si="344"/>
        <v>0</v>
      </c>
      <c r="R1383" s="69"/>
      <c r="S1383" s="24">
        <f t="shared" si="368"/>
        <v>0</v>
      </c>
      <c r="T1383" s="69"/>
      <c r="U1383" s="24">
        <f t="shared" si="308"/>
        <v>0</v>
      </c>
      <c r="V1383" s="69"/>
      <c r="W1383" s="24">
        <f t="shared" si="305"/>
        <v>0</v>
      </c>
      <c r="X1383" s="69"/>
      <c r="Y1383" s="24">
        <f t="shared" si="335"/>
        <v>0</v>
      </c>
      <c r="AA1383" s="189">
        <f>Y1383+Z1383</f>
        <v>0</v>
      </c>
    </row>
    <row r="1384" spans="1:27" ht="24" hidden="1" x14ac:dyDescent="0.25">
      <c r="A1384" s="72" t="s">
        <v>750</v>
      </c>
      <c r="B1384" s="20" t="s">
        <v>329</v>
      </c>
      <c r="C1384" s="54" t="s">
        <v>756</v>
      </c>
      <c r="D1384" s="21"/>
      <c r="E1384" s="27"/>
      <c r="F1384" s="27"/>
      <c r="G1384" s="24"/>
      <c r="H1384" s="47">
        <f>H1385</f>
        <v>180</v>
      </c>
      <c r="I1384" s="24">
        <f t="shared" si="354"/>
        <v>180</v>
      </c>
      <c r="J1384" s="47">
        <f>J1385</f>
        <v>0</v>
      </c>
      <c r="K1384" s="24">
        <f t="shared" si="355"/>
        <v>180</v>
      </c>
      <c r="L1384" s="47">
        <f>L1385</f>
        <v>-180</v>
      </c>
      <c r="M1384" s="24">
        <f t="shared" si="356"/>
        <v>0</v>
      </c>
      <c r="N1384" s="47">
        <f>N1385</f>
        <v>0</v>
      </c>
      <c r="O1384" s="24">
        <f t="shared" si="357"/>
        <v>0</v>
      </c>
      <c r="P1384" s="47">
        <f>P1385</f>
        <v>0</v>
      </c>
      <c r="Q1384" s="24">
        <f t="shared" si="344"/>
        <v>0</v>
      </c>
      <c r="R1384" s="47">
        <f>R1385</f>
        <v>0</v>
      </c>
      <c r="S1384" s="24">
        <f t="shared" si="368"/>
        <v>0</v>
      </c>
      <c r="T1384" s="47">
        <f>T1385</f>
        <v>0</v>
      </c>
      <c r="U1384" s="24">
        <f t="shared" si="308"/>
        <v>0</v>
      </c>
      <c r="V1384" s="47">
        <f>V1385</f>
        <v>0</v>
      </c>
      <c r="W1384" s="24">
        <f t="shared" si="305"/>
        <v>0</v>
      </c>
      <c r="X1384" s="47">
        <f>X1385</f>
        <v>0</v>
      </c>
      <c r="Y1384" s="24">
        <f t="shared" si="335"/>
        <v>0</v>
      </c>
    </row>
    <row r="1385" spans="1:27" hidden="1" x14ac:dyDescent="0.25">
      <c r="A1385" s="64" t="s">
        <v>574</v>
      </c>
      <c r="B1385" s="21" t="s">
        <v>329</v>
      </c>
      <c r="C1385" s="76" t="s">
        <v>756</v>
      </c>
      <c r="D1385" s="21" t="s">
        <v>81</v>
      </c>
      <c r="E1385" s="27"/>
      <c r="F1385" s="27"/>
      <c r="G1385" s="24"/>
      <c r="H1385" s="39">
        <v>180</v>
      </c>
      <c r="I1385" s="24">
        <f t="shared" si="354"/>
        <v>180</v>
      </c>
      <c r="J1385" s="69"/>
      <c r="K1385" s="24">
        <f t="shared" si="355"/>
        <v>180</v>
      </c>
      <c r="L1385" s="94">
        <v>-180</v>
      </c>
      <c r="M1385" s="24">
        <f t="shared" si="356"/>
        <v>0</v>
      </c>
      <c r="N1385" s="69"/>
      <c r="O1385" s="24">
        <f t="shared" si="357"/>
        <v>0</v>
      </c>
      <c r="P1385" s="69"/>
      <c r="Q1385" s="24">
        <f t="shared" si="344"/>
        <v>0</v>
      </c>
      <c r="R1385" s="69"/>
      <c r="S1385" s="24">
        <f t="shared" si="368"/>
        <v>0</v>
      </c>
      <c r="T1385" s="69"/>
      <c r="U1385" s="24">
        <f t="shared" si="308"/>
        <v>0</v>
      </c>
      <c r="V1385" s="69"/>
      <c r="W1385" s="24">
        <f t="shared" si="305"/>
        <v>0</v>
      </c>
      <c r="X1385" s="69"/>
      <c r="Y1385" s="24">
        <f t="shared" si="335"/>
        <v>0</v>
      </c>
      <c r="AA1385" s="189">
        <f>Y1385+Z1385</f>
        <v>0</v>
      </c>
    </row>
    <row r="1386" spans="1:27" hidden="1" x14ac:dyDescent="0.25">
      <c r="A1386" s="72" t="s">
        <v>751</v>
      </c>
      <c r="B1386" s="20" t="s">
        <v>329</v>
      </c>
      <c r="C1386" s="54" t="s">
        <v>757</v>
      </c>
      <c r="D1386" s="21"/>
      <c r="E1386" s="27"/>
      <c r="F1386" s="27"/>
      <c r="G1386" s="24"/>
      <c r="H1386" s="47">
        <f>H1387</f>
        <v>180</v>
      </c>
      <c r="I1386" s="24">
        <f t="shared" si="354"/>
        <v>180</v>
      </c>
      <c r="J1386" s="47">
        <f>J1387</f>
        <v>0</v>
      </c>
      <c r="K1386" s="24">
        <f t="shared" si="355"/>
        <v>180</v>
      </c>
      <c r="L1386" s="47">
        <f>L1387</f>
        <v>-180</v>
      </c>
      <c r="M1386" s="24">
        <f t="shared" si="356"/>
        <v>0</v>
      </c>
      <c r="N1386" s="47">
        <f>N1387</f>
        <v>0</v>
      </c>
      <c r="O1386" s="24">
        <f t="shared" si="357"/>
        <v>0</v>
      </c>
      <c r="P1386" s="47">
        <f>P1387</f>
        <v>0</v>
      </c>
      <c r="Q1386" s="24">
        <f t="shared" si="344"/>
        <v>0</v>
      </c>
      <c r="R1386" s="47">
        <f>R1387</f>
        <v>0</v>
      </c>
      <c r="S1386" s="24">
        <f t="shared" si="368"/>
        <v>0</v>
      </c>
      <c r="T1386" s="47">
        <f>T1387</f>
        <v>0</v>
      </c>
      <c r="U1386" s="24">
        <f t="shared" si="308"/>
        <v>0</v>
      </c>
      <c r="V1386" s="47">
        <f>V1387</f>
        <v>0</v>
      </c>
      <c r="W1386" s="24">
        <f t="shared" si="305"/>
        <v>0</v>
      </c>
      <c r="X1386" s="47">
        <f>X1387</f>
        <v>0</v>
      </c>
      <c r="Y1386" s="24">
        <f t="shared" si="335"/>
        <v>0</v>
      </c>
    </row>
    <row r="1387" spans="1:27" hidden="1" x14ac:dyDescent="0.25">
      <c r="A1387" s="25" t="s">
        <v>574</v>
      </c>
      <c r="B1387" s="21" t="s">
        <v>329</v>
      </c>
      <c r="C1387" s="76" t="s">
        <v>757</v>
      </c>
      <c r="D1387" s="21" t="s">
        <v>81</v>
      </c>
      <c r="E1387" s="27"/>
      <c r="F1387" s="27"/>
      <c r="G1387" s="24"/>
      <c r="H1387" s="39">
        <v>180</v>
      </c>
      <c r="I1387" s="24">
        <f t="shared" si="354"/>
        <v>180</v>
      </c>
      <c r="J1387" s="69"/>
      <c r="K1387" s="24">
        <f t="shared" si="355"/>
        <v>180</v>
      </c>
      <c r="L1387" s="94">
        <v>-180</v>
      </c>
      <c r="M1387" s="24">
        <f t="shared" si="356"/>
        <v>0</v>
      </c>
      <c r="N1387" s="69"/>
      <c r="O1387" s="24">
        <f t="shared" si="357"/>
        <v>0</v>
      </c>
      <c r="P1387" s="69"/>
      <c r="Q1387" s="24">
        <f t="shared" si="344"/>
        <v>0</v>
      </c>
      <c r="R1387" s="69"/>
      <c r="S1387" s="24">
        <f t="shared" si="368"/>
        <v>0</v>
      </c>
      <c r="T1387" s="69"/>
      <c r="U1387" s="24">
        <f t="shared" si="308"/>
        <v>0</v>
      </c>
      <c r="V1387" s="69"/>
      <c r="W1387" s="24">
        <f t="shared" si="305"/>
        <v>0</v>
      </c>
      <c r="X1387" s="69"/>
      <c r="Y1387" s="24">
        <f t="shared" si="335"/>
        <v>0</v>
      </c>
      <c r="AA1387" s="189">
        <f>Y1387+Z1387</f>
        <v>0</v>
      </c>
    </row>
    <row r="1388" spans="1:27" ht="24.75" x14ac:dyDescent="0.25">
      <c r="A1388" s="40" t="s">
        <v>826</v>
      </c>
      <c r="B1388" s="20" t="s">
        <v>329</v>
      </c>
      <c r="C1388" s="54" t="s">
        <v>825</v>
      </c>
      <c r="D1388" s="21"/>
      <c r="E1388" s="27"/>
      <c r="F1388" s="27"/>
      <c r="G1388" s="24"/>
      <c r="H1388" s="39"/>
      <c r="I1388" s="24"/>
      <c r="J1388" s="69"/>
      <c r="K1388" s="24"/>
      <c r="L1388" s="47">
        <f>L1390+L1392+L1394+L1389</f>
        <v>272.39999999999998</v>
      </c>
      <c r="M1388" s="24">
        <f t="shared" si="356"/>
        <v>272.39999999999998</v>
      </c>
      <c r="N1388" s="47">
        <f>N1390+N1392+N1394+N1389</f>
        <v>0</v>
      </c>
      <c r="O1388" s="24">
        <f t="shared" si="357"/>
        <v>272.39999999999998</v>
      </c>
      <c r="P1388" s="47">
        <f>P1390+P1392+P1394+P1389</f>
        <v>0</v>
      </c>
      <c r="Q1388" s="24">
        <f t="shared" si="344"/>
        <v>272.39999999999998</v>
      </c>
      <c r="R1388" s="47">
        <f>R1390+R1392+R1394+R1389</f>
        <v>-265.39999999999998</v>
      </c>
      <c r="S1388" s="24">
        <f t="shared" si="368"/>
        <v>7</v>
      </c>
      <c r="T1388" s="47">
        <f>T1390+T1392+T1394+T1389</f>
        <v>984.8</v>
      </c>
      <c r="U1388" s="24">
        <f t="shared" si="308"/>
        <v>991.8</v>
      </c>
      <c r="V1388" s="47">
        <f>V1390+V1392+V1394+V1389</f>
        <v>0</v>
      </c>
      <c r="W1388" s="24">
        <f t="shared" si="305"/>
        <v>991.8</v>
      </c>
      <c r="X1388" s="47">
        <f>X1390+X1392+X1394+X1389</f>
        <v>0</v>
      </c>
      <c r="Y1388" s="24">
        <f t="shared" si="335"/>
        <v>991.8</v>
      </c>
    </row>
    <row r="1389" spans="1:27" x14ac:dyDescent="0.25">
      <c r="A1389" s="62" t="s">
        <v>574</v>
      </c>
      <c r="B1389" s="21" t="s">
        <v>329</v>
      </c>
      <c r="C1389" s="76" t="s">
        <v>825</v>
      </c>
      <c r="D1389" s="21" t="s">
        <v>81</v>
      </c>
      <c r="E1389" s="27"/>
      <c r="F1389" s="27"/>
      <c r="G1389" s="24"/>
      <c r="H1389" s="39"/>
      <c r="I1389" s="24"/>
      <c r="J1389" s="69"/>
      <c r="K1389" s="24"/>
      <c r="L1389" s="91">
        <v>7</v>
      </c>
      <c r="M1389" s="24">
        <f t="shared" si="356"/>
        <v>7</v>
      </c>
      <c r="N1389" s="84"/>
      <c r="O1389" s="24">
        <f t="shared" si="357"/>
        <v>7</v>
      </c>
      <c r="P1389" s="84"/>
      <c r="Q1389" s="24">
        <f t="shared" si="344"/>
        <v>7</v>
      </c>
      <c r="R1389" s="84"/>
      <c r="S1389" s="24">
        <f t="shared" si="368"/>
        <v>7</v>
      </c>
      <c r="T1389" s="84"/>
      <c r="U1389" s="24">
        <f t="shared" si="308"/>
        <v>7</v>
      </c>
      <c r="V1389" s="84"/>
      <c r="W1389" s="24">
        <f t="shared" si="305"/>
        <v>7</v>
      </c>
      <c r="X1389" s="84"/>
      <c r="Y1389" s="24">
        <f t="shared" si="335"/>
        <v>7</v>
      </c>
      <c r="AA1389" s="189">
        <f>Y1389+Z1389</f>
        <v>7</v>
      </c>
    </row>
    <row r="1390" spans="1:27" x14ac:dyDescent="0.25">
      <c r="A1390" s="140" t="s">
        <v>827</v>
      </c>
      <c r="B1390" s="20" t="s">
        <v>329</v>
      </c>
      <c r="C1390" s="54" t="s">
        <v>1251</v>
      </c>
      <c r="D1390" s="26"/>
      <c r="E1390" s="27"/>
      <c r="F1390" s="27"/>
      <c r="G1390" s="24"/>
      <c r="H1390" s="39"/>
      <c r="I1390" s="24"/>
      <c r="J1390" s="69"/>
      <c r="K1390" s="24"/>
      <c r="L1390" s="47">
        <f>L1391</f>
        <v>51.3</v>
      </c>
      <c r="M1390" s="24">
        <f t="shared" si="356"/>
        <v>51.3</v>
      </c>
      <c r="N1390" s="47">
        <f>N1391</f>
        <v>0</v>
      </c>
      <c r="O1390" s="24">
        <f t="shared" si="357"/>
        <v>51.3</v>
      </c>
      <c r="P1390" s="47">
        <f>P1391</f>
        <v>0</v>
      </c>
      <c r="Q1390" s="24">
        <f t="shared" si="344"/>
        <v>51.3</v>
      </c>
      <c r="R1390" s="47">
        <f>R1391</f>
        <v>-51.3</v>
      </c>
      <c r="S1390" s="24">
        <f t="shared" si="368"/>
        <v>0</v>
      </c>
      <c r="T1390" s="47">
        <f>T1391</f>
        <v>340.7</v>
      </c>
      <c r="U1390" s="24">
        <f t="shared" si="308"/>
        <v>340.7</v>
      </c>
      <c r="V1390" s="47">
        <f>V1391</f>
        <v>0</v>
      </c>
      <c r="W1390" s="24">
        <f t="shared" si="305"/>
        <v>340.7</v>
      </c>
      <c r="X1390" s="47">
        <f>X1391</f>
        <v>0</v>
      </c>
      <c r="Y1390" s="24">
        <f t="shared" si="335"/>
        <v>340.7</v>
      </c>
    </row>
    <row r="1391" spans="1:27" x14ac:dyDescent="0.25">
      <c r="A1391" s="25" t="s">
        <v>321</v>
      </c>
      <c r="B1391" s="21" t="s">
        <v>329</v>
      </c>
      <c r="C1391" s="76" t="s">
        <v>1251</v>
      </c>
      <c r="D1391" s="26" t="s">
        <v>322</v>
      </c>
      <c r="E1391" s="27"/>
      <c r="F1391" s="27"/>
      <c r="G1391" s="24"/>
      <c r="H1391" s="39"/>
      <c r="I1391" s="24"/>
      <c r="J1391" s="69"/>
      <c r="K1391" s="24"/>
      <c r="L1391" s="94">
        <f>51.3</f>
        <v>51.3</v>
      </c>
      <c r="M1391" s="24">
        <f t="shared" si="356"/>
        <v>51.3</v>
      </c>
      <c r="N1391" s="69"/>
      <c r="O1391" s="24">
        <f t="shared" si="357"/>
        <v>51.3</v>
      </c>
      <c r="P1391" s="69"/>
      <c r="Q1391" s="24">
        <f t="shared" si="344"/>
        <v>51.3</v>
      </c>
      <c r="R1391" s="39">
        <v>-51.3</v>
      </c>
      <c r="S1391" s="24">
        <f t="shared" si="368"/>
        <v>0</v>
      </c>
      <c r="T1391" s="125">
        <f>289.4+51.3</f>
        <v>340.7</v>
      </c>
      <c r="U1391" s="24">
        <f t="shared" si="308"/>
        <v>340.7</v>
      </c>
      <c r="V1391" s="69"/>
      <c r="W1391" s="24">
        <f t="shared" si="305"/>
        <v>340.7</v>
      </c>
      <c r="X1391" s="69"/>
      <c r="Y1391" s="24">
        <f t="shared" si="335"/>
        <v>340.7</v>
      </c>
      <c r="AA1391" s="189">
        <f>Y1391+Z1391</f>
        <v>340.7</v>
      </c>
    </row>
    <row r="1392" spans="1:27" ht="24.75" x14ac:dyDescent="0.25">
      <c r="A1392" s="143" t="s">
        <v>828</v>
      </c>
      <c r="B1392" s="20" t="s">
        <v>329</v>
      </c>
      <c r="C1392" s="54" t="s">
        <v>1252</v>
      </c>
      <c r="D1392" s="26"/>
      <c r="E1392" s="27"/>
      <c r="F1392" s="27"/>
      <c r="G1392" s="24"/>
      <c r="H1392" s="39"/>
      <c r="I1392" s="24"/>
      <c r="J1392" s="69"/>
      <c r="K1392" s="24"/>
      <c r="L1392" s="47">
        <f>L1393</f>
        <v>52.4</v>
      </c>
      <c r="M1392" s="24">
        <f t="shared" si="356"/>
        <v>52.4</v>
      </c>
      <c r="N1392" s="47">
        <f>N1393</f>
        <v>0</v>
      </c>
      <c r="O1392" s="24">
        <f t="shared" si="357"/>
        <v>52.4</v>
      </c>
      <c r="P1392" s="47">
        <f>P1393</f>
        <v>0</v>
      </c>
      <c r="Q1392" s="24">
        <f t="shared" si="344"/>
        <v>52.4</v>
      </c>
      <c r="R1392" s="47">
        <f>R1393</f>
        <v>-52.4</v>
      </c>
      <c r="S1392" s="24">
        <f t="shared" si="368"/>
        <v>0</v>
      </c>
      <c r="T1392" s="47">
        <f>T1393</f>
        <v>349.09999999999997</v>
      </c>
      <c r="U1392" s="24">
        <f t="shared" si="308"/>
        <v>349.09999999999997</v>
      </c>
      <c r="V1392" s="47">
        <f>V1393</f>
        <v>0</v>
      </c>
      <c r="W1392" s="24">
        <f t="shared" si="305"/>
        <v>349.09999999999997</v>
      </c>
      <c r="X1392" s="47">
        <f>X1393</f>
        <v>0</v>
      </c>
      <c r="Y1392" s="24">
        <f t="shared" si="335"/>
        <v>349.09999999999997</v>
      </c>
    </row>
    <row r="1393" spans="1:27" x14ac:dyDescent="0.25">
      <c r="A1393" s="62" t="s">
        <v>574</v>
      </c>
      <c r="B1393" s="21" t="s">
        <v>329</v>
      </c>
      <c r="C1393" s="76" t="s">
        <v>1252</v>
      </c>
      <c r="D1393" s="26" t="s">
        <v>81</v>
      </c>
      <c r="E1393" s="27"/>
      <c r="F1393" s="27"/>
      <c r="G1393" s="24"/>
      <c r="H1393" s="39"/>
      <c r="I1393" s="24"/>
      <c r="J1393" s="69"/>
      <c r="K1393" s="24"/>
      <c r="L1393" s="94">
        <f>52.4</f>
        <v>52.4</v>
      </c>
      <c r="M1393" s="24">
        <f t="shared" si="356"/>
        <v>52.4</v>
      </c>
      <c r="N1393" s="69"/>
      <c r="O1393" s="24">
        <f t="shared" si="357"/>
        <v>52.4</v>
      </c>
      <c r="P1393" s="69"/>
      <c r="Q1393" s="24">
        <f t="shared" si="344"/>
        <v>52.4</v>
      </c>
      <c r="R1393" s="39">
        <v>-52.4</v>
      </c>
      <c r="S1393" s="24">
        <f t="shared" si="368"/>
        <v>0</v>
      </c>
      <c r="T1393" s="125">
        <f>296.7+52.4</f>
        <v>349.09999999999997</v>
      </c>
      <c r="U1393" s="24">
        <f t="shared" si="308"/>
        <v>349.09999999999997</v>
      </c>
      <c r="V1393" s="69"/>
      <c r="W1393" s="24">
        <f t="shared" si="305"/>
        <v>349.09999999999997</v>
      </c>
      <c r="X1393" s="69"/>
      <c r="Y1393" s="24">
        <f t="shared" si="335"/>
        <v>349.09999999999997</v>
      </c>
      <c r="AA1393" s="189">
        <f>Y1393+Z1393</f>
        <v>349.09999999999997</v>
      </c>
    </row>
    <row r="1394" spans="1:27" x14ac:dyDescent="0.25">
      <c r="A1394" s="140" t="s">
        <v>829</v>
      </c>
      <c r="B1394" s="20" t="s">
        <v>329</v>
      </c>
      <c r="C1394" s="54" t="s">
        <v>1390</v>
      </c>
      <c r="D1394" s="26"/>
      <c r="E1394" s="27"/>
      <c r="F1394" s="27"/>
      <c r="G1394" s="24"/>
      <c r="H1394" s="39"/>
      <c r="I1394" s="24"/>
      <c r="J1394" s="69"/>
      <c r="K1394" s="24"/>
      <c r="L1394" s="47">
        <f>L1395</f>
        <v>161.69999999999999</v>
      </c>
      <c r="M1394" s="24">
        <f t="shared" si="356"/>
        <v>161.69999999999999</v>
      </c>
      <c r="N1394" s="47">
        <f>N1395</f>
        <v>0</v>
      </c>
      <c r="O1394" s="24">
        <f t="shared" si="357"/>
        <v>161.69999999999999</v>
      </c>
      <c r="P1394" s="47">
        <f>P1395</f>
        <v>0</v>
      </c>
      <c r="Q1394" s="24">
        <f t="shared" si="344"/>
        <v>161.69999999999999</v>
      </c>
      <c r="R1394" s="47">
        <f>R1395</f>
        <v>-161.69999999999999</v>
      </c>
      <c r="S1394" s="24">
        <f t="shared" si="368"/>
        <v>0</v>
      </c>
      <c r="T1394" s="47">
        <f>T1395</f>
        <v>295</v>
      </c>
      <c r="U1394" s="24">
        <f t="shared" si="308"/>
        <v>295</v>
      </c>
      <c r="V1394" s="47">
        <f>V1395</f>
        <v>0</v>
      </c>
      <c r="W1394" s="24">
        <f t="shared" si="305"/>
        <v>295</v>
      </c>
      <c r="X1394" s="47">
        <f>X1395</f>
        <v>0</v>
      </c>
      <c r="Y1394" s="24">
        <f t="shared" si="335"/>
        <v>295</v>
      </c>
    </row>
    <row r="1395" spans="1:27" x14ac:dyDescent="0.25">
      <c r="A1395" s="62" t="s">
        <v>574</v>
      </c>
      <c r="B1395" s="21" t="s">
        <v>329</v>
      </c>
      <c r="C1395" s="76" t="s">
        <v>1390</v>
      </c>
      <c r="D1395" s="26" t="s">
        <v>81</v>
      </c>
      <c r="E1395" s="27"/>
      <c r="F1395" s="27"/>
      <c r="G1395" s="24"/>
      <c r="H1395" s="39"/>
      <c r="I1395" s="24"/>
      <c r="J1395" s="69"/>
      <c r="K1395" s="24"/>
      <c r="L1395" s="94">
        <f>161.7</f>
        <v>161.69999999999999</v>
      </c>
      <c r="M1395" s="24">
        <f t="shared" si="356"/>
        <v>161.69999999999999</v>
      </c>
      <c r="N1395" s="69"/>
      <c r="O1395" s="24">
        <f t="shared" si="357"/>
        <v>161.69999999999999</v>
      </c>
      <c r="P1395" s="69"/>
      <c r="Q1395" s="24">
        <f t="shared" si="344"/>
        <v>161.69999999999999</v>
      </c>
      <c r="R1395" s="39">
        <v>-161.69999999999999</v>
      </c>
      <c r="S1395" s="24">
        <f t="shared" si="368"/>
        <v>0</v>
      </c>
      <c r="T1395" s="125">
        <f>133.3+161.7</f>
        <v>295</v>
      </c>
      <c r="U1395" s="24">
        <f t="shared" si="308"/>
        <v>295</v>
      </c>
      <c r="V1395" s="69"/>
      <c r="W1395" s="24">
        <f t="shared" si="305"/>
        <v>295</v>
      </c>
      <c r="X1395" s="69"/>
      <c r="Y1395" s="24">
        <f t="shared" si="335"/>
        <v>295</v>
      </c>
      <c r="AA1395" s="189">
        <f>Y1395+Z1395</f>
        <v>295</v>
      </c>
    </row>
    <row r="1396" spans="1:27" ht="24.75" x14ac:dyDescent="0.25">
      <c r="A1396" s="100" t="s">
        <v>894</v>
      </c>
      <c r="B1396" s="20" t="s">
        <v>329</v>
      </c>
      <c r="C1396" s="75" t="s">
        <v>896</v>
      </c>
      <c r="D1396" s="26"/>
      <c r="E1396" s="27"/>
      <c r="F1396" s="27"/>
      <c r="G1396" s="24"/>
      <c r="H1396" s="39"/>
      <c r="I1396" s="24"/>
      <c r="J1396" s="69"/>
      <c r="K1396" s="24"/>
      <c r="L1396" s="94"/>
      <c r="M1396" s="24"/>
      <c r="N1396" s="85">
        <f>N1397</f>
        <v>85.6</v>
      </c>
      <c r="O1396" s="24">
        <f t="shared" si="357"/>
        <v>85.6</v>
      </c>
      <c r="P1396" s="85">
        <f>P1397</f>
        <v>0</v>
      </c>
      <c r="Q1396" s="24">
        <f t="shared" si="344"/>
        <v>85.6</v>
      </c>
      <c r="R1396" s="85">
        <f>R1397</f>
        <v>0</v>
      </c>
      <c r="S1396" s="24">
        <f t="shared" si="368"/>
        <v>85.6</v>
      </c>
      <c r="T1396" s="85">
        <f>T1397</f>
        <v>0</v>
      </c>
      <c r="U1396" s="24">
        <f t="shared" si="308"/>
        <v>85.6</v>
      </c>
      <c r="V1396" s="85">
        <f>V1397</f>
        <v>0</v>
      </c>
      <c r="W1396" s="24">
        <f t="shared" si="305"/>
        <v>85.6</v>
      </c>
      <c r="X1396" s="85">
        <f>X1397</f>
        <v>0</v>
      </c>
      <c r="Y1396" s="24">
        <f t="shared" si="335"/>
        <v>85.6</v>
      </c>
    </row>
    <row r="1397" spans="1:27" x14ac:dyDescent="0.25">
      <c r="A1397" s="62" t="s">
        <v>574</v>
      </c>
      <c r="B1397" s="21" t="s">
        <v>329</v>
      </c>
      <c r="C1397" s="81" t="s">
        <v>896</v>
      </c>
      <c r="D1397" s="26" t="s">
        <v>81</v>
      </c>
      <c r="E1397" s="27"/>
      <c r="F1397" s="27"/>
      <c r="G1397" s="24"/>
      <c r="H1397" s="39"/>
      <c r="I1397" s="24"/>
      <c r="J1397" s="69"/>
      <c r="K1397" s="24"/>
      <c r="L1397" s="94"/>
      <c r="M1397" s="24"/>
      <c r="N1397" s="90">
        <v>85.6</v>
      </c>
      <c r="O1397" s="24">
        <f t="shared" si="357"/>
        <v>85.6</v>
      </c>
      <c r="P1397" s="84"/>
      <c r="Q1397" s="24">
        <f t="shared" si="344"/>
        <v>85.6</v>
      </c>
      <c r="R1397" s="84"/>
      <c r="S1397" s="24">
        <f t="shared" si="368"/>
        <v>85.6</v>
      </c>
      <c r="T1397" s="84"/>
      <c r="U1397" s="24">
        <f t="shared" si="308"/>
        <v>85.6</v>
      </c>
      <c r="V1397" s="84"/>
      <c r="W1397" s="24">
        <f t="shared" si="305"/>
        <v>85.6</v>
      </c>
      <c r="X1397" s="84"/>
      <c r="Y1397" s="24">
        <f t="shared" si="335"/>
        <v>85.6</v>
      </c>
      <c r="AA1397" s="189">
        <f>Y1397+Z1397</f>
        <v>85.6</v>
      </c>
    </row>
    <row r="1398" spans="1:27" ht="24.75" x14ac:dyDescent="0.25">
      <c r="A1398" s="100" t="s">
        <v>895</v>
      </c>
      <c r="B1398" s="20" t="s">
        <v>329</v>
      </c>
      <c r="C1398" s="54" t="s">
        <v>897</v>
      </c>
      <c r="D1398" s="26"/>
      <c r="E1398" s="27"/>
      <c r="F1398" s="27"/>
      <c r="G1398" s="24"/>
      <c r="H1398" s="39"/>
      <c r="I1398" s="24"/>
      <c r="J1398" s="69"/>
      <c r="K1398" s="24"/>
      <c r="L1398" s="94"/>
      <c r="M1398" s="24"/>
      <c r="N1398" s="85">
        <f>N1399</f>
        <v>80</v>
      </c>
      <c r="O1398" s="24">
        <f t="shared" si="357"/>
        <v>80</v>
      </c>
      <c r="P1398" s="85">
        <f>P1399</f>
        <v>0</v>
      </c>
      <c r="Q1398" s="24">
        <f t="shared" si="344"/>
        <v>80</v>
      </c>
      <c r="R1398" s="85">
        <f>R1399</f>
        <v>0</v>
      </c>
      <c r="S1398" s="24">
        <f t="shared" si="368"/>
        <v>80</v>
      </c>
      <c r="T1398" s="85">
        <f>T1399</f>
        <v>0</v>
      </c>
      <c r="U1398" s="24">
        <f t="shared" si="308"/>
        <v>80</v>
      </c>
      <c r="V1398" s="85">
        <f>V1399</f>
        <v>0</v>
      </c>
      <c r="W1398" s="24">
        <f t="shared" si="305"/>
        <v>80</v>
      </c>
      <c r="X1398" s="85">
        <f>X1399</f>
        <v>0</v>
      </c>
      <c r="Y1398" s="24">
        <f t="shared" si="335"/>
        <v>80</v>
      </c>
    </row>
    <row r="1399" spans="1:27" x14ac:dyDescent="0.25">
      <c r="A1399" s="62" t="s">
        <v>574</v>
      </c>
      <c r="B1399" s="21" t="s">
        <v>329</v>
      </c>
      <c r="C1399" s="76" t="s">
        <v>897</v>
      </c>
      <c r="D1399" s="26" t="s">
        <v>81</v>
      </c>
      <c r="E1399" s="27"/>
      <c r="F1399" s="27"/>
      <c r="G1399" s="24"/>
      <c r="H1399" s="39"/>
      <c r="I1399" s="24"/>
      <c r="J1399" s="69"/>
      <c r="K1399" s="24"/>
      <c r="L1399" s="94"/>
      <c r="M1399" s="24"/>
      <c r="N1399" s="90">
        <v>80</v>
      </c>
      <c r="O1399" s="24">
        <f t="shared" si="357"/>
        <v>80</v>
      </c>
      <c r="P1399" s="84"/>
      <c r="Q1399" s="24">
        <f t="shared" si="344"/>
        <v>80</v>
      </c>
      <c r="R1399" s="84"/>
      <c r="S1399" s="24">
        <f t="shared" si="368"/>
        <v>80</v>
      </c>
      <c r="T1399" s="84"/>
      <c r="U1399" s="24">
        <f t="shared" si="308"/>
        <v>80</v>
      </c>
      <c r="V1399" s="84"/>
      <c r="W1399" s="24">
        <f t="shared" si="305"/>
        <v>80</v>
      </c>
      <c r="X1399" s="84"/>
      <c r="Y1399" s="24">
        <f t="shared" si="335"/>
        <v>80</v>
      </c>
      <c r="AA1399" s="189">
        <f>Y1399+Z1399</f>
        <v>80</v>
      </c>
    </row>
    <row r="1400" spans="1:27" x14ac:dyDescent="0.25">
      <c r="A1400" s="45" t="s">
        <v>8</v>
      </c>
      <c r="B1400" s="20" t="s">
        <v>329</v>
      </c>
      <c r="C1400" s="54" t="s">
        <v>9</v>
      </c>
      <c r="D1400" s="26"/>
      <c r="E1400" s="27"/>
      <c r="F1400" s="27"/>
      <c r="G1400" s="24"/>
      <c r="H1400" s="39"/>
      <c r="I1400" s="24"/>
      <c r="J1400" s="69"/>
      <c r="K1400" s="24"/>
      <c r="L1400" s="85">
        <f>L1401</f>
        <v>30</v>
      </c>
      <c r="M1400" s="24">
        <f t="shared" si="356"/>
        <v>30</v>
      </c>
      <c r="N1400" s="85">
        <f>N1401</f>
        <v>0</v>
      </c>
      <c r="O1400" s="24">
        <f t="shared" si="357"/>
        <v>30</v>
      </c>
      <c r="P1400" s="85">
        <f>P1401</f>
        <v>0</v>
      </c>
      <c r="Q1400" s="24">
        <f t="shared" si="344"/>
        <v>30</v>
      </c>
      <c r="R1400" s="85">
        <f>R1401</f>
        <v>10</v>
      </c>
      <c r="S1400" s="24">
        <f t="shared" si="368"/>
        <v>40</v>
      </c>
      <c r="T1400" s="85">
        <f>T1401</f>
        <v>0</v>
      </c>
      <c r="U1400" s="24">
        <f t="shared" si="308"/>
        <v>40</v>
      </c>
      <c r="V1400" s="85">
        <f>V1401</f>
        <v>0</v>
      </c>
      <c r="W1400" s="24">
        <f t="shared" si="305"/>
        <v>40</v>
      </c>
      <c r="X1400" s="85">
        <f>X1401</f>
        <v>0</v>
      </c>
      <c r="Y1400" s="24">
        <f t="shared" si="335"/>
        <v>40</v>
      </c>
    </row>
    <row r="1401" spans="1:27" ht="24.75" x14ac:dyDescent="0.25">
      <c r="A1401" s="22" t="s">
        <v>677</v>
      </c>
      <c r="B1401" s="20" t="s">
        <v>329</v>
      </c>
      <c r="C1401" s="41" t="s">
        <v>679</v>
      </c>
      <c r="D1401" s="26"/>
      <c r="E1401" s="27"/>
      <c r="F1401" s="27"/>
      <c r="G1401" s="24"/>
      <c r="H1401" s="39"/>
      <c r="I1401" s="24"/>
      <c r="J1401" s="69"/>
      <c r="K1401" s="24"/>
      <c r="L1401" s="85">
        <f>L1402</f>
        <v>30</v>
      </c>
      <c r="M1401" s="24">
        <f t="shared" si="356"/>
        <v>30</v>
      </c>
      <c r="N1401" s="85">
        <f>N1402</f>
        <v>0</v>
      </c>
      <c r="O1401" s="24">
        <f t="shared" si="357"/>
        <v>30</v>
      </c>
      <c r="P1401" s="85">
        <f>P1402</f>
        <v>0</v>
      </c>
      <c r="Q1401" s="24">
        <f t="shared" si="344"/>
        <v>30</v>
      </c>
      <c r="R1401" s="85">
        <f>R1402</f>
        <v>10</v>
      </c>
      <c r="S1401" s="24">
        <f t="shared" si="368"/>
        <v>40</v>
      </c>
      <c r="T1401" s="85">
        <f>T1402</f>
        <v>0</v>
      </c>
      <c r="U1401" s="24">
        <f t="shared" si="308"/>
        <v>40</v>
      </c>
      <c r="V1401" s="85">
        <f>V1402</f>
        <v>0</v>
      </c>
      <c r="W1401" s="24">
        <f t="shared" si="305"/>
        <v>40</v>
      </c>
      <c r="X1401" s="85">
        <f>X1402</f>
        <v>0</v>
      </c>
      <c r="Y1401" s="24">
        <f t="shared" si="335"/>
        <v>40</v>
      </c>
    </row>
    <row r="1402" spans="1:27" x14ac:dyDescent="0.25">
      <c r="A1402" s="62" t="s">
        <v>574</v>
      </c>
      <c r="B1402" s="21" t="s">
        <v>329</v>
      </c>
      <c r="C1402" s="42" t="s">
        <v>679</v>
      </c>
      <c r="D1402" s="26" t="s">
        <v>81</v>
      </c>
      <c r="E1402" s="27"/>
      <c r="F1402" s="27"/>
      <c r="G1402" s="24"/>
      <c r="H1402" s="39"/>
      <c r="I1402" s="24"/>
      <c r="J1402" s="69"/>
      <c r="K1402" s="24"/>
      <c r="L1402" s="91">
        <v>30</v>
      </c>
      <c r="M1402" s="24">
        <f t="shared" si="356"/>
        <v>30</v>
      </c>
      <c r="N1402" s="84"/>
      <c r="O1402" s="24">
        <f t="shared" si="357"/>
        <v>30</v>
      </c>
      <c r="P1402" s="84"/>
      <c r="Q1402" s="24">
        <f t="shared" si="344"/>
        <v>30</v>
      </c>
      <c r="R1402" s="91">
        <v>10</v>
      </c>
      <c r="S1402" s="24">
        <f t="shared" si="368"/>
        <v>40</v>
      </c>
      <c r="T1402" s="84"/>
      <c r="U1402" s="24">
        <f t="shared" si="308"/>
        <v>40</v>
      </c>
      <c r="V1402" s="84"/>
      <c r="W1402" s="24">
        <f t="shared" si="305"/>
        <v>40</v>
      </c>
      <c r="X1402" s="84"/>
      <c r="Y1402" s="24">
        <f t="shared" si="335"/>
        <v>40</v>
      </c>
      <c r="AA1402" s="189">
        <f>Y1402+Z1402</f>
        <v>40</v>
      </c>
    </row>
    <row r="1403" spans="1:27" x14ac:dyDescent="0.25">
      <c r="A1403" s="22" t="s">
        <v>358</v>
      </c>
      <c r="B1403" s="23" t="s">
        <v>359</v>
      </c>
      <c r="C1403" s="23" t="s">
        <v>2</v>
      </c>
      <c r="D1403" s="23" t="s">
        <v>2</v>
      </c>
      <c r="E1403" s="24">
        <f>E1404</f>
        <v>77845.599999999991</v>
      </c>
      <c r="F1403" s="24">
        <f>F1404</f>
        <v>0</v>
      </c>
      <c r="G1403" s="24">
        <f t="shared" si="366"/>
        <v>77845.599999999991</v>
      </c>
      <c r="H1403" s="24">
        <f>H1404</f>
        <v>0</v>
      </c>
      <c r="I1403" s="24">
        <f t="shared" si="354"/>
        <v>77845.599999999991</v>
      </c>
      <c r="J1403" s="47">
        <f>J1404</f>
        <v>317.5</v>
      </c>
      <c r="K1403" s="24">
        <f t="shared" si="355"/>
        <v>78163.099999999991</v>
      </c>
      <c r="L1403" s="47">
        <f>L1404</f>
        <v>2.9000000000000057</v>
      </c>
      <c r="M1403" s="24">
        <f t="shared" si="356"/>
        <v>78165.999999999985</v>
      </c>
      <c r="N1403" s="47">
        <f>N1404</f>
        <v>5</v>
      </c>
      <c r="O1403" s="24">
        <f t="shared" si="357"/>
        <v>78170.999999999985</v>
      </c>
      <c r="P1403" s="47">
        <f>P1404</f>
        <v>456</v>
      </c>
      <c r="Q1403" s="24">
        <f t="shared" si="344"/>
        <v>78626.999999999985</v>
      </c>
      <c r="R1403" s="47">
        <f>R1404</f>
        <v>40</v>
      </c>
      <c r="S1403" s="24">
        <f t="shared" si="368"/>
        <v>78666.999999999985</v>
      </c>
      <c r="T1403" s="47">
        <f>T1404</f>
        <v>-96.8</v>
      </c>
      <c r="U1403" s="24">
        <f t="shared" si="308"/>
        <v>78570.199999999983</v>
      </c>
      <c r="V1403" s="47">
        <f>V1404+V1433</f>
        <v>2272.6999999999998</v>
      </c>
      <c r="W1403" s="24">
        <f t="shared" si="305"/>
        <v>80842.89999999998</v>
      </c>
      <c r="X1403" s="47">
        <f>X1404+X1433</f>
        <v>-1168.0000000000002</v>
      </c>
      <c r="Y1403" s="24">
        <f t="shared" si="335"/>
        <v>79674.89999999998</v>
      </c>
    </row>
    <row r="1404" spans="1:27" x14ac:dyDescent="0.25">
      <c r="A1404" s="22" t="s">
        <v>75</v>
      </c>
      <c r="B1404" s="23" t="s">
        <v>359</v>
      </c>
      <c r="C1404" s="23" t="s">
        <v>76</v>
      </c>
      <c r="D1404" s="23" t="s">
        <v>2</v>
      </c>
      <c r="E1404" s="24">
        <f>E1405+E1416+E1420</f>
        <v>77845.599999999991</v>
      </c>
      <c r="F1404" s="24">
        <f>F1405+F1416+F1420</f>
        <v>0</v>
      </c>
      <c r="G1404" s="24">
        <f t="shared" si="366"/>
        <v>77845.599999999991</v>
      </c>
      <c r="H1404" s="24">
        <f>H1405+H1416+H1420</f>
        <v>0</v>
      </c>
      <c r="I1404" s="24">
        <f t="shared" si="354"/>
        <v>77845.599999999991</v>
      </c>
      <c r="J1404" s="24">
        <f>J1405+J1416+J1420</f>
        <v>317.5</v>
      </c>
      <c r="K1404" s="24">
        <f t="shared" si="355"/>
        <v>78163.099999999991</v>
      </c>
      <c r="L1404" s="24">
        <f>L1405+L1416+L1420</f>
        <v>2.9000000000000057</v>
      </c>
      <c r="M1404" s="24">
        <f t="shared" si="356"/>
        <v>78165.999999999985</v>
      </c>
      <c r="N1404" s="24">
        <f>N1405+N1416+N1420</f>
        <v>5</v>
      </c>
      <c r="O1404" s="24">
        <f t="shared" si="357"/>
        <v>78170.999999999985</v>
      </c>
      <c r="P1404" s="24">
        <f>P1405+P1416+P1420</f>
        <v>456</v>
      </c>
      <c r="Q1404" s="24">
        <f t="shared" si="344"/>
        <v>78626.999999999985</v>
      </c>
      <c r="R1404" s="24">
        <f>R1405+R1416+R1420</f>
        <v>40</v>
      </c>
      <c r="S1404" s="24">
        <f t="shared" si="368"/>
        <v>78666.999999999985</v>
      </c>
      <c r="T1404" s="24">
        <f>T1405+T1416+T1420</f>
        <v>-96.8</v>
      </c>
      <c r="U1404" s="24">
        <f t="shared" si="308"/>
        <v>78570.199999999983</v>
      </c>
      <c r="V1404" s="24">
        <f>V1405+V1416+V1420</f>
        <v>1939</v>
      </c>
      <c r="W1404" s="24">
        <f t="shared" ref="W1404:W1641" si="369">U1404+V1404</f>
        <v>80509.199999999983</v>
      </c>
      <c r="X1404" s="24">
        <f>X1405+X1416+X1420</f>
        <v>-1168.0000000000002</v>
      </c>
      <c r="Y1404" s="24">
        <f t="shared" si="335"/>
        <v>79341.199999999983</v>
      </c>
    </row>
    <row r="1405" spans="1:27" ht="24.75" x14ac:dyDescent="0.25">
      <c r="A1405" s="22" t="s">
        <v>360</v>
      </c>
      <c r="B1405" s="23" t="s">
        <v>359</v>
      </c>
      <c r="C1405" s="23" t="s">
        <v>361</v>
      </c>
      <c r="D1405" s="23" t="s">
        <v>2</v>
      </c>
      <c r="E1405" s="24">
        <f>E1406</f>
        <v>77036.899999999994</v>
      </c>
      <c r="F1405" s="24">
        <f>F1406</f>
        <v>0</v>
      </c>
      <c r="G1405" s="24">
        <f t="shared" si="366"/>
        <v>77036.899999999994</v>
      </c>
      <c r="H1405" s="24">
        <f>H1406</f>
        <v>0</v>
      </c>
      <c r="I1405" s="24">
        <f t="shared" si="354"/>
        <v>77036.899999999994</v>
      </c>
      <c r="J1405" s="24">
        <f>J1406</f>
        <v>0</v>
      </c>
      <c r="K1405" s="24">
        <f t="shared" si="355"/>
        <v>77036.899999999994</v>
      </c>
      <c r="L1405" s="24">
        <f>L1406</f>
        <v>0</v>
      </c>
      <c r="M1405" s="24">
        <f t="shared" si="356"/>
        <v>77036.899999999994</v>
      </c>
      <c r="N1405" s="24">
        <f>N1406</f>
        <v>0</v>
      </c>
      <c r="O1405" s="24">
        <f t="shared" si="357"/>
        <v>77036.899999999994</v>
      </c>
      <c r="P1405" s="24">
        <f>P1406</f>
        <v>372</v>
      </c>
      <c r="Q1405" s="24">
        <f t="shared" si="344"/>
        <v>77408.899999999994</v>
      </c>
      <c r="R1405" s="24">
        <f>R1406</f>
        <v>39.1</v>
      </c>
      <c r="S1405" s="24">
        <f t="shared" si="368"/>
        <v>77448</v>
      </c>
      <c r="T1405" s="24">
        <f>T1406</f>
        <v>6.5</v>
      </c>
      <c r="U1405" s="24">
        <f t="shared" si="308"/>
        <v>77454.5</v>
      </c>
      <c r="V1405" s="24">
        <f>V1406</f>
        <v>1939</v>
      </c>
      <c r="W1405" s="24">
        <f t="shared" si="369"/>
        <v>79393.5</v>
      </c>
      <c r="X1405" s="24">
        <f>X1406</f>
        <v>-1113.3000000000002</v>
      </c>
      <c r="Y1405" s="24">
        <f t="shared" si="335"/>
        <v>78280.2</v>
      </c>
    </row>
    <row r="1406" spans="1:27" x14ac:dyDescent="0.25">
      <c r="A1406" s="22" t="s">
        <v>362</v>
      </c>
      <c r="B1406" s="23" t="s">
        <v>359</v>
      </c>
      <c r="C1406" s="23" t="s">
        <v>363</v>
      </c>
      <c r="D1406" s="23" t="s">
        <v>2</v>
      </c>
      <c r="E1406" s="24">
        <f>E1409+E1411+E1413</f>
        <v>77036.899999999994</v>
      </c>
      <c r="F1406" s="24">
        <f>F1409+F1411+F1413</f>
        <v>0</v>
      </c>
      <c r="G1406" s="24">
        <f t="shared" si="366"/>
        <v>77036.899999999994</v>
      </c>
      <c r="H1406" s="24">
        <f>H1409+H1411+H1413</f>
        <v>0</v>
      </c>
      <c r="I1406" s="24">
        <f t="shared" si="354"/>
        <v>77036.899999999994</v>
      </c>
      <c r="J1406" s="24">
        <f>J1409+J1411+J1413</f>
        <v>0</v>
      </c>
      <c r="K1406" s="24">
        <f t="shared" si="355"/>
        <v>77036.899999999994</v>
      </c>
      <c r="L1406" s="24">
        <f>L1409+L1411+L1413</f>
        <v>0</v>
      </c>
      <c r="M1406" s="24">
        <f t="shared" si="356"/>
        <v>77036.899999999994</v>
      </c>
      <c r="N1406" s="24">
        <f>N1409+N1411+N1413</f>
        <v>0</v>
      </c>
      <c r="O1406" s="24">
        <f t="shared" si="357"/>
        <v>77036.899999999994</v>
      </c>
      <c r="P1406" s="24">
        <f>P1409+P1411+P1413</f>
        <v>372</v>
      </c>
      <c r="Q1406" s="24">
        <f t="shared" si="344"/>
        <v>77408.899999999994</v>
      </c>
      <c r="R1406" s="24">
        <f>R1409+R1411+R1413+R1407</f>
        <v>39.1</v>
      </c>
      <c r="S1406" s="24">
        <f t="shared" si="368"/>
        <v>77448</v>
      </c>
      <c r="T1406" s="24">
        <f>T1409+T1411+T1413+T1407</f>
        <v>6.5</v>
      </c>
      <c r="U1406" s="24">
        <f t="shared" si="308"/>
        <v>77454.5</v>
      </c>
      <c r="V1406" s="24">
        <f>V1409+V1411+V1413+V1407</f>
        <v>1939</v>
      </c>
      <c r="W1406" s="24">
        <f t="shared" si="369"/>
        <v>79393.5</v>
      </c>
      <c r="X1406" s="24">
        <f>X1409+X1411+X1413+X1407</f>
        <v>-1113.3000000000002</v>
      </c>
      <c r="Y1406" s="24">
        <f t="shared" si="335"/>
        <v>78280.2</v>
      </c>
    </row>
    <row r="1407" spans="1:27" x14ac:dyDescent="0.25">
      <c r="A1407" s="16" t="s">
        <v>769</v>
      </c>
      <c r="B1407" s="20" t="s">
        <v>359</v>
      </c>
      <c r="C1407" s="20" t="s">
        <v>1245</v>
      </c>
      <c r="D1407" s="26"/>
      <c r="E1407" s="24"/>
      <c r="F1407" s="24"/>
      <c r="G1407" s="24"/>
      <c r="H1407" s="24"/>
      <c r="I1407" s="24"/>
      <c r="J1407" s="24"/>
      <c r="K1407" s="24"/>
      <c r="L1407" s="24"/>
      <c r="M1407" s="24"/>
      <c r="N1407" s="24"/>
      <c r="O1407" s="24"/>
      <c r="P1407" s="24"/>
      <c r="Q1407" s="24"/>
      <c r="R1407" s="18">
        <f>R1408</f>
        <v>39.1</v>
      </c>
      <c r="S1407" s="24">
        <f t="shared" si="368"/>
        <v>39.1</v>
      </c>
      <c r="T1407" s="18">
        <f>T1408</f>
        <v>0</v>
      </c>
      <c r="U1407" s="24">
        <f t="shared" si="308"/>
        <v>39.1</v>
      </c>
      <c r="V1407" s="18">
        <f>V1408</f>
        <v>0</v>
      </c>
      <c r="W1407" s="24">
        <f t="shared" si="369"/>
        <v>39.1</v>
      </c>
      <c r="X1407" s="18">
        <f>X1408</f>
        <v>0</v>
      </c>
      <c r="Y1407" s="24">
        <f t="shared" si="335"/>
        <v>39.1</v>
      </c>
    </row>
    <row r="1408" spans="1:27" x14ac:dyDescent="0.25">
      <c r="A1408" s="62" t="s">
        <v>574</v>
      </c>
      <c r="B1408" s="21" t="s">
        <v>359</v>
      </c>
      <c r="C1408" s="21" t="s">
        <v>1245</v>
      </c>
      <c r="D1408" s="26" t="s">
        <v>81</v>
      </c>
      <c r="E1408" s="24"/>
      <c r="F1408" s="24"/>
      <c r="G1408" s="24"/>
      <c r="H1408" s="24"/>
      <c r="I1408" s="24"/>
      <c r="J1408" s="24"/>
      <c r="K1408" s="24"/>
      <c r="L1408" s="24"/>
      <c r="M1408" s="24"/>
      <c r="N1408" s="24"/>
      <c r="O1408" s="24"/>
      <c r="P1408" s="24"/>
      <c r="Q1408" s="24"/>
      <c r="R1408" s="43">
        <v>39.1</v>
      </c>
      <c r="S1408" s="24">
        <f t="shared" si="368"/>
        <v>39.1</v>
      </c>
      <c r="T1408" s="69"/>
      <c r="U1408" s="24">
        <f t="shared" si="308"/>
        <v>39.1</v>
      </c>
      <c r="V1408" s="69"/>
      <c r="W1408" s="24">
        <f t="shared" si="369"/>
        <v>39.1</v>
      </c>
      <c r="X1408" s="69"/>
      <c r="Y1408" s="24">
        <f t="shared" si="335"/>
        <v>39.1</v>
      </c>
      <c r="AA1408" s="189">
        <f>Y1408+Z1408</f>
        <v>39.1</v>
      </c>
    </row>
    <row r="1409" spans="1:27" s="6" customFormat="1" ht="24.75" x14ac:dyDescent="0.25">
      <c r="A1409" s="22" t="s">
        <v>313</v>
      </c>
      <c r="B1409" s="23" t="s">
        <v>359</v>
      </c>
      <c r="C1409" s="23" t="s">
        <v>364</v>
      </c>
      <c r="D1409" s="23" t="s">
        <v>2</v>
      </c>
      <c r="E1409" s="24">
        <f>E1410</f>
        <v>348</v>
      </c>
      <c r="F1409" s="24">
        <f>F1410</f>
        <v>0</v>
      </c>
      <c r="G1409" s="24">
        <f t="shared" si="366"/>
        <v>348</v>
      </c>
      <c r="H1409" s="24">
        <f>H1410</f>
        <v>0</v>
      </c>
      <c r="I1409" s="24">
        <f t="shared" si="354"/>
        <v>348</v>
      </c>
      <c r="J1409" s="24">
        <f>J1410</f>
        <v>0</v>
      </c>
      <c r="K1409" s="24">
        <f t="shared" si="355"/>
        <v>348</v>
      </c>
      <c r="L1409" s="24">
        <f>L1410</f>
        <v>0</v>
      </c>
      <c r="M1409" s="24">
        <f t="shared" si="356"/>
        <v>348</v>
      </c>
      <c r="N1409" s="24">
        <f>N1410</f>
        <v>0</v>
      </c>
      <c r="O1409" s="24">
        <f t="shared" si="357"/>
        <v>348</v>
      </c>
      <c r="P1409" s="24">
        <f>P1410</f>
        <v>0</v>
      </c>
      <c r="Q1409" s="24">
        <f t="shared" si="344"/>
        <v>348</v>
      </c>
      <c r="R1409" s="24">
        <f>R1410</f>
        <v>0</v>
      </c>
      <c r="S1409" s="24">
        <f t="shared" si="368"/>
        <v>348</v>
      </c>
      <c r="T1409" s="24">
        <f>T1410</f>
        <v>0</v>
      </c>
      <c r="U1409" s="24">
        <f t="shared" si="308"/>
        <v>348</v>
      </c>
      <c r="V1409" s="24">
        <f>V1410</f>
        <v>0</v>
      </c>
      <c r="W1409" s="24">
        <f t="shared" si="369"/>
        <v>348</v>
      </c>
      <c r="X1409" s="24">
        <f>X1410</f>
        <v>60</v>
      </c>
      <c r="Y1409" s="24">
        <f t="shared" si="335"/>
        <v>408</v>
      </c>
      <c r="Z1409" s="189"/>
    </row>
    <row r="1410" spans="1:27" s="6" customFormat="1" ht="24.75" x14ac:dyDescent="0.25">
      <c r="A1410" s="25" t="s">
        <v>563</v>
      </c>
      <c r="B1410" s="26" t="s">
        <v>359</v>
      </c>
      <c r="C1410" s="26" t="s">
        <v>364</v>
      </c>
      <c r="D1410" s="26" t="s">
        <v>315</v>
      </c>
      <c r="E1410" s="27">
        <v>348</v>
      </c>
      <c r="F1410" s="27"/>
      <c r="G1410" s="24">
        <f t="shared" si="366"/>
        <v>348</v>
      </c>
      <c r="H1410" s="27"/>
      <c r="I1410" s="24">
        <f t="shared" si="354"/>
        <v>348</v>
      </c>
      <c r="J1410" s="27"/>
      <c r="K1410" s="24">
        <f t="shared" si="355"/>
        <v>348</v>
      </c>
      <c r="L1410" s="27"/>
      <c r="M1410" s="24">
        <f t="shared" si="356"/>
        <v>348</v>
      </c>
      <c r="N1410" s="27"/>
      <c r="O1410" s="24">
        <f t="shared" si="357"/>
        <v>348</v>
      </c>
      <c r="P1410" s="27"/>
      <c r="Q1410" s="24">
        <f t="shared" si="344"/>
        <v>348</v>
      </c>
      <c r="R1410" s="27"/>
      <c r="S1410" s="24">
        <f t="shared" si="368"/>
        <v>348</v>
      </c>
      <c r="T1410" s="69"/>
      <c r="U1410" s="24">
        <f t="shared" si="308"/>
        <v>348</v>
      </c>
      <c r="V1410" s="69"/>
      <c r="W1410" s="24">
        <f t="shared" si="369"/>
        <v>348</v>
      </c>
      <c r="X1410" s="39">
        <v>60</v>
      </c>
      <c r="Y1410" s="24">
        <f t="shared" si="335"/>
        <v>408</v>
      </c>
      <c r="Z1410" s="189"/>
      <c r="AA1410" s="189">
        <f>Y1410+Z1410</f>
        <v>408</v>
      </c>
    </row>
    <row r="1411" spans="1:27" s="6" customFormat="1" ht="24.75" x14ac:dyDescent="0.25">
      <c r="A1411" s="22" t="s">
        <v>366</v>
      </c>
      <c r="B1411" s="23" t="s">
        <v>359</v>
      </c>
      <c r="C1411" s="23" t="s">
        <v>367</v>
      </c>
      <c r="D1411" s="23" t="s">
        <v>2</v>
      </c>
      <c r="E1411" s="24">
        <f>E1412</f>
        <v>12350</v>
      </c>
      <c r="F1411" s="24">
        <f>F1412</f>
        <v>0</v>
      </c>
      <c r="G1411" s="24">
        <f t="shared" si="366"/>
        <v>12350</v>
      </c>
      <c r="H1411" s="24">
        <f>H1412</f>
        <v>0</v>
      </c>
      <c r="I1411" s="24">
        <f t="shared" si="354"/>
        <v>12350</v>
      </c>
      <c r="J1411" s="24">
        <f>J1412</f>
        <v>0</v>
      </c>
      <c r="K1411" s="24">
        <f t="shared" si="355"/>
        <v>12350</v>
      </c>
      <c r="L1411" s="24">
        <f>L1412</f>
        <v>0</v>
      </c>
      <c r="M1411" s="24">
        <f t="shared" si="356"/>
        <v>12350</v>
      </c>
      <c r="N1411" s="24">
        <f>N1412</f>
        <v>0</v>
      </c>
      <c r="O1411" s="24">
        <f t="shared" si="357"/>
        <v>12350</v>
      </c>
      <c r="P1411" s="24">
        <f>P1412</f>
        <v>0</v>
      </c>
      <c r="Q1411" s="24">
        <f t="shared" si="344"/>
        <v>12350</v>
      </c>
      <c r="R1411" s="24">
        <f>R1412</f>
        <v>0</v>
      </c>
      <c r="S1411" s="24">
        <f t="shared" si="368"/>
        <v>12350</v>
      </c>
      <c r="T1411" s="24">
        <f>T1412</f>
        <v>0</v>
      </c>
      <c r="U1411" s="24">
        <f t="shared" si="308"/>
        <v>12350</v>
      </c>
      <c r="V1411" s="24">
        <f>V1412</f>
        <v>0</v>
      </c>
      <c r="W1411" s="24">
        <f t="shared" si="369"/>
        <v>12350</v>
      </c>
      <c r="X1411" s="24">
        <f>X1412</f>
        <v>-2063.9</v>
      </c>
      <c r="Y1411" s="24">
        <f t="shared" si="335"/>
        <v>10286.1</v>
      </c>
      <c r="Z1411" s="189"/>
    </row>
    <row r="1412" spans="1:27" s="6" customFormat="1" x14ac:dyDescent="0.25">
      <c r="A1412" s="25" t="s">
        <v>321</v>
      </c>
      <c r="B1412" s="26" t="s">
        <v>359</v>
      </c>
      <c r="C1412" s="26" t="s">
        <v>367</v>
      </c>
      <c r="D1412" s="26" t="s">
        <v>322</v>
      </c>
      <c r="E1412" s="27">
        <v>12350</v>
      </c>
      <c r="F1412" s="27"/>
      <c r="G1412" s="24">
        <f t="shared" si="366"/>
        <v>12350</v>
      </c>
      <c r="H1412" s="27"/>
      <c r="I1412" s="24">
        <f t="shared" si="354"/>
        <v>12350</v>
      </c>
      <c r="J1412" s="27"/>
      <c r="K1412" s="24">
        <f t="shared" si="355"/>
        <v>12350</v>
      </c>
      <c r="L1412" s="27"/>
      <c r="M1412" s="24">
        <f t="shared" si="356"/>
        <v>12350</v>
      </c>
      <c r="N1412" s="27"/>
      <c r="O1412" s="24">
        <f t="shared" si="357"/>
        <v>12350</v>
      </c>
      <c r="P1412" s="27"/>
      <c r="Q1412" s="24">
        <f t="shared" si="344"/>
        <v>12350</v>
      </c>
      <c r="R1412" s="27"/>
      <c r="S1412" s="24">
        <f t="shared" si="368"/>
        <v>12350</v>
      </c>
      <c r="T1412" s="69"/>
      <c r="U1412" s="24">
        <f t="shared" si="308"/>
        <v>12350</v>
      </c>
      <c r="V1412" s="69"/>
      <c r="W1412" s="24">
        <f t="shared" si="369"/>
        <v>12350</v>
      </c>
      <c r="X1412" s="39">
        <v>-2063.9</v>
      </c>
      <c r="Y1412" s="24">
        <f t="shared" si="335"/>
        <v>10286.1</v>
      </c>
      <c r="Z1412" s="189">
        <v>-2063.9</v>
      </c>
      <c r="AA1412" s="189">
        <f>Y1412+Z1412</f>
        <v>8222.2000000000007</v>
      </c>
    </row>
    <row r="1413" spans="1:27" s="6" customFormat="1" ht="36.75" x14ac:dyDescent="0.25">
      <c r="A1413" s="22" t="s">
        <v>37</v>
      </c>
      <c r="B1413" s="23" t="s">
        <v>359</v>
      </c>
      <c r="C1413" s="23" t="s">
        <v>365</v>
      </c>
      <c r="D1413" s="23" t="s">
        <v>2</v>
      </c>
      <c r="E1413" s="24">
        <f>E1414+E1415</f>
        <v>64338.9</v>
      </c>
      <c r="F1413" s="24">
        <f>F1414+F1415</f>
        <v>0</v>
      </c>
      <c r="G1413" s="24">
        <f t="shared" si="366"/>
        <v>64338.9</v>
      </c>
      <c r="H1413" s="24">
        <f>H1414+H1415</f>
        <v>0</v>
      </c>
      <c r="I1413" s="24">
        <f t="shared" si="354"/>
        <v>64338.9</v>
      </c>
      <c r="J1413" s="24">
        <f>J1414+J1415</f>
        <v>0</v>
      </c>
      <c r="K1413" s="24">
        <f t="shared" si="355"/>
        <v>64338.9</v>
      </c>
      <c r="L1413" s="24">
        <f>L1414+L1415</f>
        <v>0</v>
      </c>
      <c r="M1413" s="24">
        <f t="shared" si="356"/>
        <v>64338.9</v>
      </c>
      <c r="N1413" s="24">
        <f>N1414+N1415</f>
        <v>0</v>
      </c>
      <c r="O1413" s="24">
        <f t="shared" si="357"/>
        <v>64338.9</v>
      </c>
      <c r="P1413" s="24">
        <f>P1414+P1415</f>
        <v>372</v>
      </c>
      <c r="Q1413" s="24">
        <f t="shared" si="344"/>
        <v>64710.9</v>
      </c>
      <c r="R1413" s="24">
        <f>R1414+R1415</f>
        <v>0</v>
      </c>
      <c r="S1413" s="24">
        <f t="shared" si="368"/>
        <v>64710.9</v>
      </c>
      <c r="T1413" s="24">
        <f>T1414+T1415</f>
        <v>6.5</v>
      </c>
      <c r="U1413" s="24">
        <f t="shared" si="308"/>
        <v>64717.4</v>
      </c>
      <c r="V1413" s="24">
        <f>V1414+V1415</f>
        <v>1939</v>
      </c>
      <c r="W1413" s="24">
        <f t="shared" si="369"/>
        <v>66656.399999999994</v>
      </c>
      <c r="X1413" s="24">
        <f>X1414+X1415</f>
        <v>890.6</v>
      </c>
      <c r="Y1413" s="24">
        <f t="shared" si="335"/>
        <v>67547</v>
      </c>
      <c r="Z1413" s="189"/>
    </row>
    <row r="1414" spans="1:27" ht="36.75" x14ac:dyDescent="0.25">
      <c r="A1414" s="25" t="s">
        <v>573</v>
      </c>
      <c r="B1414" s="26" t="s">
        <v>359</v>
      </c>
      <c r="C1414" s="26" t="s">
        <v>365</v>
      </c>
      <c r="D1414" s="26" t="s">
        <v>83</v>
      </c>
      <c r="E1414" s="27">
        <v>64110.9</v>
      </c>
      <c r="F1414" s="27"/>
      <c r="G1414" s="24">
        <f t="shared" si="366"/>
        <v>64110.9</v>
      </c>
      <c r="H1414" s="27"/>
      <c r="I1414" s="24">
        <f t="shared" si="354"/>
        <v>64110.9</v>
      </c>
      <c r="J1414" s="27"/>
      <c r="K1414" s="24">
        <f t="shared" si="355"/>
        <v>64110.9</v>
      </c>
      <c r="L1414" s="27"/>
      <c r="M1414" s="24">
        <f t="shared" si="356"/>
        <v>64110.9</v>
      </c>
      <c r="N1414" s="27"/>
      <c r="O1414" s="24">
        <f t="shared" si="357"/>
        <v>64110.9</v>
      </c>
      <c r="P1414" s="27"/>
      <c r="Q1414" s="24">
        <f t="shared" si="344"/>
        <v>64110.9</v>
      </c>
      <c r="R1414" s="27"/>
      <c r="S1414" s="24">
        <f t="shared" si="368"/>
        <v>64110.9</v>
      </c>
      <c r="T1414" s="69"/>
      <c r="U1414" s="24">
        <f t="shared" si="308"/>
        <v>64110.9</v>
      </c>
      <c r="V1414" s="94">
        <v>1939</v>
      </c>
      <c r="W1414" s="24">
        <f t="shared" si="369"/>
        <v>66049.899999999994</v>
      </c>
      <c r="X1414" s="39">
        <v>890.6</v>
      </c>
      <c r="Y1414" s="24">
        <f t="shared" si="335"/>
        <v>66940.5</v>
      </c>
      <c r="Z1414" s="61">
        <v>890.6</v>
      </c>
      <c r="AA1414" s="189">
        <f t="shared" ref="AA1414:AA1415" si="370">Y1414+Z1414</f>
        <v>67831.100000000006</v>
      </c>
    </row>
    <row r="1415" spans="1:27" s="6" customFormat="1" x14ac:dyDescent="0.25">
      <c r="A1415" s="25" t="s">
        <v>574</v>
      </c>
      <c r="B1415" s="26" t="s">
        <v>359</v>
      </c>
      <c r="C1415" s="26" t="s">
        <v>365</v>
      </c>
      <c r="D1415" s="26" t="s">
        <v>81</v>
      </c>
      <c r="E1415" s="27">
        <v>228</v>
      </c>
      <c r="F1415" s="27"/>
      <c r="G1415" s="24">
        <f t="shared" si="366"/>
        <v>228</v>
      </c>
      <c r="H1415" s="27"/>
      <c r="I1415" s="24">
        <f t="shared" si="354"/>
        <v>228</v>
      </c>
      <c r="J1415" s="27"/>
      <c r="K1415" s="24">
        <f t="shared" si="355"/>
        <v>228</v>
      </c>
      <c r="L1415" s="27"/>
      <c r="M1415" s="24">
        <f t="shared" si="356"/>
        <v>228</v>
      </c>
      <c r="N1415" s="27"/>
      <c r="O1415" s="24">
        <f t="shared" si="357"/>
        <v>228</v>
      </c>
      <c r="P1415" s="39">
        <v>372</v>
      </c>
      <c r="Q1415" s="24">
        <f t="shared" si="344"/>
        <v>600</v>
      </c>
      <c r="R1415" s="69"/>
      <c r="S1415" s="24">
        <f t="shared" si="368"/>
        <v>600</v>
      </c>
      <c r="T1415" s="39">
        <v>6.5</v>
      </c>
      <c r="U1415" s="24">
        <f t="shared" si="308"/>
        <v>606.5</v>
      </c>
      <c r="V1415" s="69"/>
      <c r="W1415" s="24">
        <f t="shared" si="369"/>
        <v>606.5</v>
      </c>
      <c r="X1415" s="69"/>
      <c r="Y1415" s="24">
        <f t="shared" si="335"/>
        <v>606.5</v>
      </c>
      <c r="Z1415" s="189"/>
      <c r="AA1415" s="189">
        <f t="shared" si="370"/>
        <v>606.5</v>
      </c>
    </row>
    <row r="1416" spans="1:27" x14ac:dyDescent="0.25">
      <c r="A1416" s="22" t="s">
        <v>309</v>
      </c>
      <c r="B1416" s="23" t="s">
        <v>359</v>
      </c>
      <c r="C1416" s="23" t="s">
        <v>310</v>
      </c>
      <c r="D1416" s="23" t="s">
        <v>2</v>
      </c>
      <c r="E1416" s="24">
        <f t="shared" ref="E1416:X1418" si="371">E1417</f>
        <v>790.5</v>
      </c>
      <c r="F1416" s="24">
        <f t="shared" si="371"/>
        <v>0</v>
      </c>
      <c r="G1416" s="24">
        <f t="shared" si="366"/>
        <v>790.5</v>
      </c>
      <c r="H1416" s="24">
        <f t="shared" si="371"/>
        <v>0</v>
      </c>
      <c r="I1416" s="24">
        <f t="shared" si="354"/>
        <v>790.5</v>
      </c>
      <c r="J1416" s="24">
        <f t="shared" si="371"/>
        <v>0</v>
      </c>
      <c r="K1416" s="24">
        <f t="shared" si="355"/>
        <v>790.5</v>
      </c>
      <c r="L1416" s="24">
        <f t="shared" si="371"/>
        <v>0</v>
      </c>
      <c r="M1416" s="24">
        <f t="shared" si="356"/>
        <v>790.5</v>
      </c>
      <c r="N1416" s="24">
        <f t="shared" si="371"/>
        <v>0</v>
      </c>
      <c r="O1416" s="24">
        <f t="shared" si="357"/>
        <v>790.5</v>
      </c>
      <c r="P1416" s="24">
        <f t="shared" si="371"/>
        <v>0</v>
      </c>
      <c r="Q1416" s="24">
        <f t="shared" si="344"/>
        <v>790.5</v>
      </c>
      <c r="R1416" s="24">
        <f t="shared" si="371"/>
        <v>0</v>
      </c>
      <c r="S1416" s="24">
        <f t="shared" si="368"/>
        <v>790.5</v>
      </c>
      <c r="T1416" s="24">
        <f t="shared" si="371"/>
        <v>0</v>
      </c>
      <c r="U1416" s="24">
        <f t="shared" si="308"/>
        <v>790.5</v>
      </c>
      <c r="V1416" s="24">
        <f t="shared" si="371"/>
        <v>0</v>
      </c>
      <c r="W1416" s="24">
        <f t="shared" si="369"/>
        <v>790.5</v>
      </c>
      <c r="X1416" s="24">
        <f t="shared" si="371"/>
        <v>-54.7</v>
      </c>
      <c r="Y1416" s="24">
        <f t="shared" si="335"/>
        <v>735.8</v>
      </c>
    </row>
    <row r="1417" spans="1:27" s="6" customFormat="1" x14ac:dyDescent="0.25">
      <c r="A1417" s="22" t="s">
        <v>311</v>
      </c>
      <c r="B1417" s="23" t="s">
        <v>359</v>
      </c>
      <c r="C1417" s="23" t="s">
        <v>312</v>
      </c>
      <c r="D1417" s="23" t="s">
        <v>2</v>
      </c>
      <c r="E1417" s="24">
        <f t="shared" si="371"/>
        <v>790.5</v>
      </c>
      <c r="F1417" s="24">
        <f t="shared" si="371"/>
        <v>0</v>
      </c>
      <c r="G1417" s="24">
        <f t="shared" si="366"/>
        <v>790.5</v>
      </c>
      <c r="H1417" s="24">
        <f t="shared" si="371"/>
        <v>0</v>
      </c>
      <c r="I1417" s="24">
        <f t="shared" si="354"/>
        <v>790.5</v>
      </c>
      <c r="J1417" s="24">
        <f t="shared" si="371"/>
        <v>0</v>
      </c>
      <c r="K1417" s="24">
        <f t="shared" si="355"/>
        <v>790.5</v>
      </c>
      <c r="L1417" s="24">
        <f t="shared" si="371"/>
        <v>0</v>
      </c>
      <c r="M1417" s="24">
        <f t="shared" si="356"/>
        <v>790.5</v>
      </c>
      <c r="N1417" s="24">
        <f t="shared" si="371"/>
        <v>0</v>
      </c>
      <c r="O1417" s="24">
        <f t="shared" si="357"/>
        <v>790.5</v>
      </c>
      <c r="P1417" s="24">
        <f t="shared" si="371"/>
        <v>0</v>
      </c>
      <c r="Q1417" s="24">
        <f t="shared" si="344"/>
        <v>790.5</v>
      </c>
      <c r="R1417" s="24">
        <f t="shared" si="371"/>
        <v>0</v>
      </c>
      <c r="S1417" s="24">
        <f t="shared" si="368"/>
        <v>790.5</v>
      </c>
      <c r="T1417" s="24">
        <f t="shared" si="371"/>
        <v>0</v>
      </c>
      <c r="U1417" s="24">
        <f t="shared" si="308"/>
        <v>790.5</v>
      </c>
      <c r="V1417" s="24">
        <f t="shared" si="371"/>
        <v>0</v>
      </c>
      <c r="W1417" s="24">
        <f t="shared" si="369"/>
        <v>790.5</v>
      </c>
      <c r="X1417" s="24">
        <f t="shared" si="371"/>
        <v>-54.7</v>
      </c>
      <c r="Y1417" s="24">
        <f t="shared" si="335"/>
        <v>735.8</v>
      </c>
      <c r="Z1417" s="189"/>
    </row>
    <row r="1418" spans="1:27" ht="24.75" x14ac:dyDescent="0.25">
      <c r="A1418" s="22" t="s">
        <v>313</v>
      </c>
      <c r="B1418" s="23" t="s">
        <v>359</v>
      </c>
      <c r="C1418" s="23" t="s">
        <v>314</v>
      </c>
      <c r="D1418" s="23" t="s">
        <v>2</v>
      </c>
      <c r="E1418" s="24">
        <f t="shared" si="371"/>
        <v>790.5</v>
      </c>
      <c r="F1418" s="24">
        <f t="shared" si="371"/>
        <v>0</v>
      </c>
      <c r="G1418" s="24">
        <f t="shared" si="366"/>
        <v>790.5</v>
      </c>
      <c r="H1418" s="24">
        <f t="shared" si="371"/>
        <v>0</v>
      </c>
      <c r="I1418" s="24">
        <f t="shared" si="354"/>
        <v>790.5</v>
      </c>
      <c r="J1418" s="24">
        <f t="shared" si="371"/>
        <v>0</v>
      </c>
      <c r="K1418" s="24">
        <f t="shared" si="355"/>
        <v>790.5</v>
      </c>
      <c r="L1418" s="24">
        <f t="shared" si="371"/>
        <v>0</v>
      </c>
      <c r="M1418" s="24">
        <f t="shared" si="356"/>
        <v>790.5</v>
      </c>
      <c r="N1418" s="24">
        <f t="shared" si="371"/>
        <v>0</v>
      </c>
      <c r="O1418" s="24">
        <f t="shared" si="357"/>
        <v>790.5</v>
      </c>
      <c r="P1418" s="24">
        <f t="shared" si="371"/>
        <v>0</v>
      </c>
      <c r="Q1418" s="24">
        <f t="shared" si="344"/>
        <v>790.5</v>
      </c>
      <c r="R1418" s="24">
        <f t="shared" si="371"/>
        <v>0</v>
      </c>
      <c r="S1418" s="24">
        <f t="shared" si="368"/>
        <v>790.5</v>
      </c>
      <c r="T1418" s="24">
        <f t="shared" si="371"/>
        <v>0</v>
      </c>
      <c r="U1418" s="24">
        <f t="shared" si="308"/>
        <v>790.5</v>
      </c>
      <c r="V1418" s="24">
        <f t="shared" si="371"/>
        <v>0</v>
      </c>
      <c r="W1418" s="24">
        <f t="shared" si="369"/>
        <v>790.5</v>
      </c>
      <c r="X1418" s="24">
        <f t="shared" si="371"/>
        <v>-54.7</v>
      </c>
      <c r="Y1418" s="24">
        <f t="shared" si="335"/>
        <v>735.8</v>
      </c>
    </row>
    <row r="1419" spans="1:27" ht="24.75" x14ac:dyDescent="0.25">
      <c r="A1419" s="25" t="s">
        <v>563</v>
      </c>
      <c r="B1419" s="26" t="s">
        <v>359</v>
      </c>
      <c r="C1419" s="26" t="s">
        <v>314</v>
      </c>
      <c r="D1419" s="26" t="s">
        <v>315</v>
      </c>
      <c r="E1419" s="27">
        <v>790.5</v>
      </c>
      <c r="F1419" s="27"/>
      <c r="G1419" s="24">
        <f t="shared" si="366"/>
        <v>790.5</v>
      </c>
      <c r="H1419" s="27"/>
      <c r="I1419" s="24">
        <f t="shared" si="354"/>
        <v>790.5</v>
      </c>
      <c r="J1419" s="27"/>
      <c r="K1419" s="24">
        <f t="shared" si="355"/>
        <v>790.5</v>
      </c>
      <c r="L1419" s="27"/>
      <c r="M1419" s="24">
        <f t="shared" si="356"/>
        <v>790.5</v>
      </c>
      <c r="N1419" s="27"/>
      <c r="O1419" s="24">
        <f t="shared" si="357"/>
        <v>790.5</v>
      </c>
      <c r="P1419" s="27"/>
      <c r="Q1419" s="24">
        <f t="shared" si="344"/>
        <v>790.5</v>
      </c>
      <c r="R1419" s="27"/>
      <c r="S1419" s="24">
        <f t="shared" si="368"/>
        <v>790.5</v>
      </c>
      <c r="T1419" s="69"/>
      <c r="U1419" s="24">
        <f t="shared" si="308"/>
        <v>790.5</v>
      </c>
      <c r="V1419" s="69"/>
      <c r="W1419" s="24">
        <f t="shared" si="369"/>
        <v>790.5</v>
      </c>
      <c r="X1419" s="39">
        <v>-54.7</v>
      </c>
      <c r="Y1419" s="24">
        <f t="shared" si="335"/>
        <v>735.8</v>
      </c>
      <c r="Z1419" s="61">
        <v>-54.7</v>
      </c>
      <c r="AA1419" s="189">
        <f>Y1419+Z1419</f>
        <v>681.09999999999991</v>
      </c>
    </row>
    <row r="1420" spans="1:27" s="6" customFormat="1" ht="24.75" x14ac:dyDescent="0.25">
      <c r="A1420" s="22" t="s">
        <v>77</v>
      </c>
      <c r="B1420" s="23" t="s">
        <v>359</v>
      </c>
      <c r="C1420" s="23" t="s">
        <v>78</v>
      </c>
      <c r="D1420" s="23" t="s">
        <v>2</v>
      </c>
      <c r="E1420" s="24">
        <f t="shared" ref="E1420:X1424" si="372">E1421</f>
        <v>18.2</v>
      </c>
      <c r="F1420" s="24">
        <f t="shared" si="372"/>
        <v>0</v>
      </c>
      <c r="G1420" s="24">
        <f t="shared" si="366"/>
        <v>18.2</v>
      </c>
      <c r="H1420" s="24">
        <f t="shared" si="372"/>
        <v>0</v>
      </c>
      <c r="I1420" s="24">
        <f t="shared" si="354"/>
        <v>18.2</v>
      </c>
      <c r="J1420" s="24">
        <f>J1421+J1426</f>
        <v>317.5</v>
      </c>
      <c r="K1420" s="24">
        <f t="shared" si="355"/>
        <v>335.7</v>
      </c>
      <c r="L1420" s="24">
        <f>L1421+L1426</f>
        <v>2.9000000000000057</v>
      </c>
      <c r="M1420" s="24">
        <f t="shared" si="356"/>
        <v>338.6</v>
      </c>
      <c r="N1420" s="24">
        <f>N1421+N1426</f>
        <v>5</v>
      </c>
      <c r="O1420" s="24">
        <f t="shared" si="357"/>
        <v>343.6</v>
      </c>
      <c r="P1420" s="24">
        <f>P1421+P1426</f>
        <v>84</v>
      </c>
      <c r="Q1420" s="24">
        <f t="shared" ref="Q1420:Q1579" si="373">O1420+P1420</f>
        <v>427.6</v>
      </c>
      <c r="R1420" s="24">
        <f>R1421+R1426</f>
        <v>0.90000000000000036</v>
      </c>
      <c r="S1420" s="24">
        <f t="shared" si="368"/>
        <v>428.5</v>
      </c>
      <c r="T1420" s="24">
        <f>T1421+T1426</f>
        <v>-103.3</v>
      </c>
      <c r="U1420" s="24">
        <f t="shared" si="308"/>
        <v>325.2</v>
      </c>
      <c r="V1420" s="24">
        <f>V1421+V1426</f>
        <v>0</v>
      </c>
      <c r="W1420" s="24">
        <f t="shared" si="369"/>
        <v>325.2</v>
      </c>
      <c r="X1420" s="24">
        <f>X1421+X1426</f>
        <v>0</v>
      </c>
      <c r="Y1420" s="24">
        <f t="shared" si="335"/>
        <v>325.2</v>
      </c>
      <c r="Z1420" s="189"/>
    </row>
    <row r="1421" spans="1:27" s="6" customFormat="1" x14ac:dyDescent="0.25">
      <c r="A1421" s="22" t="s">
        <v>316</v>
      </c>
      <c r="B1421" s="23" t="s">
        <v>359</v>
      </c>
      <c r="C1421" s="23" t="s">
        <v>317</v>
      </c>
      <c r="D1421" s="23" t="s">
        <v>2</v>
      </c>
      <c r="E1421" s="24">
        <f>E1424</f>
        <v>18.2</v>
      </c>
      <c r="F1421" s="24">
        <f>F1424</f>
        <v>0</v>
      </c>
      <c r="G1421" s="24">
        <f t="shared" si="366"/>
        <v>18.2</v>
      </c>
      <c r="H1421" s="24">
        <f>H1424</f>
        <v>0</v>
      </c>
      <c r="I1421" s="24">
        <f t="shared" si="354"/>
        <v>18.2</v>
      </c>
      <c r="J1421" s="24">
        <f>J1424</f>
        <v>0</v>
      </c>
      <c r="K1421" s="24">
        <f t="shared" si="355"/>
        <v>18.2</v>
      </c>
      <c r="L1421" s="24">
        <f>L1424</f>
        <v>0</v>
      </c>
      <c r="M1421" s="24">
        <f t="shared" si="356"/>
        <v>18.2</v>
      </c>
      <c r="N1421" s="24">
        <f>N1424</f>
        <v>5</v>
      </c>
      <c r="O1421" s="24">
        <f t="shared" si="357"/>
        <v>23.2</v>
      </c>
      <c r="P1421" s="24">
        <f>P1424</f>
        <v>0</v>
      </c>
      <c r="Q1421" s="24">
        <f t="shared" si="373"/>
        <v>23.2</v>
      </c>
      <c r="R1421" s="24">
        <f>R1424+R1422</f>
        <v>0.90000000000000036</v>
      </c>
      <c r="S1421" s="24">
        <f t="shared" si="368"/>
        <v>24.1</v>
      </c>
      <c r="T1421" s="24">
        <f>T1424+T1422</f>
        <v>0</v>
      </c>
      <c r="U1421" s="24">
        <f t="shared" si="308"/>
        <v>24.1</v>
      </c>
      <c r="V1421" s="24">
        <f>V1424+V1422</f>
        <v>0</v>
      </c>
      <c r="W1421" s="24">
        <f t="shared" si="369"/>
        <v>24.1</v>
      </c>
      <c r="X1421" s="24">
        <f>X1424+X1422</f>
        <v>0</v>
      </c>
      <c r="Y1421" s="24">
        <f t="shared" si="335"/>
        <v>24.1</v>
      </c>
      <c r="Z1421" s="189"/>
    </row>
    <row r="1422" spans="1:27" s="6" customFormat="1" x14ac:dyDescent="0.25">
      <c r="A1422" s="16" t="s">
        <v>318</v>
      </c>
      <c r="B1422" s="20" t="s">
        <v>359</v>
      </c>
      <c r="C1422" s="20" t="s">
        <v>319</v>
      </c>
      <c r="D1422" s="20" t="s">
        <v>2</v>
      </c>
      <c r="E1422" s="24"/>
      <c r="F1422" s="24"/>
      <c r="G1422" s="24"/>
      <c r="H1422" s="24"/>
      <c r="I1422" s="24"/>
      <c r="J1422" s="24"/>
      <c r="K1422" s="24"/>
      <c r="L1422" s="24"/>
      <c r="M1422" s="24"/>
      <c r="N1422" s="24"/>
      <c r="O1422" s="24"/>
      <c r="P1422" s="24"/>
      <c r="Q1422" s="24"/>
      <c r="R1422" s="18">
        <f>R1423</f>
        <v>5</v>
      </c>
      <c r="S1422" s="24">
        <f t="shared" si="368"/>
        <v>5</v>
      </c>
      <c r="T1422" s="18">
        <f>T1423</f>
        <v>0</v>
      </c>
      <c r="U1422" s="24">
        <f t="shared" si="308"/>
        <v>5</v>
      </c>
      <c r="V1422" s="18">
        <f>V1423</f>
        <v>0</v>
      </c>
      <c r="W1422" s="24">
        <f t="shared" si="369"/>
        <v>5</v>
      </c>
      <c r="X1422" s="18">
        <f>X1423</f>
        <v>0</v>
      </c>
      <c r="Y1422" s="24">
        <f t="shared" si="335"/>
        <v>5</v>
      </c>
      <c r="Z1422" s="189"/>
    </row>
    <row r="1423" spans="1:27" s="6" customFormat="1" x14ac:dyDescent="0.25">
      <c r="A1423" s="17" t="s">
        <v>574</v>
      </c>
      <c r="B1423" s="21" t="s">
        <v>359</v>
      </c>
      <c r="C1423" s="21" t="s">
        <v>319</v>
      </c>
      <c r="D1423" s="21" t="s">
        <v>81</v>
      </c>
      <c r="E1423" s="24"/>
      <c r="F1423" s="24"/>
      <c r="G1423" s="24"/>
      <c r="H1423" s="24"/>
      <c r="I1423" s="24"/>
      <c r="J1423" s="24"/>
      <c r="K1423" s="24"/>
      <c r="L1423" s="24"/>
      <c r="M1423" s="24"/>
      <c r="N1423" s="24"/>
      <c r="O1423" s="24"/>
      <c r="P1423" s="24"/>
      <c r="Q1423" s="24"/>
      <c r="R1423" s="39">
        <v>5</v>
      </c>
      <c r="S1423" s="24">
        <f t="shared" si="368"/>
        <v>5</v>
      </c>
      <c r="T1423" s="69"/>
      <c r="U1423" s="24">
        <f t="shared" si="308"/>
        <v>5</v>
      </c>
      <c r="V1423" s="69"/>
      <c r="W1423" s="24">
        <f t="shared" si="369"/>
        <v>5</v>
      </c>
      <c r="X1423" s="69"/>
      <c r="Y1423" s="24">
        <f t="shared" si="335"/>
        <v>5</v>
      </c>
      <c r="Z1423" s="189"/>
      <c r="AA1423" s="189">
        <f>Y1423+Z1423</f>
        <v>5</v>
      </c>
    </row>
    <row r="1424" spans="1:27" s="6" customFormat="1" x14ac:dyDescent="0.25">
      <c r="A1424" s="22" t="s">
        <v>49</v>
      </c>
      <c r="B1424" s="23" t="s">
        <v>359</v>
      </c>
      <c r="C1424" s="23" t="s">
        <v>320</v>
      </c>
      <c r="D1424" s="23" t="s">
        <v>2</v>
      </c>
      <c r="E1424" s="24">
        <f t="shared" si="372"/>
        <v>18.2</v>
      </c>
      <c r="F1424" s="24">
        <f t="shared" si="372"/>
        <v>0</v>
      </c>
      <c r="G1424" s="24">
        <f t="shared" si="366"/>
        <v>18.2</v>
      </c>
      <c r="H1424" s="24">
        <f t="shared" si="372"/>
        <v>0</v>
      </c>
      <c r="I1424" s="24">
        <f t="shared" si="354"/>
        <v>18.2</v>
      </c>
      <c r="J1424" s="24">
        <f t="shared" si="372"/>
        <v>0</v>
      </c>
      <c r="K1424" s="24">
        <f t="shared" si="355"/>
        <v>18.2</v>
      </c>
      <c r="L1424" s="24">
        <f t="shared" si="372"/>
        <v>0</v>
      </c>
      <c r="M1424" s="24">
        <f t="shared" si="356"/>
        <v>18.2</v>
      </c>
      <c r="N1424" s="24">
        <f t="shared" si="372"/>
        <v>5</v>
      </c>
      <c r="O1424" s="24">
        <f t="shared" si="357"/>
        <v>23.2</v>
      </c>
      <c r="P1424" s="24">
        <f t="shared" si="372"/>
        <v>0</v>
      </c>
      <c r="Q1424" s="24">
        <f t="shared" si="373"/>
        <v>23.2</v>
      </c>
      <c r="R1424" s="24">
        <f t="shared" si="372"/>
        <v>-4.0999999999999996</v>
      </c>
      <c r="S1424" s="24">
        <f t="shared" si="368"/>
        <v>19.100000000000001</v>
      </c>
      <c r="T1424" s="24">
        <f t="shared" si="372"/>
        <v>0</v>
      </c>
      <c r="U1424" s="24">
        <f t="shared" si="308"/>
        <v>19.100000000000001</v>
      </c>
      <c r="V1424" s="24">
        <f t="shared" si="372"/>
        <v>0</v>
      </c>
      <c r="W1424" s="24">
        <f t="shared" si="369"/>
        <v>19.100000000000001</v>
      </c>
      <c r="X1424" s="24">
        <f t="shared" si="372"/>
        <v>0</v>
      </c>
      <c r="Y1424" s="24">
        <f t="shared" si="335"/>
        <v>19.100000000000001</v>
      </c>
      <c r="Z1424" s="189"/>
    </row>
    <row r="1425" spans="1:27" x14ac:dyDescent="0.25">
      <c r="A1425" s="25" t="s">
        <v>574</v>
      </c>
      <c r="B1425" s="26" t="s">
        <v>359</v>
      </c>
      <c r="C1425" s="26" t="s">
        <v>320</v>
      </c>
      <c r="D1425" s="26" t="s">
        <v>81</v>
      </c>
      <c r="E1425" s="27">
        <v>18.2</v>
      </c>
      <c r="F1425" s="27"/>
      <c r="G1425" s="24">
        <f t="shared" si="366"/>
        <v>18.2</v>
      </c>
      <c r="H1425" s="27"/>
      <c r="I1425" s="24">
        <f t="shared" si="354"/>
        <v>18.2</v>
      </c>
      <c r="J1425" s="27"/>
      <c r="K1425" s="24">
        <f t="shared" si="355"/>
        <v>18.2</v>
      </c>
      <c r="L1425" s="27"/>
      <c r="M1425" s="24">
        <f t="shared" si="356"/>
        <v>18.2</v>
      </c>
      <c r="N1425" s="39">
        <v>5</v>
      </c>
      <c r="O1425" s="24">
        <f t="shared" si="357"/>
        <v>23.2</v>
      </c>
      <c r="P1425" s="69"/>
      <c r="Q1425" s="24">
        <f t="shared" si="373"/>
        <v>23.2</v>
      </c>
      <c r="R1425" s="39">
        <v>-4.0999999999999996</v>
      </c>
      <c r="S1425" s="24">
        <f t="shared" si="368"/>
        <v>19.100000000000001</v>
      </c>
      <c r="T1425" s="69"/>
      <c r="U1425" s="24">
        <f t="shared" si="308"/>
        <v>19.100000000000001</v>
      </c>
      <c r="V1425" s="69"/>
      <c r="W1425" s="24">
        <f t="shared" si="369"/>
        <v>19.100000000000001</v>
      </c>
      <c r="X1425" s="69"/>
      <c r="Y1425" s="24">
        <f t="shared" si="335"/>
        <v>19.100000000000001</v>
      </c>
      <c r="AA1425" s="189">
        <f>Y1425+Z1425</f>
        <v>19.100000000000001</v>
      </c>
    </row>
    <row r="1426" spans="1:27" s="6" customFormat="1" ht="24.75" x14ac:dyDescent="0.25">
      <c r="A1426" s="16" t="s">
        <v>323</v>
      </c>
      <c r="B1426" s="20" t="s">
        <v>359</v>
      </c>
      <c r="C1426" s="20" t="s">
        <v>324</v>
      </c>
      <c r="D1426" s="21"/>
      <c r="E1426" s="27"/>
      <c r="F1426" s="27"/>
      <c r="G1426" s="24"/>
      <c r="H1426" s="27"/>
      <c r="I1426" s="24"/>
      <c r="J1426" s="18">
        <f>J1431</f>
        <v>317.5</v>
      </c>
      <c r="K1426" s="24">
        <f t="shared" si="355"/>
        <v>317.5</v>
      </c>
      <c r="L1426" s="18">
        <f>L1431+L1429</f>
        <v>2.9000000000000057</v>
      </c>
      <c r="M1426" s="24">
        <f t="shared" si="356"/>
        <v>320.39999999999998</v>
      </c>
      <c r="N1426" s="18">
        <f>N1431+N1429</f>
        <v>0</v>
      </c>
      <c r="O1426" s="24">
        <f t="shared" si="357"/>
        <v>320.39999999999998</v>
      </c>
      <c r="P1426" s="18">
        <f>P1431+P1429+P1427</f>
        <v>84</v>
      </c>
      <c r="Q1426" s="24">
        <f t="shared" si="373"/>
        <v>404.4</v>
      </c>
      <c r="R1426" s="18">
        <f>R1431+R1429+R1427</f>
        <v>0</v>
      </c>
      <c r="S1426" s="24">
        <f t="shared" si="368"/>
        <v>404.4</v>
      </c>
      <c r="T1426" s="18">
        <f>T1431+T1429+T1427</f>
        <v>-103.3</v>
      </c>
      <c r="U1426" s="24">
        <f t="shared" si="308"/>
        <v>301.09999999999997</v>
      </c>
      <c r="V1426" s="18">
        <f>V1431+V1429+V1427</f>
        <v>0</v>
      </c>
      <c r="W1426" s="24">
        <f t="shared" si="369"/>
        <v>301.09999999999997</v>
      </c>
      <c r="X1426" s="18">
        <f>X1431+X1429+X1427</f>
        <v>0</v>
      </c>
      <c r="Y1426" s="24">
        <f t="shared" si="335"/>
        <v>301.09999999999997</v>
      </c>
      <c r="Z1426" s="189"/>
    </row>
    <row r="1427" spans="1:27" s="6" customFormat="1" x14ac:dyDescent="0.25">
      <c r="A1427" s="22" t="s">
        <v>769</v>
      </c>
      <c r="B1427" s="20" t="s">
        <v>359</v>
      </c>
      <c r="C1427" s="23" t="s">
        <v>910</v>
      </c>
      <c r="D1427" s="23"/>
      <c r="E1427" s="27"/>
      <c r="F1427" s="27"/>
      <c r="G1427" s="24"/>
      <c r="H1427" s="27"/>
      <c r="I1427" s="24"/>
      <c r="J1427" s="18"/>
      <c r="K1427" s="24"/>
      <c r="L1427" s="18"/>
      <c r="M1427" s="24"/>
      <c r="N1427" s="18"/>
      <c r="O1427" s="24"/>
      <c r="P1427" s="18">
        <f>P1428</f>
        <v>84</v>
      </c>
      <c r="Q1427" s="24">
        <f t="shared" si="373"/>
        <v>84</v>
      </c>
      <c r="R1427" s="18">
        <f>R1428</f>
        <v>0</v>
      </c>
      <c r="S1427" s="24">
        <f t="shared" si="368"/>
        <v>84</v>
      </c>
      <c r="T1427" s="18">
        <f>T1428</f>
        <v>0</v>
      </c>
      <c r="U1427" s="24">
        <f t="shared" si="308"/>
        <v>84</v>
      </c>
      <c r="V1427" s="18">
        <f>V1428</f>
        <v>0</v>
      </c>
      <c r="W1427" s="24">
        <f t="shared" si="369"/>
        <v>84</v>
      </c>
      <c r="X1427" s="18">
        <f>X1428</f>
        <v>0</v>
      </c>
      <c r="Y1427" s="24">
        <f t="shared" si="335"/>
        <v>84</v>
      </c>
      <c r="Z1427" s="189"/>
    </row>
    <row r="1428" spans="1:27" s="6" customFormat="1" x14ac:dyDescent="0.25">
      <c r="A1428" s="17" t="s">
        <v>574</v>
      </c>
      <c r="B1428" s="21" t="s">
        <v>359</v>
      </c>
      <c r="C1428" s="26" t="s">
        <v>910</v>
      </c>
      <c r="D1428" s="26" t="s">
        <v>81</v>
      </c>
      <c r="E1428" s="27"/>
      <c r="F1428" s="27"/>
      <c r="G1428" s="24"/>
      <c r="H1428" s="27"/>
      <c r="I1428" s="24"/>
      <c r="J1428" s="18"/>
      <c r="K1428" s="24"/>
      <c r="L1428" s="18"/>
      <c r="M1428" s="24"/>
      <c r="N1428" s="18"/>
      <c r="O1428" s="24"/>
      <c r="P1428" s="43">
        <v>84</v>
      </c>
      <c r="Q1428" s="24">
        <f t="shared" si="373"/>
        <v>84</v>
      </c>
      <c r="R1428" s="69"/>
      <c r="S1428" s="24">
        <f t="shared" si="368"/>
        <v>84</v>
      </c>
      <c r="T1428" s="69"/>
      <c r="U1428" s="24">
        <f t="shared" si="308"/>
        <v>84</v>
      </c>
      <c r="V1428" s="69"/>
      <c r="W1428" s="24">
        <f t="shared" si="369"/>
        <v>84</v>
      </c>
      <c r="X1428" s="69"/>
      <c r="Y1428" s="24">
        <f t="shared" si="335"/>
        <v>84</v>
      </c>
      <c r="Z1428" s="189"/>
      <c r="AA1428" s="189">
        <f>Y1428+Z1428</f>
        <v>84</v>
      </c>
    </row>
    <row r="1429" spans="1:27" s="6" customFormat="1" x14ac:dyDescent="0.25">
      <c r="A1429" s="16" t="s">
        <v>811</v>
      </c>
      <c r="B1429" s="23" t="s">
        <v>359</v>
      </c>
      <c r="C1429" s="20" t="s">
        <v>814</v>
      </c>
      <c r="D1429" s="21"/>
      <c r="E1429" s="27"/>
      <c r="F1429" s="27"/>
      <c r="G1429" s="24"/>
      <c r="H1429" s="27"/>
      <c r="I1429" s="24"/>
      <c r="J1429" s="18"/>
      <c r="K1429" s="24"/>
      <c r="L1429" s="18">
        <f>L1430</f>
        <v>211</v>
      </c>
      <c r="M1429" s="24">
        <f t="shared" si="356"/>
        <v>211</v>
      </c>
      <c r="N1429" s="18">
        <f>N1430</f>
        <v>0</v>
      </c>
      <c r="O1429" s="24">
        <f t="shared" si="357"/>
        <v>211</v>
      </c>
      <c r="P1429" s="18">
        <f>P1430</f>
        <v>0</v>
      </c>
      <c r="Q1429" s="24">
        <f t="shared" si="373"/>
        <v>211</v>
      </c>
      <c r="R1429" s="18">
        <f>R1430</f>
        <v>0</v>
      </c>
      <c r="S1429" s="24">
        <f t="shared" si="368"/>
        <v>211</v>
      </c>
      <c r="T1429" s="18">
        <f>T1430</f>
        <v>-103.3</v>
      </c>
      <c r="U1429" s="24">
        <f t="shared" si="308"/>
        <v>107.7</v>
      </c>
      <c r="V1429" s="18">
        <f>V1430</f>
        <v>0</v>
      </c>
      <c r="W1429" s="24">
        <f t="shared" si="369"/>
        <v>107.7</v>
      </c>
      <c r="X1429" s="18">
        <f>X1430</f>
        <v>0</v>
      </c>
      <c r="Y1429" s="24">
        <f t="shared" si="335"/>
        <v>107.7</v>
      </c>
      <c r="Z1429" s="189"/>
    </row>
    <row r="1430" spans="1:27" s="6" customFormat="1" x14ac:dyDescent="0.25">
      <c r="A1430" s="17" t="s">
        <v>574</v>
      </c>
      <c r="B1430" s="26" t="s">
        <v>359</v>
      </c>
      <c r="C1430" s="21" t="s">
        <v>814</v>
      </c>
      <c r="D1430" s="21" t="s">
        <v>81</v>
      </c>
      <c r="E1430" s="27"/>
      <c r="F1430" s="27"/>
      <c r="G1430" s="24"/>
      <c r="H1430" s="27"/>
      <c r="I1430" s="24"/>
      <c r="J1430" s="18"/>
      <c r="K1430" s="24"/>
      <c r="L1430" s="96">
        <v>211</v>
      </c>
      <c r="M1430" s="24">
        <f t="shared" si="356"/>
        <v>211</v>
      </c>
      <c r="N1430" s="69"/>
      <c r="O1430" s="24">
        <f t="shared" si="357"/>
        <v>211</v>
      </c>
      <c r="P1430" s="69"/>
      <c r="Q1430" s="24">
        <f t="shared" si="373"/>
        <v>211</v>
      </c>
      <c r="R1430" s="69"/>
      <c r="S1430" s="24">
        <f t="shared" si="368"/>
        <v>211</v>
      </c>
      <c r="T1430" s="63">
        <v>-103.3</v>
      </c>
      <c r="U1430" s="24">
        <f t="shared" si="308"/>
        <v>107.7</v>
      </c>
      <c r="V1430" s="69"/>
      <c r="W1430" s="24">
        <f t="shared" si="369"/>
        <v>107.7</v>
      </c>
      <c r="X1430" s="69"/>
      <c r="Y1430" s="24">
        <f t="shared" si="335"/>
        <v>107.7</v>
      </c>
      <c r="Z1430" s="189"/>
      <c r="AA1430" s="189">
        <f>Y1430+Z1430</f>
        <v>107.7</v>
      </c>
    </row>
    <row r="1431" spans="1:27" ht="24.75" x14ac:dyDescent="0.25">
      <c r="A1431" s="16" t="s">
        <v>642</v>
      </c>
      <c r="B1431" s="20" t="s">
        <v>359</v>
      </c>
      <c r="C1431" s="20" t="s">
        <v>641</v>
      </c>
      <c r="D1431" s="21"/>
      <c r="E1431" s="27"/>
      <c r="F1431" s="27"/>
      <c r="G1431" s="24"/>
      <c r="H1431" s="27"/>
      <c r="I1431" s="24"/>
      <c r="J1431" s="18">
        <f>J1432</f>
        <v>317.5</v>
      </c>
      <c r="K1431" s="24">
        <f t="shared" si="355"/>
        <v>317.5</v>
      </c>
      <c r="L1431" s="18">
        <f>L1432</f>
        <v>-208.1</v>
      </c>
      <c r="M1431" s="24">
        <f t="shared" si="356"/>
        <v>109.4</v>
      </c>
      <c r="N1431" s="18">
        <f>N1432</f>
        <v>0</v>
      </c>
      <c r="O1431" s="24">
        <f t="shared" si="357"/>
        <v>109.4</v>
      </c>
      <c r="P1431" s="18">
        <f>P1432</f>
        <v>0</v>
      </c>
      <c r="Q1431" s="24">
        <f t="shared" si="373"/>
        <v>109.4</v>
      </c>
      <c r="R1431" s="18">
        <f>R1432</f>
        <v>0</v>
      </c>
      <c r="S1431" s="24">
        <f t="shared" si="368"/>
        <v>109.4</v>
      </c>
      <c r="T1431" s="18">
        <f>T1432</f>
        <v>0</v>
      </c>
      <c r="U1431" s="24">
        <f t="shared" si="308"/>
        <v>109.4</v>
      </c>
      <c r="V1431" s="18">
        <f>V1432</f>
        <v>0</v>
      </c>
      <c r="W1431" s="24">
        <f t="shared" si="369"/>
        <v>109.4</v>
      </c>
      <c r="X1431" s="18">
        <f>X1432</f>
        <v>0</v>
      </c>
      <c r="Y1431" s="24">
        <f t="shared" si="335"/>
        <v>109.4</v>
      </c>
    </row>
    <row r="1432" spans="1:27" x14ac:dyDescent="0.25">
      <c r="A1432" s="17" t="s">
        <v>574</v>
      </c>
      <c r="B1432" s="21" t="s">
        <v>359</v>
      </c>
      <c r="C1432" s="21" t="s">
        <v>641</v>
      </c>
      <c r="D1432" s="21" t="s">
        <v>81</v>
      </c>
      <c r="E1432" s="27"/>
      <c r="F1432" s="27"/>
      <c r="G1432" s="24"/>
      <c r="H1432" s="27"/>
      <c r="I1432" s="24"/>
      <c r="J1432" s="63">
        <v>317.5</v>
      </c>
      <c r="K1432" s="24">
        <f t="shared" si="355"/>
        <v>317.5</v>
      </c>
      <c r="L1432" s="107">
        <v>-208.1</v>
      </c>
      <c r="M1432" s="24">
        <f t="shared" si="356"/>
        <v>109.4</v>
      </c>
      <c r="N1432" s="69"/>
      <c r="O1432" s="24">
        <f t="shared" si="357"/>
        <v>109.4</v>
      </c>
      <c r="P1432" s="69"/>
      <c r="Q1432" s="24">
        <f t="shared" si="373"/>
        <v>109.4</v>
      </c>
      <c r="R1432" s="69"/>
      <c r="S1432" s="24">
        <f t="shared" si="368"/>
        <v>109.4</v>
      </c>
      <c r="T1432" s="69"/>
      <c r="U1432" s="24">
        <f t="shared" si="308"/>
        <v>109.4</v>
      </c>
      <c r="V1432" s="69"/>
      <c r="W1432" s="24">
        <f t="shared" si="369"/>
        <v>109.4</v>
      </c>
      <c r="X1432" s="69"/>
      <c r="Y1432" s="24">
        <f t="shared" si="335"/>
        <v>109.4</v>
      </c>
      <c r="AA1432" s="189">
        <f>Y1432+Z1432</f>
        <v>109.4</v>
      </c>
    </row>
    <row r="1433" spans="1:27" ht="24.75" x14ac:dyDescent="0.25">
      <c r="A1433" s="45" t="s">
        <v>759</v>
      </c>
      <c r="B1433" s="20" t="s">
        <v>359</v>
      </c>
      <c r="C1433" s="20" t="s">
        <v>537</v>
      </c>
      <c r="D1433" s="21"/>
      <c r="E1433" s="27"/>
      <c r="F1433" s="27"/>
      <c r="G1433" s="24"/>
      <c r="H1433" s="27"/>
      <c r="I1433" s="24"/>
      <c r="J1433" s="63"/>
      <c r="K1433" s="24"/>
      <c r="L1433" s="107"/>
      <c r="M1433" s="24"/>
      <c r="N1433" s="69"/>
      <c r="O1433" s="24"/>
      <c r="P1433" s="69"/>
      <c r="Q1433" s="24"/>
      <c r="R1433" s="69"/>
      <c r="S1433" s="24"/>
      <c r="T1433" s="69"/>
      <c r="U1433" s="24"/>
      <c r="V1433" s="47">
        <f>V1434</f>
        <v>333.7</v>
      </c>
      <c r="W1433" s="24">
        <f t="shared" si="369"/>
        <v>333.7</v>
      </c>
      <c r="X1433" s="47">
        <f>X1434</f>
        <v>0</v>
      </c>
      <c r="Y1433" s="24">
        <f t="shared" si="335"/>
        <v>333.7</v>
      </c>
    </row>
    <row r="1434" spans="1:27" ht="24.75" x14ac:dyDescent="0.25">
      <c r="A1434" s="45" t="s">
        <v>538</v>
      </c>
      <c r="B1434" s="20" t="s">
        <v>359</v>
      </c>
      <c r="C1434" s="20" t="s">
        <v>539</v>
      </c>
      <c r="D1434" s="21"/>
      <c r="E1434" s="27"/>
      <c r="F1434" s="27"/>
      <c r="G1434" s="24"/>
      <c r="H1434" s="27"/>
      <c r="I1434" s="24"/>
      <c r="J1434" s="63"/>
      <c r="K1434" s="24"/>
      <c r="L1434" s="107"/>
      <c r="M1434" s="24"/>
      <c r="N1434" s="69"/>
      <c r="O1434" s="24"/>
      <c r="P1434" s="69"/>
      <c r="Q1434" s="24"/>
      <c r="R1434" s="69"/>
      <c r="S1434" s="24"/>
      <c r="T1434" s="69"/>
      <c r="U1434" s="24"/>
      <c r="V1434" s="47">
        <f>V1435</f>
        <v>333.7</v>
      </c>
      <c r="W1434" s="24">
        <f t="shared" si="369"/>
        <v>333.7</v>
      </c>
      <c r="X1434" s="47">
        <f>X1435</f>
        <v>0</v>
      </c>
      <c r="Y1434" s="24">
        <f t="shared" si="335"/>
        <v>333.7</v>
      </c>
    </row>
    <row r="1435" spans="1:27" ht="36.75" x14ac:dyDescent="0.25">
      <c r="A1435" s="16" t="s">
        <v>37</v>
      </c>
      <c r="B1435" s="20" t="s">
        <v>359</v>
      </c>
      <c r="C1435" s="20" t="s">
        <v>541</v>
      </c>
      <c r="D1435" s="21"/>
      <c r="E1435" s="27"/>
      <c r="F1435" s="27"/>
      <c r="G1435" s="24"/>
      <c r="H1435" s="27"/>
      <c r="I1435" s="24"/>
      <c r="J1435" s="63"/>
      <c r="K1435" s="24"/>
      <c r="L1435" s="107"/>
      <c r="M1435" s="24"/>
      <c r="N1435" s="69"/>
      <c r="O1435" s="24"/>
      <c r="P1435" s="69"/>
      <c r="Q1435" s="24"/>
      <c r="R1435" s="69"/>
      <c r="S1435" s="24"/>
      <c r="T1435" s="69"/>
      <c r="U1435" s="24"/>
      <c r="V1435" s="47">
        <f>V1436</f>
        <v>333.7</v>
      </c>
      <c r="W1435" s="24">
        <f t="shared" si="369"/>
        <v>333.7</v>
      </c>
      <c r="X1435" s="47">
        <f>X1436</f>
        <v>0</v>
      </c>
      <c r="Y1435" s="24">
        <f t="shared" si="335"/>
        <v>333.7</v>
      </c>
    </row>
    <row r="1436" spans="1:27" x14ac:dyDescent="0.25">
      <c r="A1436" s="17" t="s">
        <v>574</v>
      </c>
      <c r="B1436" s="21" t="s">
        <v>359</v>
      </c>
      <c r="C1436" s="21" t="s">
        <v>541</v>
      </c>
      <c r="D1436" s="21" t="s">
        <v>81</v>
      </c>
      <c r="E1436" s="27"/>
      <c r="F1436" s="27"/>
      <c r="G1436" s="24"/>
      <c r="H1436" s="27"/>
      <c r="I1436" s="24"/>
      <c r="J1436" s="63"/>
      <c r="K1436" s="24"/>
      <c r="L1436" s="107"/>
      <c r="M1436" s="24"/>
      <c r="N1436" s="69"/>
      <c r="O1436" s="24"/>
      <c r="P1436" s="69"/>
      <c r="Q1436" s="24"/>
      <c r="R1436" s="69"/>
      <c r="S1436" s="24"/>
      <c r="T1436" s="69"/>
      <c r="U1436" s="24"/>
      <c r="V1436" s="39">
        <v>333.7</v>
      </c>
      <c r="W1436" s="24">
        <f t="shared" si="369"/>
        <v>333.7</v>
      </c>
      <c r="X1436" s="69"/>
      <c r="Y1436" s="24">
        <f t="shared" si="335"/>
        <v>333.7</v>
      </c>
      <c r="AA1436" s="189">
        <f>Y1436+Z1436</f>
        <v>333.7</v>
      </c>
    </row>
    <row r="1437" spans="1:27" ht="24.75" x14ac:dyDescent="0.25">
      <c r="A1437" s="22" t="s">
        <v>368</v>
      </c>
      <c r="B1437" s="23" t="s">
        <v>369</v>
      </c>
      <c r="C1437" s="23" t="s">
        <v>2</v>
      </c>
      <c r="D1437" s="23" t="s">
        <v>2</v>
      </c>
      <c r="E1437" s="24">
        <f>E1444</f>
        <v>34</v>
      </c>
      <c r="F1437" s="24">
        <f>F1444</f>
        <v>0</v>
      </c>
      <c r="G1437" s="24">
        <f t="shared" si="366"/>
        <v>34</v>
      </c>
      <c r="H1437" s="24">
        <f>H1444</f>
        <v>0</v>
      </c>
      <c r="I1437" s="24">
        <f t="shared" si="354"/>
        <v>34</v>
      </c>
      <c r="J1437" s="24">
        <f>J1444+J1438</f>
        <v>85.1</v>
      </c>
      <c r="K1437" s="24">
        <f t="shared" si="355"/>
        <v>119.1</v>
      </c>
      <c r="L1437" s="47">
        <f>L1444+L1438</f>
        <v>50</v>
      </c>
      <c r="M1437" s="24">
        <f t="shared" si="356"/>
        <v>169.1</v>
      </c>
      <c r="N1437" s="47">
        <f>N1444+N1438</f>
        <v>0</v>
      </c>
      <c r="O1437" s="24">
        <f t="shared" si="357"/>
        <v>169.1</v>
      </c>
      <c r="P1437" s="47">
        <f>P1444+P1438</f>
        <v>0</v>
      </c>
      <c r="Q1437" s="24">
        <f t="shared" si="373"/>
        <v>169.1</v>
      </c>
      <c r="R1437" s="47">
        <f>R1444+R1438</f>
        <v>0</v>
      </c>
      <c r="S1437" s="24">
        <f t="shared" si="368"/>
        <v>169.1</v>
      </c>
      <c r="T1437" s="47">
        <f>T1444+T1438</f>
        <v>0</v>
      </c>
      <c r="U1437" s="24">
        <f t="shared" si="308"/>
        <v>169.1</v>
      </c>
      <c r="V1437" s="47">
        <f>V1444+V1438</f>
        <v>0</v>
      </c>
      <c r="W1437" s="24">
        <f t="shared" si="369"/>
        <v>169.1</v>
      </c>
      <c r="X1437" s="47">
        <f>X1444+X1438</f>
        <v>-38.200000000000003</v>
      </c>
      <c r="Y1437" s="24">
        <f t="shared" si="335"/>
        <v>130.89999999999998</v>
      </c>
    </row>
    <row r="1438" spans="1:27" x14ac:dyDescent="0.25">
      <c r="A1438" s="16" t="s">
        <v>75</v>
      </c>
      <c r="B1438" s="20" t="s">
        <v>369</v>
      </c>
      <c r="C1438" s="20" t="s">
        <v>76</v>
      </c>
      <c r="D1438" s="21"/>
      <c r="E1438" s="24"/>
      <c r="F1438" s="24"/>
      <c r="G1438" s="24"/>
      <c r="H1438" s="24"/>
      <c r="I1438" s="24"/>
      <c r="J1438" s="18">
        <f>J1439</f>
        <v>85.1</v>
      </c>
      <c r="K1438" s="24">
        <f t="shared" si="355"/>
        <v>85.1</v>
      </c>
      <c r="L1438" s="47">
        <f>L1439</f>
        <v>0</v>
      </c>
      <c r="M1438" s="24">
        <f t="shared" si="356"/>
        <v>85.1</v>
      </c>
      <c r="N1438" s="47">
        <f>N1439</f>
        <v>0</v>
      </c>
      <c r="O1438" s="24">
        <f t="shared" si="357"/>
        <v>85.1</v>
      </c>
      <c r="P1438" s="47">
        <f>P1439</f>
        <v>0</v>
      </c>
      <c r="Q1438" s="24">
        <f t="shared" si="373"/>
        <v>85.1</v>
      </c>
      <c r="R1438" s="47">
        <f>R1439</f>
        <v>0</v>
      </c>
      <c r="S1438" s="24">
        <f t="shared" si="368"/>
        <v>85.1</v>
      </c>
      <c r="T1438" s="47">
        <f>T1439</f>
        <v>0</v>
      </c>
      <c r="U1438" s="24">
        <f t="shared" si="308"/>
        <v>85.1</v>
      </c>
      <c r="V1438" s="47">
        <f>V1439</f>
        <v>0</v>
      </c>
      <c r="W1438" s="24">
        <f t="shared" si="369"/>
        <v>85.1</v>
      </c>
      <c r="X1438" s="47">
        <f>X1439</f>
        <v>0</v>
      </c>
      <c r="Y1438" s="24">
        <f t="shared" si="335"/>
        <v>85.1</v>
      </c>
    </row>
    <row r="1439" spans="1:27" x14ac:dyDescent="0.25">
      <c r="A1439" s="16" t="s">
        <v>309</v>
      </c>
      <c r="B1439" s="20" t="s">
        <v>369</v>
      </c>
      <c r="C1439" s="20" t="s">
        <v>310</v>
      </c>
      <c r="D1439" s="21"/>
      <c r="E1439" s="24"/>
      <c r="F1439" s="24"/>
      <c r="G1439" s="24"/>
      <c r="H1439" s="24"/>
      <c r="I1439" s="24"/>
      <c r="J1439" s="18">
        <f>J1440</f>
        <v>85.1</v>
      </c>
      <c r="K1439" s="24">
        <f t="shared" si="355"/>
        <v>85.1</v>
      </c>
      <c r="L1439" s="47">
        <f>L1440</f>
        <v>0</v>
      </c>
      <c r="M1439" s="24">
        <f t="shared" si="356"/>
        <v>85.1</v>
      </c>
      <c r="N1439" s="47">
        <f>N1440</f>
        <v>0</v>
      </c>
      <c r="O1439" s="24">
        <f t="shared" si="357"/>
        <v>85.1</v>
      </c>
      <c r="P1439" s="47">
        <f>P1440</f>
        <v>0</v>
      </c>
      <c r="Q1439" s="24">
        <f t="shared" si="373"/>
        <v>85.1</v>
      </c>
      <c r="R1439" s="47">
        <f>R1440</f>
        <v>0</v>
      </c>
      <c r="S1439" s="24">
        <f t="shared" si="368"/>
        <v>85.1</v>
      </c>
      <c r="T1439" s="47">
        <f>T1440</f>
        <v>0</v>
      </c>
      <c r="U1439" s="24">
        <f t="shared" si="308"/>
        <v>85.1</v>
      </c>
      <c r="V1439" s="47">
        <f>V1440</f>
        <v>0</v>
      </c>
      <c r="W1439" s="24">
        <f t="shared" si="369"/>
        <v>85.1</v>
      </c>
      <c r="X1439" s="47">
        <f>X1440</f>
        <v>0</v>
      </c>
      <c r="Y1439" s="24">
        <f t="shared" si="335"/>
        <v>85.1</v>
      </c>
    </row>
    <row r="1440" spans="1:27" x14ac:dyDescent="0.25">
      <c r="A1440" s="44" t="s">
        <v>783</v>
      </c>
      <c r="B1440" s="20" t="s">
        <v>369</v>
      </c>
      <c r="C1440" s="41" t="s">
        <v>785</v>
      </c>
      <c r="D1440" s="21"/>
      <c r="E1440" s="24"/>
      <c r="F1440" s="24"/>
      <c r="G1440" s="24"/>
      <c r="H1440" s="24"/>
      <c r="I1440" s="24"/>
      <c r="J1440" s="18">
        <f>J1441</f>
        <v>85.1</v>
      </c>
      <c r="K1440" s="24">
        <f t="shared" si="355"/>
        <v>85.1</v>
      </c>
      <c r="L1440" s="47">
        <f>L1441</f>
        <v>0</v>
      </c>
      <c r="M1440" s="24">
        <f t="shared" si="356"/>
        <v>85.1</v>
      </c>
      <c r="N1440" s="47">
        <f>N1441</f>
        <v>0</v>
      </c>
      <c r="O1440" s="24">
        <f t="shared" si="357"/>
        <v>85.1</v>
      </c>
      <c r="P1440" s="47">
        <f>P1441</f>
        <v>0</v>
      </c>
      <c r="Q1440" s="24">
        <f t="shared" si="373"/>
        <v>85.1</v>
      </c>
      <c r="R1440" s="47">
        <f>R1441</f>
        <v>0</v>
      </c>
      <c r="S1440" s="24">
        <f t="shared" si="368"/>
        <v>85.1</v>
      </c>
      <c r="T1440" s="47">
        <f>T1441</f>
        <v>0</v>
      </c>
      <c r="U1440" s="24">
        <f t="shared" ref="U1440:U1564" si="374">S1440+T1440</f>
        <v>85.1</v>
      </c>
      <c r="V1440" s="47">
        <f>V1441</f>
        <v>0</v>
      </c>
      <c r="W1440" s="24">
        <f t="shared" si="369"/>
        <v>85.1</v>
      </c>
      <c r="X1440" s="47">
        <f>X1441</f>
        <v>0</v>
      </c>
      <c r="Y1440" s="24">
        <f t="shared" si="335"/>
        <v>85.1</v>
      </c>
    </row>
    <row r="1441" spans="1:27" s="6" customFormat="1" ht="18.75" customHeight="1" x14ac:dyDescent="0.25">
      <c r="A1441" s="89" t="s">
        <v>784</v>
      </c>
      <c r="B1441" s="20" t="s">
        <v>369</v>
      </c>
      <c r="C1441" s="41" t="s">
        <v>786</v>
      </c>
      <c r="D1441" s="42"/>
      <c r="E1441" s="24"/>
      <c r="F1441" s="24"/>
      <c r="G1441" s="24"/>
      <c r="H1441" s="24"/>
      <c r="I1441" s="24"/>
      <c r="J1441" s="18">
        <f>J1442+J1443</f>
        <v>85.1</v>
      </c>
      <c r="K1441" s="24">
        <f t="shared" si="355"/>
        <v>85.1</v>
      </c>
      <c r="L1441" s="47">
        <f>L1442+L1443</f>
        <v>0</v>
      </c>
      <c r="M1441" s="24">
        <f t="shared" si="356"/>
        <v>85.1</v>
      </c>
      <c r="N1441" s="47">
        <f>N1442+N1443</f>
        <v>0</v>
      </c>
      <c r="O1441" s="24">
        <f t="shared" si="357"/>
        <v>85.1</v>
      </c>
      <c r="P1441" s="47">
        <f>P1442+P1443</f>
        <v>0</v>
      </c>
      <c r="Q1441" s="24">
        <f t="shared" si="373"/>
        <v>85.1</v>
      </c>
      <c r="R1441" s="47">
        <f>R1442+R1443</f>
        <v>0</v>
      </c>
      <c r="S1441" s="24">
        <f t="shared" si="368"/>
        <v>85.1</v>
      </c>
      <c r="T1441" s="47">
        <f>T1442+T1443</f>
        <v>0</v>
      </c>
      <c r="U1441" s="24">
        <f t="shared" si="374"/>
        <v>85.1</v>
      </c>
      <c r="V1441" s="47">
        <f>V1442+V1443</f>
        <v>0</v>
      </c>
      <c r="W1441" s="24">
        <f t="shared" si="369"/>
        <v>85.1</v>
      </c>
      <c r="X1441" s="47">
        <f>X1442+X1443</f>
        <v>0</v>
      </c>
      <c r="Y1441" s="24">
        <f t="shared" si="335"/>
        <v>85.1</v>
      </c>
      <c r="Z1441" s="189"/>
    </row>
    <row r="1442" spans="1:27" s="6" customFormat="1" ht="18.75" customHeight="1" x14ac:dyDescent="0.25">
      <c r="A1442" s="60" t="s">
        <v>574</v>
      </c>
      <c r="B1442" s="21" t="s">
        <v>369</v>
      </c>
      <c r="C1442" s="42" t="s">
        <v>786</v>
      </c>
      <c r="D1442" s="65" t="s">
        <v>81</v>
      </c>
      <c r="E1442" s="24"/>
      <c r="F1442" s="24"/>
      <c r="G1442" s="24"/>
      <c r="H1442" s="24"/>
      <c r="I1442" s="24"/>
      <c r="J1442" s="43">
        <v>75.599999999999994</v>
      </c>
      <c r="K1442" s="24">
        <f t="shared" si="355"/>
        <v>75.599999999999994</v>
      </c>
      <c r="L1442" s="69"/>
      <c r="M1442" s="24">
        <f t="shared" si="356"/>
        <v>75.599999999999994</v>
      </c>
      <c r="N1442" s="69"/>
      <c r="O1442" s="24">
        <f t="shared" si="357"/>
        <v>75.599999999999994</v>
      </c>
      <c r="P1442" s="69"/>
      <c r="Q1442" s="24">
        <f t="shared" si="373"/>
        <v>75.599999999999994</v>
      </c>
      <c r="R1442" s="69"/>
      <c r="S1442" s="24">
        <f t="shared" si="368"/>
        <v>75.599999999999994</v>
      </c>
      <c r="T1442" s="69"/>
      <c r="U1442" s="24">
        <f t="shared" si="374"/>
        <v>75.599999999999994</v>
      </c>
      <c r="V1442" s="69"/>
      <c r="W1442" s="24">
        <f t="shared" si="369"/>
        <v>75.599999999999994</v>
      </c>
      <c r="X1442" s="69"/>
      <c r="Y1442" s="24">
        <f t="shared" si="335"/>
        <v>75.599999999999994</v>
      </c>
      <c r="Z1442" s="189"/>
      <c r="AA1442" s="189">
        <f t="shared" ref="AA1442:AA1443" si="375">Y1442+Z1442</f>
        <v>75.599999999999994</v>
      </c>
    </row>
    <row r="1443" spans="1:27" s="6" customFormat="1" ht="18.75" customHeight="1" x14ac:dyDescent="0.25">
      <c r="A1443" s="60" t="s">
        <v>321</v>
      </c>
      <c r="B1443" s="21" t="s">
        <v>369</v>
      </c>
      <c r="C1443" s="42" t="s">
        <v>786</v>
      </c>
      <c r="D1443" s="65" t="s">
        <v>322</v>
      </c>
      <c r="E1443" s="24"/>
      <c r="F1443" s="24"/>
      <c r="G1443" s="24"/>
      <c r="H1443" s="24"/>
      <c r="I1443" s="24"/>
      <c r="J1443" s="43">
        <v>9.5</v>
      </c>
      <c r="K1443" s="24">
        <f t="shared" si="355"/>
        <v>9.5</v>
      </c>
      <c r="L1443" s="69"/>
      <c r="M1443" s="24">
        <f t="shared" si="356"/>
        <v>9.5</v>
      </c>
      <c r="N1443" s="69"/>
      <c r="O1443" s="24">
        <f t="shared" si="357"/>
        <v>9.5</v>
      </c>
      <c r="P1443" s="69"/>
      <c r="Q1443" s="24">
        <f t="shared" si="373"/>
        <v>9.5</v>
      </c>
      <c r="R1443" s="69"/>
      <c r="S1443" s="24">
        <f t="shared" si="368"/>
        <v>9.5</v>
      </c>
      <c r="T1443" s="69"/>
      <c r="U1443" s="24">
        <f t="shared" si="374"/>
        <v>9.5</v>
      </c>
      <c r="V1443" s="69"/>
      <c r="W1443" s="24">
        <f t="shared" si="369"/>
        <v>9.5</v>
      </c>
      <c r="X1443" s="69"/>
      <c r="Y1443" s="24">
        <f t="shared" si="335"/>
        <v>9.5</v>
      </c>
      <c r="Z1443" s="189"/>
      <c r="AA1443" s="189">
        <f t="shared" si="375"/>
        <v>9.5</v>
      </c>
    </row>
    <row r="1444" spans="1:27" s="6" customFormat="1" ht="18.75" customHeight="1" x14ac:dyDescent="0.25">
      <c r="A1444" s="22" t="s">
        <v>590</v>
      </c>
      <c r="B1444" s="23" t="s">
        <v>369</v>
      </c>
      <c r="C1444" s="23" t="s">
        <v>32</v>
      </c>
      <c r="D1444" s="23" t="s">
        <v>2</v>
      </c>
      <c r="E1444" s="24">
        <f t="shared" ref="E1444:X1447" si="376">E1445</f>
        <v>34</v>
      </c>
      <c r="F1444" s="24">
        <f t="shared" si="376"/>
        <v>0</v>
      </c>
      <c r="G1444" s="24">
        <f t="shared" si="366"/>
        <v>34</v>
      </c>
      <c r="H1444" s="24">
        <f t="shared" si="376"/>
        <v>0</v>
      </c>
      <c r="I1444" s="24">
        <f t="shared" si="354"/>
        <v>34</v>
      </c>
      <c r="J1444" s="24">
        <f t="shared" si="376"/>
        <v>0</v>
      </c>
      <c r="K1444" s="24">
        <f t="shared" si="355"/>
        <v>34</v>
      </c>
      <c r="L1444" s="47">
        <f t="shared" si="376"/>
        <v>50</v>
      </c>
      <c r="M1444" s="24">
        <f t="shared" si="356"/>
        <v>84</v>
      </c>
      <c r="N1444" s="47">
        <f t="shared" si="376"/>
        <v>0</v>
      </c>
      <c r="O1444" s="24">
        <f t="shared" si="357"/>
        <v>84</v>
      </c>
      <c r="P1444" s="47">
        <f t="shared" si="376"/>
        <v>0</v>
      </c>
      <c r="Q1444" s="24">
        <f t="shared" si="373"/>
        <v>84</v>
      </c>
      <c r="R1444" s="47">
        <f t="shared" si="376"/>
        <v>0</v>
      </c>
      <c r="S1444" s="24">
        <f t="shared" si="368"/>
        <v>84</v>
      </c>
      <c r="T1444" s="47">
        <f t="shared" si="376"/>
        <v>0</v>
      </c>
      <c r="U1444" s="24">
        <f t="shared" si="374"/>
        <v>84</v>
      </c>
      <c r="V1444" s="47">
        <f t="shared" si="376"/>
        <v>0</v>
      </c>
      <c r="W1444" s="24">
        <f t="shared" si="369"/>
        <v>84</v>
      </c>
      <c r="X1444" s="47">
        <f t="shared" si="376"/>
        <v>-38.200000000000003</v>
      </c>
      <c r="Y1444" s="24">
        <f t="shared" si="335"/>
        <v>45.8</v>
      </c>
      <c r="Z1444" s="189"/>
    </row>
    <row r="1445" spans="1:27" s="6" customFormat="1" ht="18.75" customHeight="1" x14ac:dyDescent="0.25">
      <c r="A1445" s="22" t="s">
        <v>33</v>
      </c>
      <c r="B1445" s="23" t="s">
        <v>369</v>
      </c>
      <c r="C1445" s="23" t="s">
        <v>34</v>
      </c>
      <c r="D1445" s="23" t="s">
        <v>2</v>
      </c>
      <c r="E1445" s="24">
        <f t="shared" si="376"/>
        <v>34</v>
      </c>
      <c r="F1445" s="24">
        <f t="shared" si="376"/>
        <v>0</v>
      </c>
      <c r="G1445" s="24">
        <f t="shared" si="366"/>
        <v>34</v>
      </c>
      <c r="H1445" s="24">
        <f t="shared" si="376"/>
        <v>0</v>
      </c>
      <c r="I1445" s="24">
        <f t="shared" si="354"/>
        <v>34</v>
      </c>
      <c r="J1445" s="24">
        <f t="shared" si="376"/>
        <v>0</v>
      </c>
      <c r="K1445" s="24">
        <f t="shared" si="355"/>
        <v>34</v>
      </c>
      <c r="L1445" s="24">
        <f t="shared" si="376"/>
        <v>50</v>
      </c>
      <c r="M1445" s="24">
        <f t="shared" si="356"/>
        <v>84</v>
      </c>
      <c r="N1445" s="24">
        <f t="shared" si="376"/>
        <v>0</v>
      </c>
      <c r="O1445" s="24">
        <f t="shared" si="357"/>
        <v>84</v>
      </c>
      <c r="P1445" s="24">
        <f t="shared" si="376"/>
        <v>0</v>
      </c>
      <c r="Q1445" s="24">
        <f t="shared" si="373"/>
        <v>84</v>
      </c>
      <c r="R1445" s="24">
        <f t="shared" si="376"/>
        <v>0</v>
      </c>
      <c r="S1445" s="24">
        <f t="shared" si="368"/>
        <v>84</v>
      </c>
      <c r="T1445" s="24">
        <f t="shared" si="376"/>
        <v>0</v>
      </c>
      <c r="U1445" s="24">
        <f t="shared" si="374"/>
        <v>84</v>
      </c>
      <c r="V1445" s="24">
        <f t="shared" si="376"/>
        <v>0</v>
      </c>
      <c r="W1445" s="24">
        <f t="shared" si="369"/>
        <v>84</v>
      </c>
      <c r="X1445" s="24">
        <f t="shared" si="376"/>
        <v>-38.200000000000003</v>
      </c>
      <c r="Y1445" s="24">
        <f t="shared" si="335"/>
        <v>45.8</v>
      </c>
      <c r="Z1445" s="189"/>
    </row>
    <row r="1446" spans="1:27" s="6" customFormat="1" ht="18.75" customHeight="1" x14ac:dyDescent="0.25">
      <c r="A1446" s="22" t="s">
        <v>110</v>
      </c>
      <c r="B1446" s="23" t="s">
        <v>369</v>
      </c>
      <c r="C1446" s="23" t="s">
        <v>111</v>
      </c>
      <c r="D1446" s="23" t="s">
        <v>2</v>
      </c>
      <c r="E1446" s="24">
        <f t="shared" si="376"/>
        <v>34</v>
      </c>
      <c r="F1446" s="24">
        <f t="shared" si="376"/>
        <v>0</v>
      </c>
      <c r="G1446" s="24">
        <f t="shared" si="366"/>
        <v>34</v>
      </c>
      <c r="H1446" s="24">
        <f t="shared" si="376"/>
        <v>0</v>
      </c>
      <c r="I1446" s="24">
        <f t="shared" si="354"/>
        <v>34</v>
      </c>
      <c r="J1446" s="24">
        <f t="shared" si="376"/>
        <v>0</v>
      </c>
      <c r="K1446" s="24">
        <f t="shared" si="355"/>
        <v>34</v>
      </c>
      <c r="L1446" s="24">
        <f t="shared" si="376"/>
        <v>50</v>
      </c>
      <c r="M1446" s="24">
        <f t="shared" si="356"/>
        <v>84</v>
      </c>
      <c r="N1446" s="24">
        <f t="shared" si="376"/>
        <v>0</v>
      </c>
      <c r="O1446" s="24">
        <f t="shared" si="357"/>
        <v>84</v>
      </c>
      <c r="P1446" s="24">
        <f t="shared" si="376"/>
        <v>0</v>
      </c>
      <c r="Q1446" s="24">
        <f t="shared" si="373"/>
        <v>84</v>
      </c>
      <c r="R1446" s="24">
        <f t="shared" si="376"/>
        <v>0</v>
      </c>
      <c r="S1446" s="24">
        <f t="shared" si="368"/>
        <v>84</v>
      </c>
      <c r="T1446" s="24">
        <f t="shared" si="376"/>
        <v>0</v>
      </c>
      <c r="U1446" s="24">
        <f t="shared" si="374"/>
        <v>84</v>
      </c>
      <c r="V1446" s="24">
        <f t="shared" si="376"/>
        <v>0</v>
      </c>
      <c r="W1446" s="24">
        <f t="shared" si="369"/>
        <v>84</v>
      </c>
      <c r="X1446" s="24">
        <f t="shared" si="376"/>
        <v>-38.200000000000003</v>
      </c>
      <c r="Y1446" s="24">
        <f t="shared" si="335"/>
        <v>45.8</v>
      </c>
      <c r="Z1446" s="189"/>
    </row>
    <row r="1447" spans="1:27" s="6" customFormat="1" ht="18.75" customHeight="1" x14ac:dyDescent="0.25">
      <c r="A1447" s="22" t="s">
        <v>370</v>
      </c>
      <c r="B1447" s="23" t="s">
        <v>369</v>
      </c>
      <c r="C1447" s="23" t="s">
        <v>371</v>
      </c>
      <c r="D1447" s="23" t="s">
        <v>2</v>
      </c>
      <c r="E1447" s="24">
        <f t="shared" si="376"/>
        <v>34</v>
      </c>
      <c r="F1447" s="24">
        <f t="shared" si="376"/>
        <v>0</v>
      </c>
      <c r="G1447" s="24">
        <f t="shared" si="366"/>
        <v>34</v>
      </c>
      <c r="H1447" s="24">
        <f t="shared" si="376"/>
        <v>0</v>
      </c>
      <c r="I1447" s="24">
        <f t="shared" si="354"/>
        <v>34</v>
      </c>
      <c r="J1447" s="24">
        <f t="shared" si="376"/>
        <v>0</v>
      </c>
      <c r="K1447" s="24">
        <f t="shared" si="355"/>
        <v>34</v>
      </c>
      <c r="L1447" s="24">
        <f t="shared" si="376"/>
        <v>50</v>
      </c>
      <c r="M1447" s="24">
        <f t="shared" si="356"/>
        <v>84</v>
      </c>
      <c r="N1447" s="24">
        <f t="shared" si="376"/>
        <v>0</v>
      </c>
      <c r="O1447" s="24">
        <f t="shared" si="357"/>
        <v>84</v>
      </c>
      <c r="P1447" s="24">
        <f t="shared" si="376"/>
        <v>0</v>
      </c>
      <c r="Q1447" s="24">
        <f t="shared" si="373"/>
        <v>84</v>
      </c>
      <c r="R1447" s="24">
        <f t="shared" si="376"/>
        <v>0</v>
      </c>
      <c r="S1447" s="24">
        <f t="shared" si="368"/>
        <v>84</v>
      </c>
      <c r="T1447" s="24">
        <f t="shared" si="376"/>
        <v>0</v>
      </c>
      <c r="U1447" s="24">
        <f t="shared" si="374"/>
        <v>84</v>
      </c>
      <c r="V1447" s="24">
        <f t="shared" si="376"/>
        <v>0</v>
      </c>
      <c r="W1447" s="24">
        <f t="shared" si="369"/>
        <v>84</v>
      </c>
      <c r="X1447" s="24">
        <f t="shared" si="376"/>
        <v>-38.200000000000003</v>
      </c>
      <c r="Y1447" s="24">
        <f t="shared" si="335"/>
        <v>45.8</v>
      </c>
      <c r="Z1447" s="189"/>
    </row>
    <row r="1448" spans="1:27" s="6" customFormat="1" x14ac:dyDescent="0.25">
      <c r="A1448" s="25" t="s">
        <v>66</v>
      </c>
      <c r="B1448" s="26" t="s">
        <v>369</v>
      </c>
      <c r="C1448" s="26" t="s">
        <v>371</v>
      </c>
      <c r="D1448" s="26" t="s">
        <v>42</v>
      </c>
      <c r="E1448" s="27">
        <v>34</v>
      </c>
      <c r="F1448" s="27"/>
      <c r="G1448" s="24">
        <f t="shared" si="366"/>
        <v>34</v>
      </c>
      <c r="H1448" s="27"/>
      <c r="I1448" s="24">
        <f t="shared" si="354"/>
        <v>34</v>
      </c>
      <c r="J1448" s="27"/>
      <c r="K1448" s="24">
        <f t="shared" si="355"/>
        <v>34</v>
      </c>
      <c r="L1448" s="107">
        <v>50</v>
      </c>
      <c r="M1448" s="24">
        <f t="shared" si="356"/>
        <v>84</v>
      </c>
      <c r="N1448" s="69"/>
      <c r="O1448" s="24">
        <f t="shared" si="357"/>
        <v>84</v>
      </c>
      <c r="P1448" s="69"/>
      <c r="Q1448" s="24">
        <f t="shared" si="373"/>
        <v>84</v>
      </c>
      <c r="R1448" s="69"/>
      <c r="S1448" s="24">
        <f t="shared" si="368"/>
        <v>84</v>
      </c>
      <c r="T1448" s="69"/>
      <c r="U1448" s="24">
        <f t="shared" si="374"/>
        <v>84</v>
      </c>
      <c r="V1448" s="69"/>
      <c r="W1448" s="24">
        <f t="shared" si="369"/>
        <v>84</v>
      </c>
      <c r="X1448" s="39">
        <v>-38.200000000000003</v>
      </c>
      <c r="Y1448" s="24">
        <f t="shared" si="335"/>
        <v>45.8</v>
      </c>
      <c r="Z1448" s="189"/>
      <c r="AA1448" s="189">
        <f>Y1448+Z1448</f>
        <v>45.8</v>
      </c>
    </row>
    <row r="1449" spans="1:27" s="6" customFormat="1" x14ac:dyDescent="0.25">
      <c r="A1449" s="22" t="s">
        <v>372</v>
      </c>
      <c r="B1449" s="23" t="s">
        <v>373</v>
      </c>
      <c r="C1449" s="23" t="s">
        <v>2</v>
      </c>
      <c r="D1449" s="23" t="s">
        <v>2</v>
      </c>
      <c r="E1449" s="24">
        <f>E1450+E1457</f>
        <v>18468.599999999999</v>
      </c>
      <c r="F1449" s="24">
        <f>F1450+F1457</f>
        <v>0</v>
      </c>
      <c r="G1449" s="24">
        <f t="shared" si="366"/>
        <v>18468.599999999999</v>
      </c>
      <c r="H1449" s="24">
        <f>H1450+H1457</f>
        <v>0</v>
      </c>
      <c r="I1449" s="24">
        <f t="shared" si="354"/>
        <v>18468.599999999999</v>
      </c>
      <c r="J1449" s="24">
        <f>J1450+J1457</f>
        <v>0</v>
      </c>
      <c r="K1449" s="24">
        <f t="shared" si="355"/>
        <v>18468.599999999999</v>
      </c>
      <c r="L1449" s="24">
        <f>L1450+L1457</f>
        <v>0</v>
      </c>
      <c r="M1449" s="24">
        <f t="shared" si="356"/>
        <v>18468.599999999999</v>
      </c>
      <c r="N1449" s="24">
        <f>N1450+N1457</f>
        <v>1035.9000000000001</v>
      </c>
      <c r="O1449" s="24">
        <f t="shared" si="357"/>
        <v>19504.5</v>
      </c>
      <c r="P1449" s="24">
        <f>P1450+P1457</f>
        <v>0</v>
      </c>
      <c r="Q1449" s="24">
        <f t="shared" si="373"/>
        <v>19504.5</v>
      </c>
      <c r="R1449" s="24">
        <f>R1450+R1457</f>
        <v>0</v>
      </c>
      <c r="S1449" s="24">
        <f t="shared" si="368"/>
        <v>19504.5</v>
      </c>
      <c r="T1449" s="24">
        <f>T1450+T1457</f>
        <v>0</v>
      </c>
      <c r="U1449" s="24">
        <f t="shared" si="374"/>
        <v>19504.5</v>
      </c>
      <c r="V1449" s="24">
        <f>V1450+V1457</f>
        <v>0</v>
      </c>
      <c r="W1449" s="24">
        <f t="shared" si="369"/>
        <v>19504.5</v>
      </c>
      <c r="X1449" s="24">
        <f>X1450+X1457</f>
        <v>0</v>
      </c>
      <c r="Y1449" s="24">
        <f t="shared" si="335"/>
        <v>19504.5</v>
      </c>
      <c r="Z1449" s="189"/>
    </row>
    <row r="1450" spans="1:27" s="6" customFormat="1" x14ac:dyDescent="0.25">
      <c r="A1450" s="22" t="s">
        <v>75</v>
      </c>
      <c r="B1450" s="23" t="s">
        <v>373</v>
      </c>
      <c r="C1450" s="23" t="s">
        <v>76</v>
      </c>
      <c r="D1450" s="23" t="s">
        <v>2</v>
      </c>
      <c r="E1450" s="24">
        <f t="shared" ref="E1450:X1452" si="377">E1451</f>
        <v>7840.9</v>
      </c>
      <c r="F1450" s="24">
        <f t="shared" si="377"/>
        <v>0</v>
      </c>
      <c r="G1450" s="24">
        <f t="shared" si="366"/>
        <v>7840.9</v>
      </c>
      <c r="H1450" s="24">
        <f t="shared" si="377"/>
        <v>0</v>
      </c>
      <c r="I1450" s="24">
        <f t="shared" si="354"/>
        <v>7840.9</v>
      </c>
      <c r="J1450" s="24">
        <f t="shared" si="377"/>
        <v>0</v>
      </c>
      <c r="K1450" s="24">
        <f t="shared" si="355"/>
        <v>7840.9</v>
      </c>
      <c r="L1450" s="24">
        <f t="shared" si="377"/>
        <v>0</v>
      </c>
      <c r="M1450" s="24">
        <f t="shared" si="356"/>
        <v>7840.9</v>
      </c>
      <c r="N1450" s="24">
        <f t="shared" si="377"/>
        <v>0</v>
      </c>
      <c r="O1450" s="24">
        <f t="shared" si="357"/>
        <v>7840.9</v>
      </c>
      <c r="P1450" s="24">
        <f t="shared" si="377"/>
        <v>0</v>
      </c>
      <c r="Q1450" s="24">
        <f t="shared" si="373"/>
        <v>7840.9</v>
      </c>
      <c r="R1450" s="24">
        <f t="shared" si="377"/>
        <v>0</v>
      </c>
      <c r="S1450" s="24">
        <f t="shared" si="368"/>
        <v>7840.9</v>
      </c>
      <c r="T1450" s="24">
        <f t="shared" si="377"/>
        <v>0</v>
      </c>
      <c r="U1450" s="24">
        <f t="shared" si="374"/>
        <v>7840.9</v>
      </c>
      <c r="V1450" s="24">
        <f t="shared" si="377"/>
        <v>0</v>
      </c>
      <c r="W1450" s="24">
        <f t="shared" si="369"/>
        <v>7840.9</v>
      </c>
      <c r="X1450" s="24">
        <f t="shared" si="377"/>
        <v>0</v>
      </c>
      <c r="Y1450" s="24">
        <f t="shared" si="335"/>
        <v>7840.9</v>
      </c>
      <c r="Z1450" s="189"/>
    </row>
    <row r="1451" spans="1:27" s="6" customFormat="1" ht="24.75" x14ac:dyDescent="0.25">
      <c r="A1451" s="22" t="s">
        <v>360</v>
      </c>
      <c r="B1451" s="23" t="s">
        <v>373</v>
      </c>
      <c r="C1451" s="23" t="s">
        <v>361</v>
      </c>
      <c r="D1451" s="23" t="s">
        <v>2</v>
      </c>
      <c r="E1451" s="24">
        <f t="shared" si="377"/>
        <v>7840.9</v>
      </c>
      <c r="F1451" s="24">
        <f t="shared" si="377"/>
        <v>0</v>
      </c>
      <c r="G1451" s="24">
        <f t="shared" si="366"/>
        <v>7840.9</v>
      </c>
      <c r="H1451" s="24">
        <f t="shared" si="377"/>
        <v>0</v>
      </c>
      <c r="I1451" s="24">
        <f t="shared" si="354"/>
        <v>7840.9</v>
      </c>
      <c r="J1451" s="24">
        <f t="shared" si="377"/>
        <v>0</v>
      </c>
      <c r="K1451" s="24">
        <f t="shared" si="355"/>
        <v>7840.9</v>
      </c>
      <c r="L1451" s="24">
        <f t="shared" si="377"/>
        <v>0</v>
      </c>
      <c r="M1451" s="24">
        <f t="shared" si="356"/>
        <v>7840.9</v>
      </c>
      <c r="N1451" s="24">
        <f t="shared" si="377"/>
        <v>0</v>
      </c>
      <c r="O1451" s="24">
        <f t="shared" si="357"/>
        <v>7840.9</v>
      </c>
      <c r="P1451" s="24">
        <f t="shared" si="377"/>
        <v>0</v>
      </c>
      <c r="Q1451" s="24">
        <f t="shared" si="373"/>
        <v>7840.9</v>
      </c>
      <c r="R1451" s="24">
        <f t="shared" si="377"/>
        <v>0</v>
      </c>
      <c r="S1451" s="24">
        <f t="shared" si="368"/>
        <v>7840.9</v>
      </c>
      <c r="T1451" s="24">
        <f t="shared" si="377"/>
        <v>0</v>
      </c>
      <c r="U1451" s="24">
        <f t="shared" si="374"/>
        <v>7840.9</v>
      </c>
      <c r="V1451" s="24">
        <f t="shared" si="377"/>
        <v>0</v>
      </c>
      <c r="W1451" s="24">
        <f t="shared" si="369"/>
        <v>7840.9</v>
      </c>
      <c r="X1451" s="24">
        <f t="shared" si="377"/>
        <v>0</v>
      </c>
      <c r="Y1451" s="24">
        <f t="shared" si="335"/>
        <v>7840.9</v>
      </c>
      <c r="Z1451" s="189"/>
    </row>
    <row r="1452" spans="1:27" x14ac:dyDescent="0.25">
      <c r="A1452" s="22" t="s">
        <v>374</v>
      </c>
      <c r="B1452" s="23" t="s">
        <v>373</v>
      </c>
      <c r="C1452" s="23" t="s">
        <v>375</v>
      </c>
      <c r="D1452" s="23" t="s">
        <v>2</v>
      </c>
      <c r="E1452" s="24">
        <f t="shared" si="377"/>
        <v>7840.9</v>
      </c>
      <c r="F1452" s="24">
        <f t="shared" si="377"/>
        <v>0</v>
      </c>
      <c r="G1452" s="24">
        <f t="shared" si="366"/>
        <v>7840.9</v>
      </c>
      <c r="H1452" s="24">
        <f t="shared" si="377"/>
        <v>0</v>
      </c>
      <c r="I1452" s="24">
        <f t="shared" si="354"/>
        <v>7840.9</v>
      </c>
      <c r="J1452" s="24">
        <f t="shared" si="377"/>
        <v>0</v>
      </c>
      <c r="K1452" s="24">
        <f t="shared" si="355"/>
        <v>7840.9</v>
      </c>
      <c r="L1452" s="24">
        <f t="shared" si="377"/>
        <v>0</v>
      </c>
      <c r="M1452" s="24">
        <f t="shared" si="356"/>
        <v>7840.9</v>
      </c>
      <c r="N1452" s="24">
        <f t="shared" si="377"/>
        <v>0</v>
      </c>
      <c r="O1452" s="24">
        <f t="shared" si="357"/>
        <v>7840.9</v>
      </c>
      <c r="P1452" s="24">
        <f t="shared" si="377"/>
        <v>0</v>
      </c>
      <c r="Q1452" s="24">
        <f t="shared" si="373"/>
        <v>7840.9</v>
      </c>
      <c r="R1452" s="24">
        <f t="shared" si="377"/>
        <v>0</v>
      </c>
      <c r="S1452" s="24">
        <f t="shared" si="368"/>
        <v>7840.9</v>
      </c>
      <c r="T1452" s="24">
        <f t="shared" si="377"/>
        <v>0</v>
      </c>
      <c r="U1452" s="24">
        <f t="shared" si="374"/>
        <v>7840.9</v>
      </c>
      <c r="V1452" s="24">
        <f t="shared" si="377"/>
        <v>0</v>
      </c>
      <c r="W1452" s="24">
        <f t="shared" si="369"/>
        <v>7840.9</v>
      </c>
      <c r="X1452" s="24">
        <f t="shared" si="377"/>
        <v>0</v>
      </c>
      <c r="Y1452" s="24">
        <f t="shared" si="335"/>
        <v>7840.9</v>
      </c>
    </row>
    <row r="1453" spans="1:27" s="6" customFormat="1" ht="36.75" x14ac:dyDescent="0.25">
      <c r="A1453" s="22" t="s">
        <v>376</v>
      </c>
      <c r="B1453" s="23" t="s">
        <v>373</v>
      </c>
      <c r="C1453" s="23" t="s">
        <v>377</v>
      </c>
      <c r="D1453" s="23" t="s">
        <v>2</v>
      </c>
      <c r="E1453" s="24">
        <f>E1454+E1455+E1456</f>
        <v>7840.9</v>
      </c>
      <c r="F1453" s="24">
        <f>F1454+F1455+F1456</f>
        <v>0</v>
      </c>
      <c r="G1453" s="24">
        <f t="shared" si="366"/>
        <v>7840.9</v>
      </c>
      <c r="H1453" s="24">
        <f>H1454+H1455+H1456</f>
        <v>0</v>
      </c>
      <c r="I1453" s="24">
        <f t="shared" si="354"/>
        <v>7840.9</v>
      </c>
      <c r="J1453" s="24">
        <f>J1454+J1455+J1456</f>
        <v>0</v>
      </c>
      <c r="K1453" s="24">
        <f t="shared" si="355"/>
        <v>7840.9</v>
      </c>
      <c r="L1453" s="24">
        <f>L1454+L1455+L1456</f>
        <v>0</v>
      </c>
      <c r="M1453" s="24">
        <f t="shared" si="356"/>
        <v>7840.9</v>
      </c>
      <c r="N1453" s="24">
        <f>N1454+N1455+N1456</f>
        <v>0</v>
      </c>
      <c r="O1453" s="24">
        <f t="shared" si="357"/>
        <v>7840.9</v>
      </c>
      <c r="P1453" s="24">
        <f>P1454+P1455+P1456</f>
        <v>0</v>
      </c>
      <c r="Q1453" s="24">
        <f t="shared" si="373"/>
        <v>7840.9</v>
      </c>
      <c r="R1453" s="24">
        <f>R1454+R1455+R1456</f>
        <v>0</v>
      </c>
      <c r="S1453" s="24">
        <f t="shared" si="368"/>
        <v>7840.9</v>
      </c>
      <c r="T1453" s="24">
        <f>T1454+T1455+T1456</f>
        <v>0</v>
      </c>
      <c r="U1453" s="24">
        <f t="shared" si="374"/>
        <v>7840.9</v>
      </c>
      <c r="V1453" s="24">
        <f>V1454+V1455+V1456</f>
        <v>0</v>
      </c>
      <c r="W1453" s="24">
        <f t="shared" si="369"/>
        <v>7840.9</v>
      </c>
      <c r="X1453" s="24">
        <f>X1454+X1455+X1456</f>
        <v>0</v>
      </c>
      <c r="Y1453" s="24">
        <f t="shared" si="335"/>
        <v>7840.9</v>
      </c>
      <c r="Z1453" s="189"/>
    </row>
    <row r="1454" spans="1:27" s="6" customFormat="1" ht="24.75" x14ac:dyDescent="0.25">
      <c r="A1454" s="25" t="s">
        <v>563</v>
      </c>
      <c r="B1454" s="26" t="s">
        <v>373</v>
      </c>
      <c r="C1454" s="26" t="s">
        <v>377</v>
      </c>
      <c r="D1454" s="26" t="s">
        <v>315</v>
      </c>
      <c r="E1454" s="27">
        <v>1500</v>
      </c>
      <c r="F1454" s="27"/>
      <c r="G1454" s="24">
        <f t="shared" si="366"/>
        <v>1500</v>
      </c>
      <c r="H1454" s="27"/>
      <c r="I1454" s="24">
        <f t="shared" si="354"/>
        <v>1500</v>
      </c>
      <c r="J1454" s="27"/>
      <c r="K1454" s="24">
        <f t="shared" si="355"/>
        <v>1500</v>
      </c>
      <c r="L1454" s="27"/>
      <c r="M1454" s="24">
        <f t="shared" si="356"/>
        <v>1500</v>
      </c>
      <c r="N1454" s="120">
        <v>-1496.6</v>
      </c>
      <c r="O1454" s="24">
        <f t="shared" si="357"/>
        <v>3.4000000000000909</v>
      </c>
      <c r="P1454" s="69"/>
      <c r="Q1454" s="24">
        <f t="shared" si="373"/>
        <v>3.4000000000000909</v>
      </c>
      <c r="R1454" s="69"/>
      <c r="S1454" s="24">
        <f t="shared" si="368"/>
        <v>3.4000000000000909</v>
      </c>
      <c r="T1454" s="125">
        <v>64</v>
      </c>
      <c r="U1454" s="24">
        <f t="shared" si="374"/>
        <v>67.400000000000091</v>
      </c>
      <c r="V1454" s="69"/>
      <c r="W1454" s="24">
        <f t="shared" si="369"/>
        <v>67.400000000000091</v>
      </c>
      <c r="X1454" s="69"/>
      <c r="Y1454" s="24">
        <f t="shared" si="335"/>
        <v>67.400000000000091</v>
      </c>
      <c r="Z1454" s="189"/>
      <c r="AA1454" s="189">
        <f t="shared" ref="AA1454:AA1456" si="378">Y1454+Z1454</f>
        <v>67.400000000000091</v>
      </c>
    </row>
    <row r="1455" spans="1:27" s="6" customFormat="1" x14ac:dyDescent="0.25">
      <c r="A1455" s="25" t="s">
        <v>574</v>
      </c>
      <c r="B1455" s="26" t="s">
        <v>373</v>
      </c>
      <c r="C1455" s="26" t="s">
        <v>377</v>
      </c>
      <c r="D1455" s="26" t="s">
        <v>81</v>
      </c>
      <c r="E1455" s="27">
        <v>5762.9</v>
      </c>
      <c r="F1455" s="27"/>
      <c r="G1455" s="24">
        <f t="shared" si="366"/>
        <v>5762.9</v>
      </c>
      <c r="H1455" s="27"/>
      <c r="I1455" s="24">
        <f t="shared" si="354"/>
        <v>5762.9</v>
      </c>
      <c r="J1455" s="27"/>
      <c r="K1455" s="24">
        <f t="shared" si="355"/>
        <v>5762.9</v>
      </c>
      <c r="L1455" s="27"/>
      <c r="M1455" s="24">
        <f t="shared" si="356"/>
        <v>5762.9</v>
      </c>
      <c r="N1455" s="120">
        <v>1361.3</v>
      </c>
      <c r="O1455" s="24">
        <f t="shared" si="357"/>
        <v>7124.2</v>
      </c>
      <c r="P1455" s="69"/>
      <c r="Q1455" s="24">
        <f t="shared" si="373"/>
        <v>7124.2</v>
      </c>
      <c r="R1455" s="69"/>
      <c r="S1455" s="24">
        <f t="shared" si="368"/>
        <v>7124.2</v>
      </c>
      <c r="T1455" s="125">
        <v>-64</v>
      </c>
      <c r="U1455" s="24">
        <f t="shared" si="374"/>
        <v>7060.2</v>
      </c>
      <c r="V1455" s="69"/>
      <c r="W1455" s="24">
        <f t="shared" si="369"/>
        <v>7060.2</v>
      </c>
      <c r="X1455" s="69"/>
      <c r="Y1455" s="24">
        <f t="shared" si="335"/>
        <v>7060.2</v>
      </c>
      <c r="Z1455" s="189"/>
      <c r="AA1455" s="189">
        <f t="shared" si="378"/>
        <v>7060.2</v>
      </c>
    </row>
    <row r="1456" spans="1:27" s="6" customFormat="1" x14ac:dyDescent="0.25">
      <c r="A1456" s="25" t="s">
        <v>321</v>
      </c>
      <c r="B1456" s="26" t="s">
        <v>373</v>
      </c>
      <c r="C1456" s="26" t="s">
        <v>377</v>
      </c>
      <c r="D1456" s="26" t="s">
        <v>322</v>
      </c>
      <c r="E1456" s="27">
        <v>578</v>
      </c>
      <c r="F1456" s="27"/>
      <c r="G1456" s="24">
        <f t="shared" si="366"/>
        <v>578</v>
      </c>
      <c r="H1456" s="27"/>
      <c r="I1456" s="24">
        <f t="shared" si="354"/>
        <v>578</v>
      </c>
      <c r="J1456" s="27"/>
      <c r="K1456" s="24">
        <f t="shared" si="355"/>
        <v>578</v>
      </c>
      <c r="L1456" s="27"/>
      <c r="M1456" s="24">
        <f t="shared" si="356"/>
        <v>578</v>
      </c>
      <c r="N1456" s="120">
        <v>135.30000000000001</v>
      </c>
      <c r="O1456" s="24">
        <f t="shared" si="357"/>
        <v>713.3</v>
      </c>
      <c r="P1456" s="69"/>
      <c r="Q1456" s="24">
        <f t="shared" si="373"/>
        <v>713.3</v>
      </c>
      <c r="R1456" s="69"/>
      <c r="S1456" s="24">
        <f t="shared" si="368"/>
        <v>713.3</v>
      </c>
      <c r="T1456" s="69"/>
      <c r="U1456" s="24">
        <f t="shared" si="374"/>
        <v>713.3</v>
      </c>
      <c r="V1456" s="69"/>
      <c r="W1456" s="24">
        <f t="shared" si="369"/>
        <v>713.3</v>
      </c>
      <c r="X1456" s="69"/>
      <c r="Y1456" s="24">
        <f t="shared" si="335"/>
        <v>713.3</v>
      </c>
      <c r="Z1456" s="189"/>
      <c r="AA1456" s="189">
        <f t="shared" si="378"/>
        <v>713.3</v>
      </c>
    </row>
    <row r="1457" spans="1:27" s="6" customFormat="1" ht="24.75" x14ac:dyDescent="0.25">
      <c r="A1457" s="22" t="s">
        <v>600</v>
      </c>
      <c r="B1457" s="23" t="s">
        <v>373</v>
      </c>
      <c r="C1457" s="23" t="s">
        <v>378</v>
      </c>
      <c r="D1457" s="23" t="s">
        <v>2</v>
      </c>
      <c r="E1457" s="24">
        <f>E1458+E1461</f>
        <v>10627.7</v>
      </c>
      <c r="F1457" s="24">
        <f>F1458+F1461</f>
        <v>0</v>
      </c>
      <c r="G1457" s="24">
        <f t="shared" si="366"/>
        <v>10627.7</v>
      </c>
      <c r="H1457" s="24">
        <f>H1458+H1461</f>
        <v>0</v>
      </c>
      <c r="I1457" s="24">
        <f t="shared" si="354"/>
        <v>10627.7</v>
      </c>
      <c r="J1457" s="24">
        <f>J1458+J1461</f>
        <v>0</v>
      </c>
      <c r="K1457" s="24">
        <f t="shared" si="355"/>
        <v>10627.7</v>
      </c>
      <c r="L1457" s="24">
        <f>L1458+L1461</f>
        <v>0</v>
      </c>
      <c r="M1457" s="24">
        <f t="shared" si="356"/>
        <v>10627.7</v>
      </c>
      <c r="N1457" s="24">
        <f>N1458+N1461</f>
        <v>1035.9000000000001</v>
      </c>
      <c r="O1457" s="24">
        <f t="shared" si="357"/>
        <v>11663.6</v>
      </c>
      <c r="P1457" s="24">
        <f>P1458+P1461</f>
        <v>0</v>
      </c>
      <c r="Q1457" s="24">
        <f t="shared" si="373"/>
        <v>11663.6</v>
      </c>
      <c r="R1457" s="24">
        <f>R1458+R1461</f>
        <v>0</v>
      </c>
      <c r="S1457" s="24">
        <f t="shared" si="368"/>
        <v>11663.6</v>
      </c>
      <c r="T1457" s="24">
        <f>T1458+T1461</f>
        <v>0</v>
      </c>
      <c r="U1457" s="24">
        <f t="shared" si="374"/>
        <v>11663.6</v>
      </c>
      <c r="V1457" s="24">
        <f>V1458+V1461</f>
        <v>0</v>
      </c>
      <c r="W1457" s="24">
        <f t="shared" si="369"/>
        <v>11663.6</v>
      </c>
      <c r="X1457" s="24">
        <f>X1458+X1461</f>
        <v>0</v>
      </c>
      <c r="Y1457" s="24">
        <f t="shared" si="335"/>
        <v>11663.6</v>
      </c>
      <c r="Z1457" s="189"/>
    </row>
    <row r="1458" spans="1:27" ht="24.75" x14ac:dyDescent="0.25">
      <c r="A1458" s="22" t="s">
        <v>601</v>
      </c>
      <c r="B1458" s="23" t="s">
        <v>373</v>
      </c>
      <c r="C1458" s="23" t="s">
        <v>379</v>
      </c>
      <c r="D1458" s="23" t="s">
        <v>2</v>
      </c>
      <c r="E1458" s="24">
        <f>E1459</f>
        <v>10055.6</v>
      </c>
      <c r="F1458" s="24">
        <f>F1459</f>
        <v>0</v>
      </c>
      <c r="G1458" s="24">
        <f t="shared" si="366"/>
        <v>10055.6</v>
      </c>
      <c r="H1458" s="24">
        <f>H1459</f>
        <v>0</v>
      </c>
      <c r="I1458" s="24">
        <f t="shared" si="354"/>
        <v>10055.6</v>
      </c>
      <c r="J1458" s="24">
        <f>J1459</f>
        <v>0</v>
      </c>
      <c r="K1458" s="24">
        <f t="shared" si="355"/>
        <v>10055.6</v>
      </c>
      <c r="L1458" s="24">
        <f>L1459</f>
        <v>0</v>
      </c>
      <c r="M1458" s="24">
        <f t="shared" si="356"/>
        <v>10055.6</v>
      </c>
      <c r="N1458" s="24">
        <f>N1459</f>
        <v>0</v>
      </c>
      <c r="O1458" s="24">
        <f t="shared" si="357"/>
        <v>10055.6</v>
      </c>
      <c r="P1458" s="24">
        <f>P1459</f>
        <v>0</v>
      </c>
      <c r="Q1458" s="24">
        <f t="shared" si="373"/>
        <v>10055.6</v>
      </c>
      <c r="R1458" s="24">
        <f>R1459</f>
        <v>0</v>
      </c>
      <c r="S1458" s="24">
        <f t="shared" si="368"/>
        <v>10055.6</v>
      </c>
      <c r="T1458" s="24">
        <f>T1459</f>
        <v>0</v>
      </c>
      <c r="U1458" s="24">
        <f t="shared" si="374"/>
        <v>10055.6</v>
      </c>
      <c r="V1458" s="24">
        <f>V1459</f>
        <v>0</v>
      </c>
      <c r="W1458" s="24">
        <f t="shared" si="369"/>
        <v>10055.6</v>
      </c>
      <c r="X1458" s="24">
        <f>X1459</f>
        <v>0</v>
      </c>
      <c r="Y1458" s="24">
        <f t="shared" si="335"/>
        <v>10055.6</v>
      </c>
    </row>
    <row r="1459" spans="1:27" ht="36.75" x14ac:dyDescent="0.25">
      <c r="A1459" s="22" t="s">
        <v>37</v>
      </c>
      <c r="B1459" s="23" t="s">
        <v>373</v>
      </c>
      <c r="C1459" s="23" t="s">
        <v>380</v>
      </c>
      <c r="D1459" s="23" t="s">
        <v>2</v>
      </c>
      <c r="E1459" s="24">
        <f>E1460</f>
        <v>10055.6</v>
      </c>
      <c r="F1459" s="24">
        <f>F1460</f>
        <v>0</v>
      </c>
      <c r="G1459" s="24">
        <f t="shared" si="366"/>
        <v>10055.6</v>
      </c>
      <c r="H1459" s="24">
        <f>H1460</f>
        <v>0</v>
      </c>
      <c r="I1459" s="24">
        <f t="shared" si="354"/>
        <v>10055.6</v>
      </c>
      <c r="J1459" s="24">
        <f>J1460</f>
        <v>0</v>
      </c>
      <c r="K1459" s="24">
        <f t="shared" si="355"/>
        <v>10055.6</v>
      </c>
      <c r="L1459" s="24">
        <f>L1460</f>
        <v>0</v>
      </c>
      <c r="M1459" s="24">
        <f t="shared" si="356"/>
        <v>10055.6</v>
      </c>
      <c r="N1459" s="24">
        <f>N1460</f>
        <v>0</v>
      </c>
      <c r="O1459" s="24">
        <f t="shared" si="357"/>
        <v>10055.6</v>
      </c>
      <c r="P1459" s="24">
        <f>P1460</f>
        <v>0</v>
      </c>
      <c r="Q1459" s="24">
        <f t="shared" si="373"/>
        <v>10055.6</v>
      </c>
      <c r="R1459" s="24">
        <f>R1460</f>
        <v>0</v>
      </c>
      <c r="S1459" s="24">
        <f t="shared" si="368"/>
        <v>10055.6</v>
      </c>
      <c r="T1459" s="24">
        <f>T1460</f>
        <v>0</v>
      </c>
      <c r="U1459" s="24">
        <f t="shared" si="374"/>
        <v>10055.6</v>
      </c>
      <c r="V1459" s="24">
        <f>V1460</f>
        <v>0</v>
      </c>
      <c r="W1459" s="24">
        <f t="shared" si="369"/>
        <v>10055.6</v>
      </c>
      <c r="X1459" s="24">
        <f>X1460</f>
        <v>0</v>
      </c>
      <c r="Y1459" s="24">
        <f t="shared" si="335"/>
        <v>10055.6</v>
      </c>
    </row>
    <row r="1460" spans="1:27" ht="36.75" x14ac:dyDescent="0.25">
      <c r="A1460" s="25" t="s">
        <v>573</v>
      </c>
      <c r="B1460" s="26" t="s">
        <v>373</v>
      </c>
      <c r="C1460" s="26" t="s">
        <v>380</v>
      </c>
      <c r="D1460" s="26" t="s">
        <v>83</v>
      </c>
      <c r="E1460" s="27">
        <v>10055.6</v>
      </c>
      <c r="F1460" s="27"/>
      <c r="G1460" s="24">
        <f t="shared" si="366"/>
        <v>10055.6</v>
      </c>
      <c r="H1460" s="27"/>
      <c r="I1460" s="24">
        <f t="shared" si="354"/>
        <v>10055.6</v>
      </c>
      <c r="J1460" s="27"/>
      <c r="K1460" s="24">
        <f t="shared" si="355"/>
        <v>10055.6</v>
      </c>
      <c r="L1460" s="27"/>
      <c r="M1460" s="24">
        <f t="shared" si="356"/>
        <v>10055.6</v>
      </c>
      <c r="N1460" s="27"/>
      <c r="O1460" s="24">
        <f t="shared" si="357"/>
        <v>10055.6</v>
      </c>
      <c r="P1460" s="27"/>
      <c r="Q1460" s="24">
        <f t="shared" si="373"/>
        <v>10055.6</v>
      </c>
      <c r="R1460" s="27"/>
      <c r="S1460" s="24">
        <f t="shared" si="368"/>
        <v>10055.6</v>
      </c>
      <c r="T1460" s="69"/>
      <c r="U1460" s="24">
        <f t="shared" si="374"/>
        <v>10055.6</v>
      </c>
      <c r="V1460" s="69"/>
      <c r="W1460" s="24">
        <f t="shared" si="369"/>
        <v>10055.6</v>
      </c>
      <c r="X1460" s="69"/>
      <c r="Y1460" s="24">
        <f t="shared" si="335"/>
        <v>10055.6</v>
      </c>
      <c r="AA1460" s="189">
        <f>Y1460+Z1460</f>
        <v>10055.6</v>
      </c>
    </row>
    <row r="1461" spans="1:27" s="6" customFormat="1" ht="36.75" x14ac:dyDescent="0.25">
      <c r="A1461" s="22" t="s">
        <v>381</v>
      </c>
      <c r="B1461" s="23" t="s">
        <v>373</v>
      </c>
      <c r="C1461" s="23" t="s">
        <v>382</v>
      </c>
      <c r="D1461" s="23" t="s">
        <v>2</v>
      </c>
      <c r="E1461" s="24">
        <f>E1464</f>
        <v>572.1</v>
      </c>
      <c r="F1461" s="24">
        <f>F1464</f>
        <v>0</v>
      </c>
      <c r="G1461" s="24">
        <f t="shared" si="366"/>
        <v>572.1</v>
      </c>
      <c r="H1461" s="24">
        <f>H1464</f>
        <v>0</v>
      </c>
      <c r="I1461" s="24">
        <f t="shared" si="354"/>
        <v>572.1</v>
      </c>
      <c r="J1461" s="24">
        <f>J1464</f>
        <v>0</v>
      </c>
      <c r="K1461" s="24">
        <f t="shared" si="355"/>
        <v>572.1</v>
      </c>
      <c r="L1461" s="24">
        <f>L1464</f>
        <v>0</v>
      </c>
      <c r="M1461" s="24">
        <f t="shared" si="356"/>
        <v>572.1</v>
      </c>
      <c r="N1461" s="24">
        <f>N1464+N1463</f>
        <v>1035.9000000000001</v>
      </c>
      <c r="O1461" s="24">
        <f t="shared" si="357"/>
        <v>1608</v>
      </c>
      <c r="P1461" s="24">
        <f>P1464+P1463</f>
        <v>0</v>
      </c>
      <c r="Q1461" s="24">
        <f t="shared" si="373"/>
        <v>1608</v>
      </c>
      <c r="R1461" s="24">
        <f>R1464+R1463</f>
        <v>0</v>
      </c>
      <c r="S1461" s="24">
        <f t="shared" si="368"/>
        <v>1608</v>
      </c>
      <c r="T1461" s="24">
        <f>T1464+T1463</f>
        <v>0</v>
      </c>
      <c r="U1461" s="24">
        <f t="shared" si="374"/>
        <v>1608</v>
      </c>
      <c r="V1461" s="24">
        <f>V1464+V1463</f>
        <v>0</v>
      </c>
      <c r="W1461" s="24">
        <f t="shared" si="369"/>
        <v>1608</v>
      </c>
      <c r="X1461" s="24">
        <f>X1464+X1463</f>
        <v>0</v>
      </c>
      <c r="Y1461" s="24">
        <f t="shared" si="335"/>
        <v>1608</v>
      </c>
      <c r="Z1461" s="189"/>
    </row>
    <row r="1462" spans="1:27" s="6" customFormat="1" ht="24.75" x14ac:dyDescent="0.25">
      <c r="A1462" s="22" t="s">
        <v>854</v>
      </c>
      <c r="B1462" s="23" t="s">
        <v>373</v>
      </c>
      <c r="C1462" s="23" t="s">
        <v>853</v>
      </c>
      <c r="D1462" s="23"/>
      <c r="E1462" s="24"/>
      <c r="F1462" s="24"/>
      <c r="G1462" s="24"/>
      <c r="H1462" s="24"/>
      <c r="I1462" s="24"/>
      <c r="J1462" s="24"/>
      <c r="K1462" s="24"/>
      <c r="L1462" s="24"/>
      <c r="M1462" s="24"/>
      <c r="N1462" s="24">
        <f>N1463</f>
        <v>1035.9000000000001</v>
      </c>
      <c r="O1462" s="24">
        <f t="shared" si="357"/>
        <v>1035.9000000000001</v>
      </c>
      <c r="P1462" s="24">
        <f>P1463</f>
        <v>0</v>
      </c>
      <c r="Q1462" s="24">
        <f t="shared" si="373"/>
        <v>1035.9000000000001</v>
      </c>
      <c r="R1462" s="24">
        <f>R1463</f>
        <v>0</v>
      </c>
      <c r="S1462" s="24">
        <f t="shared" si="368"/>
        <v>1035.9000000000001</v>
      </c>
      <c r="T1462" s="24">
        <f>T1463</f>
        <v>0</v>
      </c>
      <c r="U1462" s="24">
        <f t="shared" si="374"/>
        <v>1035.9000000000001</v>
      </c>
      <c r="V1462" s="24">
        <f>V1463</f>
        <v>0</v>
      </c>
      <c r="W1462" s="24">
        <f t="shared" si="369"/>
        <v>1035.9000000000001</v>
      </c>
      <c r="X1462" s="24">
        <f>X1463</f>
        <v>0</v>
      </c>
      <c r="Y1462" s="24">
        <f t="shared" si="335"/>
        <v>1035.9000000000001</v>
      </c>
      <c r="Z1462" s="189"/>
    </row>
    <row r="1463" spans="1:27" s="6" customFormat="1" x14ac:dyDescent="0.25">
      <c r="A1463" s="25" t="s">
        <v>574</v>
      </c>
      <c r="B1463" s="26" t="s">
        <v>373</v>
      </c>
      <c r="C1463" s="26" t="s">
        <v>1419</v>
      </c>
      <c r="D1463" s="26" t="s">
        <v>81</v>
      </c>
      <c r="E1463" s="27"/>
      <c r="F1463" s="27"/>
      <c r="G1463" s="27"/>
      <c r="H1463" s="27"/>
      <c r="I1463" s="27"/>
      <c r="J1463" s="27"/>
      <c r="K1463" s="27"/>
      <c r="L1463" s="27"/>
      <c r="M1463" s="27"/>
      <c r="N1463" s="43">
        <v>1035.9000000000001</v>
      </c>
      <c r="O1463" s="24">
        <f t="shared" si="357"/>
        <v>1035.9000000000001</v>
      </c>
      <c r="P1463" s="69"/>
      <c r="Q1463" s="24">
        <f t="shared" si="373"/>
        <v>1035.9000000000001</v>
      </c>
      <c r="R1463" s="69"/>
      <c r="S1463" s="24">
        <f t="shared" si="368"/>
        <v>1035.9000000000001</v>
      </c>
      <c r="T1463" s="69"/>
      <c r="U1463" s="24">
        <f t="shared" si="374"/>
        <v>1035.9000000000001</v>
      </c>
      <c r="V1463" s="69"/>
      <c r="W1463" s="24">
        <f t="shared" si="369"/>
        <v>1035.9000000000001</v>
      </c>
      <c r="X1463" s="69"/>
      <c r="Y1463" s="24">
        <f t="shared" si="335"/>
        <v>1035.9000000000001</v>
      </c>
      <c r="Z1463" s="189"/>
      <c r="AA1463" s="189">
        <f>Y1463+Z1463</f>
        <v>1035.9000000000001</v>
      </c>
    </row>
    <row r="1464" spans="1:27" ht="36.75" x14ac:dyDescent="0.25">
      <c r="A1464" s="22" t="s">
        <v>383</v>
      </c>
      <c r="B1464" s="23" t="s">
        <v>373</v>
      </c>
      <c r="C1464" s="23" t="s">
        <v>384</v>
      </c>
      <c r="D1464" s="23" t="s">
        <v>2</v>
      </c>
      <c r="E1464" s="24">
        <f>E1465</f>
        <v>572.1</v>
      </c>
      <c r="F1464" s="24">
        <f>F1465</f>
        <v>0</v>
      </c>
      <c r="G1464" s="24">
        <f t="shared" si="366"/>
        <v>572.1</v>
      </c>
      <c r="H1464" s="24">
        <f>H1465</f>
        <v>0</v>
      </c>
      <c r="I1464" s="24">
        <f t="shared" si="354"/>
        <v>572.1</v>
      </c>
      <c r="J1464" s="24">
        <f>J1465</f>
        <v>0</v>
      </c>
      <c r="K1464" s="24">
        <f t="shared" si="355"/>
        <v>572.1</v>
      </c>
      <c r="L1464" s="24">
        <f>L1465</f>
        <v>0</v>
      </c>
      <c r="M1464" s="24">
        <f t="shared" si="356"/>
        <v>572.1</v>
      </c>
      <c r="N1464" s="24">
        <f>N1465</f>
        <v>0</v>
      </c>
      <c r="O1464" s="24">
        <f t="shared" si="357"/>
        <v>572.1</v>
      </c>
      <c r="P1464" s="24">
        <f>P1465</f>
        <v>0</v>
      </c>
      <c r="Q1464" s="24">
        <f t="shared" si="373"/>
        <v>572.1</v>
      </c>
      <c r="R1464" s="24">
        <f>R1465</f>
        <v>0</v>
      </c>
      <c r="S1464" s="24">
        <f t="shared" si="368"/>
        <v>572.1</v>
      </c>
      <c r="T1464" s="24">
        <f>T1465</f>
        <v>0</v>
      </c>
      <c r="U1464" s="24">
        <f t="shared" si="374"/>
        <v>572.1</v>
      </c>
      <c r="V1464" s="24">
        <f>V1465</f>
        <v>0</v>
      </c>
      <c r="W1464" s="24">
        <f t="shared" si="369"/>
        <v>572.1</v>
      </c>
      <c r="X1464" s="24">
        <f>X1465</f>
        <v>0</v>
      </c>
      <c r="Y1464" s="24">
        <f t="shared" si="335"/>
        <v>572.1</v>
      </c>
    </row>
    <row r="1465" spans="1:27" s="6" customFormat="1" ht="30.75" customHeight="1" x14ac:dyDescent="0.25">
      <c r="A1465" s="25" t="s">
        <v>574</v>
      </c>
      <c r="B1465" s="26" t="s">
        <v>373</v>
      </c>
      <c r="C1465" s="26" t="s">
        <v>384</v>
      </c>
      <c r="D1465" s="26" t="s">
        <v>81</v>
      </c>
      <c r="E1465" s="27">
        <v>572.1</v>
      </c>
      <c r="F1465" s="27"/>
      <c r="G1465" s="24">
        <f t="shared" si="366"/>
        <v>572.1</v>
      </c>
      <c r="H1465" s="27"/>
      <c r="I1465" s="24">
        <f t="shared" si="354"/>
        <v>572.1</v>
      </c>
      <c r="J1465" s="27"/>
      <c r="K1465" s="24">
        <f t="shared" si="355"/>
        <v>572.1</v>
      </c>
      <c r="L1465" s="27"/>
      <c r="M1465" s="24">
        <f t="shared" si="356"/>
        <v>572.1</v>
      </c>
      <c r="N1465" s="27"/>
      <c r="O1465" s="24">
        <f t="shared" si="357"/>
        <v>572.1</v>
      </c>
      <c r="P1465" s="27"/>
      <c r="Q1465" s="24">
        <f t="shared" si="373"/>
        <v>572.1</v>
      </c>
      <c r="R1465" s="27"/>
      <c r="S1465" s="24">
        <f t="shared" si="368"/>
        <v>572.1</v>
      </c>
      <c r="T1465" s="69"/>
      <c r="U1465" s="24">
        <f t="shared" si="374"/>
        <v>572.1</v>
      </c>
      <c r="V1465" s="69"/>
      <c r="W1465" s="24">
        <f t="shared" si="369"/>
        <v>572.1</v>
      </c>
      <c r="X1465" s="69"/>
      <c r="Y1465" s="24">
        <f t="shared" si="335"/>
        <v>572.1</v>
      </c>
      <c r="Z1465" s="189"/>
      <c r="AA1465" s="189">
        <f>Y1465+Z1465</f>
        <v>572.1</v>
      </c>
    </row>
    <row r="1466" spans="1:27" s="6" customFormat="1" ht="24" customHeight="1" x14ac:dyDescent="0.25">
      <c r="A1466" s="22" t="s">
        <v>385</v>
      </c>
      <c r="B1466" s="23" t="s">
        <v>386</v>
      </c>
      <c r="C1466" s="23" t="s">
        <v>2</v>
      </c>
      <c r="D1466" s="23" t="s">
        <v>2</v>
      </c>
      <c r="E1466" s="24">
        <f>E1467+E1540+E1548+E1553+E1557+E1563</f>
        <v>73428.3</v>
      </c>
      <c r="F1466" s="24">
        <f>F1467+F1540+F1548+F1553+F1557+F1563</f>
        <v>0</v>
      </c>
      <c r="G1466" s="24">
        <f t="shared" si="366"/>
        <v>73428.3</v>
      </c>
      <c r="H1466" s="24">
        <f>H1467+H1540+H1548+H1553+H1557+H1563</f>
        <v>0</v>
      </c>
      <c r="I1466" s="24">
        <f t="shared" si="354"/>
        <v>73428.3</v>
      </c>
      <c r="J1466" s="24">
        <f>J1467+J1540+J1548+J1553+J1557+J1563</f>
        <v>46679.3</v>
      </c>
      <c r="K1466" s="24">
        <f t="shared" si="355"/>
        <v>120107.6</v>
      </c>
      <c r="L1466" s="24">
        <f>L1467+L1540+L1548+L1553+L1557+L1563</f>
        <v>3116.7999999999997</v>
      </c>
      <c r="M1466" s="24">
        <f t="shared" si="356"/>
        <v>123224.40000000001</v>
      </c>
      <c r="N1466" s="24">
        <f>N1467+N1540+N1548+N1553+N1557+N1563</f>
        <v>-3666.6000000000004</v>
      </c>
      <c r="O1466" s="24">
        <f t="shared" si="357"/>
        <v>119557.8</v>
      </c>
      <c r="P1466" s="24">
        <f>P1467+P1540+P1548+P1553+P1557+P1563</f>
        <v>19217.7</v>
      </c>
      <c r="Q1466" s="24">
        <f t="shared" si="373"/>
        <v>138775.5</v>
      </c>
      <c r="R1466" s="24">
        <f>R1467+R1540+R1548+R1553+R1557+R1563</f>
        <v>191.10000000000002</v>
      </c>
      <c r="S1466" s="24">
        <f t="shared" si="368"/>
        <v>138966.6</v>
      </c>
      <c r="T1466" s="24">
        <f>T1467+T1540+T1548+T1553+T1557+T1563</f>
        <v>6245</v>
      </c>
      <c r="U1466" s="24">
        <f t="shared" si="374"/>
        <v>145211.6</v>
      </c>
      <c r="V1466" s="24">
        <f>V1467+V1540+V1548+V1553+V1557+V1563</f>
        <v>-783.69999999999993</v>
      </c>
      <c r="W1466" s="24">
        <f t="shared" si="369"/>
        <v>144427.9</v>
      </c>
      <c r="X1466" s="24">
        <f>X1467+X1540+X1548+X1553+X1557+X1563</f>
        <v>440.69999999999993</v>
      </c>
      <c r="Y1466" s="24">
        <f t="shared" si="335"/>
        <v>144868.6</v>
      </c>
      <c r="Z1466" s="189"/>
    </row>
    <row r="1467" spans="1:27" s="114" customFormat="1" ht="15.75" customHeight="1" x14ac:dyDescent="0.25">
      <c r="A1467" s="22" t="s">
        <v>75</v>
      </c>
      <c r="B1467" s="23" t="s">
        <v>386</v>
      </c>
      <c r="C1467" s="23" t="s">
        <v>76</v>
      </c>
      <c r="D1467" s="23" t="s">
        <v>2</v>
      </c>
      <c r="E1467" s="24">
        <f>E1468+E1483+E1499</f>
        <v>72103.3</v>
      </c>
      <c r="F1467" s="24">
        <f>F1468+F1483+F1499</f>
        <v>0</v>
      </c>
      <c r="G1467" s="24">
        <f t="shared" si="366"/>
        <v>72103.3</v>
      </c>
      <c r="H1467" s="24">
        <f>H1468+H1483+H1499</f>
        <v>0</v>
      </c>
      <c r="I1467" s="24">
        <f t="shared" si="354"/>
        <v>72103.3</v>
      </c>
      <c r="J1467" s="24">
        <f>J1468+J1483+J1499</f>
        <v>46679.3</v>
      </c>
      <c r="K1467" s="24">
        <f t="shared" si="355"/>
        <v>118782.6</v>
      </c>
      <c r="L1467" s="24">
        <f>L1468+L1483+L1499</f>
        <v>3116.7999999999997</v>
      </c>
      <c r="M1467" s="24">
        <f t="shared" si="356"/>
        <v>121899.40000000001</v>
      </c>
      <c r="N1467" s="24">
        <f>N1468+N1483+N1499</f>
        <v>-3666.6000000000004</v>
      </c>
      <c r="O1467" s="24">
        <f t="shared" si="357"/>
        <v>118232.8</v>
      </c>
      <c r="P1467" s="24">
        <f>P1468+P1483+P1499</f>
        <v>19217.7</v>
      </c>
      <c r="Q1467" s="24">
        <f t="shared" si="373"/>
        <v>137450.5</v>
      </c>
      <c r="R1467" s="24">
        <f>R1468+R1483+R1499</f>
        <v>191.10000000000002</v>
      </c>
      <c r="S1467" s="24">
        <f t="shared" si="368"/>
        <v>137641.60000000001</v>
      </c>
      <c r="T1467" s="24">
        <f>T1468+T1483+T1499+T1495</f>
        <v>6245</v>
      </c>
      <c r="U1467" s="24">
        <f t="shared" si="374"/>
        <v>143886.6</v>
      </c>
      <c r="V1467" s="24">
        <f>V1468+V1483+V1499+V1495</f>
        <v>-409.79999999999995</v>
      </c>
      <c r="W1467" s="24">
        <f t="shared" si="369"/>
        <v>143476.80000000002</v>
      </c>
      <c r="X1467" s="24">
        <f>X1468+X1483+X1499+X1495</f>
        <v>440.69999999999993</v>
      </c>
      <c r="Y1467" s="24">
        <f t="shared" si="335"/>
        <v>143917.50000000003</v>
      </c>
      <c r="Z1467" s="193"/>
    </row>
    <row r="1468" spans="1:27" s="6" customFormat="1" ht="29.25" customHeight="1" x14ac:dyDescent="0.25">
      <c r="A1468" s="22" t="s">
        <v>300</v>
      </c>
      <c r="B1468" s="23" t="s">
        <v>386</v>
      </c>
      <c r="C1468" s="23" t="s">
        <v>301</v>
      </c>
      <c r="D1468" s="23" t="s">
        <v>2</v>
      </c>
      <c r="E1468" s="24">
        <f>E1469+E1480</f>
        <v>420</v>
      </c>
      <c r="F1468" s="24">
        <f>F1469+F1480</f>
        <v>0</v>
      </c>
      <c r="G1468" s="24">
        <f t="shared" si="366"/>
        <v>420</v>
      </c>
      <c r="H1468" s="24">
        <f>H1469+H1480</f>
        <v>0</v>
      </c>
      <c r="I1468" s="24">
        <f t="shared" si="354"/>
        <v>420</v>
      </c>
      <c r="J1468" s="24">
        <f>J1469+J1480</f>
        <v>0</v>
      </c>
      <c r="K1468" s="24">
        <f t="shared" si="355"/>
        <v>420</v>
      </c>
      <c r="L1468" s="24">
        <f>L1469+L1480</f>
        <v>2350.1999999999998</v>
      </c>
      <c r="M1468" s="24">
        <f t="shared" si="356"/>
        <v>2770.2</v>
      </c>
      <c r="N1468" s="24">
        <f>N1469+N1480</f>
        <v>0</v>
      </c>
      <c r="O1468" s="24">
        <f t="shared" si="357"/>
        <v>2770.2</v>
      </c>
      <c r="P1468" s="24">
        <f>P1469+P1480</f>
        <v>0</v>
      </c>
      <c r="Q1468" s="24">
        <f t="shared" si="373"/>
        <v>2770.2</v>
      </c>
      <c r="R1468" s="24">
        <f>R1469+R1480</f>
        <v>0</v>
      </c>
      <c r="S1468" s="24">
        <f t="shared" si="368"/>
        <v>2770.2</v>
      </c>
      <c r="T1468" s="24">
        <f>T1469+T1480</f>
        <v>-35</v>
      </c>
      <c r="U1468" s="24">
        <f t="shared" si="374"/>
        <v>2735.2</v>
      </c>
      <c r="V1468" s="24">
        <f>V1469+V1480</f>
        <v>-25.5</v>
      </c>
      <c r="W1468" s="24">
        <f t="shared" si="369"/>
        <v>2709.7</v>
      </c>
      <c r="X1468" s="24">
        <f>X1469+X1480</f>
        <v>335.6</v>
      </c>
      <c r="Y1468" s="24">
        <f t="shared" si="335"/>
        <v>3045.2999999999997</v>
      </c>
      <c r="Z1468" s="189"/>
    </row>
    <row r="1469" spans="1:27" x14ac:dyDescent="0.25">
      <c r="A1469" s="22" t="s">
        <v>330</v>
      </c>
      <c r="B1469" s="23" t="s">
        <v>386</v>
      </c>
      <c r="C1469" s="23" t="s">
        <v>331</v>
      </c>
      <c r="D1469" s="23" t="s">
        <v>2</v>
      </c>
      <c r="E1469" s="24">
        <f>E1473+E1477</f>
        <v>400</v>
      </c>
      <c r="F1469" s="24">
        <f>F1473+F1477</f>
        <v>0</v>
      </c>
      <c r="G1469" s="24">
        <f t="shared" si="366"/>
        <v>400</v>
      </c>
      <c r="H1469" s="24">
        <f>H1473+H1477</f>
        <v>0</v>
      </c>
      <c r="I1469" s="24">
        <f t="shared" si="354"/>
        <v>400</v>
      </c>
      <c r="J1469" s="24">
        <f>J1473+J1477</f>
        <v>0</v>
      </c>
      <c r="K1469" s="24">
        <f t="shared" si="355"/>
        <v>400</v>
      </c>
      <c r="L1469" s="24">
        <f>L1473+L1477+L1470</f>
        <v>2350.1999999999998</v>
      </c>
      <c r="M1469" s="24">
        <f t="shared" si="356"/>
        <v>2750.2</v>
      </c>
      <c r="N1469" s="24">
        <f>N1473+N1477+N1470</f>
        <v>0</v>
      </c>
      <c r="O1469" s="24">
        <f t="shared" si="357"/>
        <v>2750.2</v>
      </c>
      <c r="P1469" s="24">
        <f>P1473+P1477+P1470</f>
        <v>0</v>
      </c>
      <c r="Q1469" s="24">
        <f t="shared" si="373"/>
        <v>2750.2</v>
      </c>
      <c r="R1469" s="24">
        <f>R1473+R1477+R1470</f>
        <v>0</v>
      </c>
      <c r="S1469" s="24">
        <f t="shared" si="368"/>
        <v>2750.2</v>
      </c>
      <c r="T1469" s="24">
        <f>T1473+T1477+T1470</f>
        <v>-35</v>
      </c>
      <c r="U1469" s="24">
        <f t="shared" si="374"/>
        <v>2715.2</v>
      </c>
      <c r="V1469" s="24">
        <f>V1473+V1477+V1470</f>
        <v>-14.5</v>
      </c>
      <c r="W1469" s="24">
        <f t="shared" si="369"/>
        <v>2700.7</v>
      </c>
      <c r="X1469" s="24">
        <f>X1473+X1477+X1470</f>
        <v>335.6</v>
      </c>
      <c r="Y1469" s="24">
        <f t="shared" si="335"/>
        <v>3036.2999999999997</v>
      </c>
    </row>
    <row r="1470" spans="1:27" s="6" customFormat="1" ht="48.75" x14ac:dyDescent="0.25">
      <c r="A1470" s="16" t="s">
        <v>804</v>
      </c>
      <c r="B1470" s="20" t="s">
        <v>386</v>
      </c>
      <c r="C1470" s="20" t="s">
        <v>805</v>
      </c>
      <c r="D1470" s="20"/>
      <c r="E1470" s="24"/>
      <c r="F1470" s="24"/>
      <c r="G1470" s="24"/>
      <c r="H1470" s="24"/>
      <c r="I1470" s="24"/>
      <c r="J1470" s="24"/>
      <c r="K1470" s="24"/>
      <c r="L1470" s="18">
        <f>L1471</f>
        <v>2350.1999999999998</v>
      </c>
      <c r="M1470" s="24">
        <f t="shared" si="356"/>
        <v>2350.1999999999998</v>
      </c>
      <c r="N1470" s="18">
        <f>N1471</f>
        <v>0</v>
      </c>
      <c r="O1470" s="24">
        <f t="shared" si="357"/>
        <v>2350.1999999999998</v>
      </c>
      <c r="P1470" s="18">
        <f>P1471</f>
        <v>0</v>
      </c>
      <c r="Q1470" s="24">
        <f t="shared" si="373"/>
        <v>2350.1999999999998</v>
      </c>
      <c r="R1470" s="18">
        <f>R1471</f>
        <v>0</v>
      </c>
      <c r="S1470" s="24">
        <f t="shared" si="368"/>
        <v>2350.1999999999998</v>
      </c>
      <c r="T1470" s="18">
        <f>T1471</f>
        <v>0</v>
      </c>
      <c r="U1470" s="24">
        <f t="shared" si="374"/>
        <v>2350.1999999999998</v>
      </c>
      <c r="V1470" s="18">
        <f>V1471</f>
        <v>0</v>
      </c>
      <c r="W1470" s="24">
        <f t="shared" si="369"/>
        <v>2350.1999999999998</v>
      </c>
      <c r="X1470" s="18">
        <f>X1471+X1472</f>
        <v>335.6</v>
      </c>
      <c r="Y1470" s="24">
        <f t="shared" si="335"/>
        <v>2685.7999999999997</v>
      </c>
      <c r="Z1470" s="189"/>
    </row>
    <row r="1471" spans="1:27" s="6" customFormat="1" x14ac:dyDescent="0.25">
      <c r="A1471" s="30" t="s">
        <v>574</v>
      </c>
      <c r="B1471" s="21" t="s">
        <v>386</v>
      </c>
      <c r="C1471" s="21" t="s">
        <v>805</v>
      </c>
      <c r="D1471" s="21" t="s">
        <v>81</v>
      </c>
      <c r="E1471" s="24"/>
      <c r="F1471" s="24"/>
      <c r="G1471" s="24"/>
      <c r="H1471" s="24"/>
      <c r="I1471" s="24"/>
      <c r="J1471" s="24"/>
      <c r="K1471" s="24"/>
      <c r="L1471" s="43">
        <v>2350.1999999999998</v>
      </c>
      <c r="M1471" s="24">
        <f t="shared" si="356"/>
        <v>2350.1999999999998</v>
      </c>
      <c r="N1471" s="69"/>
      <c r="O1471" s="24">
        <f t="shared" si="357"/>
        <v>2350.1999999999998</v>
      </c>
      <c r="P1471" s="69"/>
      <c r="Q1471" s="24">
        <f t="shared" si="373"/>
        <v>2350.1999999999998</v>
      </c>
      <c r="R1471" s="69"/>
      <c r="S1471" s="24">
        <f t="shared" si="368"/>
        <v>2350.1999999999998</v>
      </c>
      <c r="T1471" s="69"/>
      <c r="U1471" s="24">
        <f t="shared" si="374"/>
        <v>2350.1999999999998</v>
      </c>
      <c r="V1471" s="69"/>
      <c r="W1471" s="24">
        <f t="shared" si="369"/>
        <v>2350.1999999999998</v>
      </c>
      <c r="X1471" s="43">
        <f>335.6-11.1</f>
        <v>324.5</v>
      </c>
      <c r="Y1471" s="24">
        <f t="shared" si="335"/>
        <v>2674.7</v>
      </c>
      <c r="Z1471" s="189"/>
      <c r="AA1471" s="189">
        <f t="shared" ref="AA1471:AA1472" si="379">Y1471+Z1471</f>
        <v>2674.7</v>
      </c>
    </row>
    <row r="1472" spans="1:27" s="6" customFormat="1" x14ac:dyDescent="0.25">
      <c r="A1472" s="25" t="s">
        <v>321</v>
      </c>
      <c r="B1472" s="21" t="s">
        <v>386</v>
      </c>
      <c r="C1472" s="21" t="s">
        <v>805</v>
      </c>
      <c r="D1472" s="21" t="s">
        <v>322</v>
      </c>
      <c r="E1472" s="24"/>
      <c r="F1472" s="24"/>
      <c r="G1472" s="24"/>
      <c r="H1472" s="24"/>
      <c r="I1472" s="24"/>
      <c r="J1472" s="24"/>
      <c r="K1472" s="24"/>
      <c r="L1472" s="43"/>
      <c r="M1472" s="24"/>
      <c r="N1472" s="69"/>
      <c r="O1472" s="24"/>
      <c r="P1472" s="69"/>
      <c r="Q1472" s="24"/>
      <c r="R1472" s="69"/>
      <c r="S1472" s="24"/>
      <c r="T1472" s="69"/>
      <c r="U1472" s="24"/>
      <c r="V1472" s="69"/>
      <c r="W1472" s="24"/>
      <c r="X1472" s="43">
        <f>8.5+2.6</f>
        <v>11.1</v>
      </c>
      <c r="Y1472" s="24">
        <f t="shared" ref="Y1472" si="380">W1472+X1472</f>
        <v>11.1</v>
      </c>
      <c r="Z1472" s="189"/>
      <c r="AA1472" s="189">
        <f t="shared" si="379"/>
        <v>11.1</v>
      </c>
    </row>
    <row r="1473" spans="1:27" s="6" customFormat="1" ht="36.75" x14ac:dyDescent="0.25">
      <c r="A1473" s="22" t="s">
        <v>387</v>
      </c>
      <c r="B1473" s="23" t="s">
        <v>386</v>
      </c>
      <c r="C1473" s="23" t="s">
        <v>388</v>
      </c>
      <c r="D1473" s="23" t="s">
        <v>2</v>
      </c>
      <c r="E1473" s="24">
        <f>E1474+E1475</f>
        <v>150</v>
      </c>
      <c r="F1473" s="24">
        <f>F1474+F1475</f>
        <v>0</v>
      </c>
      <c r="G1473" s="24">
        <f t="shared" si="366"/>
        <v>150</v>
      </c>
      <c r="H1473" s="24">
        <f>H1474+H1475</f>
        <v>0</v>
      </c>
      <c r="I1473" s="24">
        <f t="shared" si="354"/>
        <v>150</v>
      </c>
      <c r="J1473" s="24">
        <f>J1474+J1475</f>
        <v>0</v>
      </c>
      <c r="K1473" s="24">
        <f t="shared" si="355"/>
        <v>150</v>
      </c>
      <c r="L1473" s="24">
        <f>L1474+L1475</f>
        <v>-47.7</v>
      </c>
      <c r="M1473" s="24">
        <f t="shared" si="356"/>
        <v>102.3</v>
      </c>
      <c r="N1473" s="24">
        <f>N1474+N1475</f>
        <v>0</v>
      </c>
      <c r="O1473" s="24">
        <f t="shared" si="357"/>
        <v>102.3</v>
      </c>
      <c r="P1473" s="24">
        <f>P1474+P1475</f>
        <v>0</v>
      </c>
      <c r="Q1473" s="24">
        <f t="shared" si="373"/>
        <v>102.3</v>
      </c>
      <c r="R1473" s="24">
        <f>R1474+R1475</f>
        <v>0</v>
      </c>
      <c r="S1473" s="24">
        <f t="shared" si="368"/>
        <v>102.3</v>
      </c>
      <c r="T1473" s="24">
        <f>T1474+T1475</f>
        <v>-35</v>
      </c>
      <c r="U1473" s="24">
        <f t="shared" si="374"/>
        <v>67.3</v>
      </c>
      <c r="V1473" s="24">
        <f>V1474+V1475+V1476</f>
        <v>-14.5</v>
      </c>
      <c r="W1473" s="24">
        <f t="shared" si="369"/>
        <v>52.8</v>
      </c>
      <c r="X1473" s="24">
        <f>X1474+X1475+X1476</f>
        <v>0</v>
      </c>
      <c r="Y1473" s="24">
        <f t="shared" si="335"/>
        <v>52.8</v>
      </c>
      <c r="Z1473" s="189"/>
    </row>
    <row r="1474" spans="1:27" s="6" customFormat="1" x14ac:dyDescent="0.25">
      <c r="A1474" s="25" t="s">
        <v>66</v>
      </c>
      <c r="B1474" s="26" t="s">
        <v>386</v>
      </c>
      <c r="C1474" s="26" t="s">
        <v>388</v>
      </c>
      <c r="D1474" s="26" t="s">
        <v>42</v>
      </c>
      <c r="E1474" s="27">
        <v>20</v>
      </c>
      <c r="F1474" s="27"/>
      <c r="G1474" s="24">
        <f t="shared" si="366"/>
        <v>20</v>
      </c>
      <c r="H1474" s="27"/>
      <c r="I1474" s="24">
        <f t="shared" si="354"/>
        <v>20</v>
      </c>
      <c r="J1474" s="27"/>
      <c r="K1474" s="24">
        <f t="shared" si="355"/>
        <v>20</v>
      </c>
      <c r="L1474" s="27"/>
      <c r="M1474" s="24">
        <f t="shared" si="356"/>
        <v>20</v>
      </c>
      <c r="N1474" s="27"/>
      <c r="O1474" s="24">
        <f t="shared" si="357"/>
        <v>20</v>
      </c>
      <c r="P1474" s="27"/>
      <c r="Q1474" s="24">
        <f t="shared" si="373"/>
        <v>20</v>
      </c>
      <c r="R1474" s="27"/>
      <c r="S1474" s="24">
        <f t="shared" si="368"/>
        <v>20</v>
      </c>
      <c r="T1474" s="63">
        <v>-15</v>
      </c>
      <c r="U1474" s="24">
        <f t="shared" si="374"/>
        <v>5</v>
      </c>
      <c r="V1474" s="94">
        <v>4</v>
      </c>
      <c r="W1474" s="24">
        <f t="shared" si="369"/>
        <v>9</v>
      </c>
      <c r="X1474" s="69"/>
      <c r="Y1474" s="24">
        <f t="shared" si="335"/>
        <v>9</v>
      </c>
      <c r="Z1474" s="189"/>
      <c r="AA1474" s="189">
        <f t="shared" ref="AA1474:AA1476" si="381">Y1474+Z1474</f>
        <v>9</v>
      </c>
    </row>
    <row r="1475" spans="1:27" s="6" customFormat="1" x14ac:dyDescent="0.25">
      <c r="A1475" s="25" t="s">
        <v>574</v>
      </c>
      <c r="B1475" s="26" t="s">
        <v>386</v>
      </c>
      <c r="C1475" s="26" t="s">
        <v>388</v>
      </c>
      <c r="D1475" s="26" t="s">
        <v>81</v>
      </c>
      <c r="E1475" s="27">
        <v>130</v>
      </c>
      <c r="F1475" s="27"/>
      <c r="G1475" s="24">
        <f t="shared" si="366"/>
        <v>130</v>
      </c>
      <c r="H1475" s="27"/>
      <c r="I1475" s="24">
        <f t="shared" si="354"/>
        <v>130</v>
      </c>
      <c r="J1475" s="27"/>
      <c r="K1475" s="24">
        <f t="shared" si="355"/>
        <v>130</v>
      </c>
      <c r="L1475" s="107">
        <v>-47.7</v>
      </c>
      <c r="M1475" s="24">
        <f t="shared" si="356"/>
        <v>82.3</v>
      </c>
      <c r="N1475" s="69"/>
      <c r="O1475" s="24">
        <f t="shared" si="357"/>
        <v>82.3</v>
      </c>
      <c r="P1475" s="69"/>
      <c r="Q1475" s="24">
        <f t="shared" si="373"/>
        <v>82.3</v>
      </c>
      <c r="R1475" s="69"/>
      <c r="S1475" s="24">
        <f t="shared" si="368"/>
        <v>82.3</v>
      </c>
      <c r="T1475" s="63">
        <v>-20</v>
      </c>
      <c r="U1475" s="24">
        <f t="shared" si="374"/>
        <v>62.3</v>
      </c>
      <c r="V1475" s="94">
        <v>-23</v>
      </c>
      <c r="W1475" s="24">
        <f t="shared" si="369"/>
        <v>39.299999999999997</v>
      </c>
      <c r="X1475" s="69"/>
      <c r="Y1475" s="24">
        <f t="shared" si="335"/>
        <v>39.299999999999997</v>
      </c>
      <c r="Z1475" s="189"/>
      <c r="AA1475" s="189">
        <f t="shared" si="381"/>
        <v>39.299999999999997</v>
      </c>
    </row>
    <row r="1476" spans="1:27" s="6" customFormat="1" x14ac:dyDescent="0.25">
      <c r="A1476" s="25" t="s">
        <v>321</v>
      </c>
      <c r="B1476" s="26" t="s">
        <v>386</v>
      </c>
      <c r="C1476" s="26" t="s">
        <v>388</v>
      </c>
      <c r="D1476" s="26" t="s">
        <v>81</v>
      </c>
      <c r="E1476" s="27"/>
      <c r="F1476" s="27"/>
      <c r="G1476" s="24"/>
      <c r="H1476" s="27"/>
      <c r="I1476" s="24"/>
      <c r="J1476" s="27"/>
      <c r="K1476" s="24"/>
      <c r="L1476" s="107"/>
      <c r="M1476" s="24"/>
      <c r="N1476" s="69"/>
      <c r="O1476" s="24"/>
      <c r="P1476" s="69"/>
      <c r="Q1476" s="24"/>
      <c r="R1476" s="69"/>
      <c r="S1476" s="24"/>
      <c r="T1476" s="63"/>
      <c r="U1476" s="24"/>
      <c r="V1476" s="94">
        <v>4.5</v>
      </c>
      <c r="W1476" s="24">
        <f t="shared" si="369"/>
        <v>4.5</v>
      </c>
      <c r="X1476" s="69"/>
      <c r="Y1476" s="24">
        <f t="shared" si="335"/>
        <v>4.5</v>
      </c>
      <c r="Z1476" s="189"/>
      <c r="AA1476" s="189">
        <f t="shared" si="381"/>
        <v>4.5</v>
      </c>
    </row>
    <row r="1477" spans="1:27" s="6" customFormat="1" ht="24.75" x14ac:dyDescent="0.25">
      <c r="A1477" s="22" t="s">
        <v>389</v>
      </c>
      <c r="B1477" s="23" t="s">
        <v>386</v>
      </c>
      <c r="C1477" s="23" t="s">
        <v>390</v>
      </c>
      <c r="D1477" s="23" t="s">
        <v>2</v>
      </c>
      <c r="E1477" s="24">
        <f>E1478+E1479</f>
        <v>250</v>
      </c>
      <c r="F1477" s="24">
        <f>F1478+F1479</f>
        <v>0</v>
      </c>
      <c r="G1477" s="24">
        <f t="shared" si="366"/>
        <v>250</v>
      </c>
      <c r="H1477" s="24">
        <f>H1478+H1479</f>
        <v>0</v>
      </c>
      <c r="I1477" s="24">
        <f t="shared" si="354"/>
        <v>250</v>
      </c>
      <c r="J1477" s="24">
        <f>J1478+J1479</f>
        <v>0</v>
      </c>
      <c r="K1477" s="24">
        <f t="shared" si="355"/>
        <v>250</v>
      </c>
      <c r="L1477" s="24">
        <f>L1478+L1479</f>
        <v>47.7</v>
      </c>
      <c r="M1477" s="24">
        <f t="shared" si="356"/>
        <v>297.7</v>
      </c>
      <c r="N1477" s="24">
        <f>N1478+N1479</f>
        <v>0</v>
      </c>
      <c r="O1477" s="24">
        <f t="shared" si="357"/>
        <v>297.7</v>
      </c>
      <c r="P1477" s="24">
        <f>P1478+P1479</f>
        <v>0</v>
      </c>
      <c r="Q1477" s="24">
        <f t="shared" si="373"/>
        <v>297.7</v>
      </c>
      <c r="R1477" s="24">
        <f>R1478+R1479</f>
        <v>0</v>
      </c>
      <c r="S1477" s="24">
        <f t="shared" si="368"/>
        <v>297.7</v>
      </c>
      <c r="T1477" s="24">
        <f>T1478+T1479</f>
        <v>0</v>
      </c>
      <c r="U1477" s="24">
        <f t="shared" si="374"/>
        <v>297.7</v>
      </c>
      <c r="V1477" s="24">
        <f>V1478+V1479</f>
        <v>0</v>
      </c>
      <c r="W1477" s="24">
        <f t="shared" si="369"/>
        <v>297.7</v>
      </c>
      <c r="X1477" s="24">
        <f>X1478+X1479</f>
        <v>0</v>
      </c>
      <c r="Y1477" s="24">
        <f t="shared" si="335"/>
        <v>297.7</v>
      </c>
      <c r="Z1477" s="189"/>
    </row>
    <row r="1478" spans="1:27" s="6" customFormat="1" x14ac:dyDescent="0.25">
      <c r="A1478" s="25" t="s">
        <v>574</v>
      </c>
      <c r="B1478" s="26" t="s">
        <v>386</v>
      </c>
      <c r="C1478" s="26" t="s">
        <v>390</v>
      </c>
      <c r="D1478" s="26" t="s">
        <v>81</v>
      </c>
      <c r="E1478" s="27">
        <v>230</v>
      </c>
      <c r="F1478" s="27"/>
      <c r="G1478" s="24">
        <f t="shared" si="366"/>
        <v>230</v>
      </c>
      <c r="H1478" s="27"/>
      <c r="I1478" s="24">
        <f t="shared" si="354"/>
        <v>230</v>
      </c>
      <c r="J1478" s="27"/>
      <c r="K1478" s="24">
        <f t="shared" si="355"/>
        <v>230</v>
      </c>
      <c r="L1478" s="107">
        <v>47.2</v>
      </c>
      <c r="M1478" s="24">
        <f t="shared" si="356"/>
        <v>277.2</v>
      </c>
      <c r="N1478" s="69"/>
      <c r="O1478" s="24">
        <f t="shared" si="357"/>
        <v>277.2</v>
      </c>
      <c r="P1478" s="69"/>
      <c r="Q1478" s="24">
        <f t="shared" si="373"/>
        <v>277.2</v>
      </c>
      <c r="R1478" s="69"/>
      <c r="S1478" s="24">
        <f t="shared" si="368"/>
        <v>277.2</v>
      </c>
      <c r="T1478" s="69"/>
      <c r="U1478" s="24">
        <f t="shared" si="374"/>
        <v>277.2</v>
      </c>
      <c r="V1478" s="69"/>
      <c r="W1478" s="24">
        <f t="shared" si="369"/>
        <v>277.2</v>
      </c>
      <c r="X1478" s="69"/>
      <c r="Y1478" s="24">
        <f t="shared" si="335"/>
        <v>277.2</v>
      </c>
      <c r="Z1478" s="189"/>
      <c r="AA1478" s="189">
        <f t="shared" ref="AA1478:AA1479" si="382">Y1478+Z1478</f>
        <v>277.2</v>
      </c>
    </row>
    <row r="1479" spans="1:27" x14ac:dyDescent="0.25">
      <c r="A1479" s="25" t="s">
        <v>321</v>
      </c>
      <c r="B1479" s="26" t="s">
        <v>386</v>
      </c>
      <c r="C1479" s="26" t="s">
        <v>390</v>
      </c>
      <c r="D1479" s="26" t="s">
        <v>322</v>
      </c>
      <c r="E1479" s="27">
        <v>20</v>
      </c>
      <c r="F1479" s="27"/>
      <c r="G1479" s="24">
        <f t="shared" si="366"/>
        <v>20</v>
      </c>
      <c r="H1479" s="27"/>
      <c r="I1479" s="24">
        <f t="shared" si="354"/>
        <v>20</v>
      </c>
      <c r="J1479" s="27"/>
      <c r="K1479" s="24">
        <f t="shared" si="355"/>
        <v>20</v>
      </c>
      <c r="L1479" s="107">
        <v>0.5</v>
      </c>
      <c r="M1479" s="24">
        <f t="shared" si="356"/>
        <v>20.5</v>
      </c>
      <c r="N1479" s="69"/>
      <c r="O1479" s="24">
        <f t="shared" si="357"/>
        <v>20.5</v>
      </c>
      <c r="P1479" s="69"/>
      <c r="Q1479" s="24">
        <f t="shared" si="373"/>
        <v>20.5</v>
      </c>
      <c r="R1479" s="69"/>
      <c r="S1479" s="24">
        <f t="shared" si="368"/>
        <v>20.5</v>
      </c>
      <c r="T1479" s="69"/>
      <c r="U1479" s="24">
        <f t="shared" si="374"/>
        <v>20.5</v>
      </c>
      <c r="V1479" s="69"/>
      <c r="W1479" s="24">
        <f t="shared" si="369"/>
        <v>20.5</v>
      </c>
      <c r="X1479" s="69"/>
      <c r="Y1479" s="24">
        <f t="shared" si="335"/>
        <v>20.5</v>
      </c>
      <c r="AA1479" s="189">
        <f t="shared" si="382"/>
        <v>20.5</v>
      </c>
    </row>
    <row r="1480" spans="1:27" ht="24.75" x14ac:dyDescent="0.25">
      <c r="A1480" s="22" t="s">
        <v>391</v>
      </c>
      <c r="B1480" s="23" t="s">
        <v>386</v>
      </c>
      <c r="C1480" s="23" t="s">
        <v>392</v>
      </c>
      <c r="D1480" s="23" t="s">
        <v>2</v>
      </c>
      <c r="E1480" s="24">
        <f>E1481</f>
        <v>20</v>
      </c>
      <c r="F1480" s="24">
        <f>F1481</f>
        <v>0</v>
      </c>
      <c r="G1480" s="24">
        <f t="shared" si="366"/>
        <v>20</v>
      </c>
      <c r="H1480" s="24">
        <f>H1481</f>
        <v>0</v>
      </c>
      <c r="I1480" s="24">
        <f t="shared" si="354"/>
        <v>20</v>
      </c>
      <c r="J1480" s="24">
        <f>J1481</f>
        <v>0</v>
      </c>
      <c r="K1480" s="24">
        <f t="shared" si="355"/>
        <v>20</v>
      </c>
      <c r="L1480" s="24">
        <f>L1481</f>
        <v>0</v>
      </c>
      <c r="M1480" s="24">
        <f t="shared" si="356"/>
        <v>20</v>
      </c>
      <c r="N1480" s="24">
        <f>N1481</f>
        <v>0</v>
      </c>
      <c r="O1480" s="24">
        <f t="shared" si="357"/>
        <v>20</v>
      </c>
      <c r="P1480" s="24">
        <f>P1481</f>
        <v>0</v>
      </c>
      <c r="Q1480" s="24">
        <f t="shared" si="373"/>
        <v>20</v>
      </c>
      <c r="R1480" s="24">
        <f>R1481</f>
        <v>0</v>
      </c>
      <c r="S1480" s="24">
        <f t="shared" si="368"/>
        <v>20</v>
      </c>
      <c r="T1480" s="24">
        <f>T1481</f>
        <v>0</v>
      </c>
      <c r="U1480" s="24">
        <f t="shared" si="374"/>
        <v>20</v>
      </c>
      <c r="V1480" s="24">
        <f>V1481</f>
        <v>-11</v>
      </c>
      <c r="W1480" s="24">
        <f t="shared" si="369"/>
        <v>9</v>
      </c>
      <c r="X1480" s="24">
        <f>X1481</f>
        <v>0</v>
      </c>
      <c r="Y1480" s="24">
        <f t="shared" si="335"/>
        <v>9</v>
      </c>
    </row>
    <row r="1481" spans="1:27" s="6" customFormat="1" ht="24.75" x14ac:dyDescent="0.25">
      <c r="A1481" s="22" t="s">
        <v>393</v>
      </c>
      <c r="B1481" s="23" t="s">
        <v>386</v>
      </c>
      <c r="C1481" s="23" t="s">
        <v>394</v>
      </c>
      <c r="D1481" s="23" t="s">
        <v>2</v>
      </c>
      <c r="E1481" s="24">
        <f>E1482</f>
        <v>20</v>
      </c>
      <c r="F1481" s="24">
        <f>F1482</f>
        <v>0</v>
      </c>
      <c r="G1481" s="24">
        <f t="shared" si="366"/>
        <v>20</v>
      </c>
      <c r="H1481" s="24">
        <f>H1482</f>
        <v>0</v>
      </c>
      <c r="I1481" s="24">
        <f t="shared" si="354"/>
        <v>20</v>
      </c>
      <c r="J1481" s="24">
        <f>J1482</f>
        <v>0</v>
      </c>
      <c r="K1481" s="24">
        <f t="shared" si="355"/>
        <v>20</v>
      </c>
      <c r="L1481" s="24">
        <f>L1482</f>
        <v>0</v>
      </c>
      <c r="M1481" s="24">
        <f t="shared" si="356"/>
        <v>20</v>
      </c>
      <c r="N1481" s="24">
        <f>N1482</f>
        <v>0</v>
      </c>
      <c r="O1481" s="24">
        <f t="shared" si="357"/>
        <v>20</v>
      </c>
      <c r="P1481" s="24">
        <f>P1482</f>
        <v>0</v>
      </c>
      <c r="Q1481" s="24">
        <f t="shared" si="373"/>
        <v>20</v>
      </c>
      <c r="R1481" s="24">
        <f>R1482</f>
        <v>0</v>
      </c>
      <c r="S1481" s="24">
        <f t="shared" si="368"/>
        <v>20</v>
      </c>
      <c r="T1481" s="24">
        <f>T1482</f>
        <v>0</v>
      </c>
      <c r="U1481" s="24">
        <f t="shared" si="374"/>
        <v>20</v>
      </c>
      <c r="V1481" s="24">
        <f>V1482</f>
        <v>-11</v>
      </c>
      <c r="W1481" s="24">
        <f t="shared" si="369"/>
        <v>9</v>
      </c>
      <c r="X1481" s="24">
        <f>X1482</f>
        <v>0</v>
      </c>
      <c r="Y1481" s="24">
        <f t="shared" si="335"/>
        <v>9</v>
      </c>
      <c r="Z1481" s="189"/>
    </row>
    <row r="1482" spans="1:27" x14ac:dyDescent="0.25">
      <c r="A1482" s="25" t="s">
        <v>66</v>
      </c>
      <c r="B1482" s="26" t="s">
        <v>386</v>
      </c>
      <c r="C1482" s="26" t="s">
        <v>394</v>
      </c>
      <c r="D1482" s="26" t="s">
        <v>42</v>
      </c>
      <c r="E1482" s="27">
        <v>20</v>
      </c>
      <c r="F1482" s="27"/>
      <c r="G1482" s="24">
        <f t="shared" si="366"/>
        <v>20</v>
      </c>
      <c r="H1482" s="27"/>
      <c r="I1482" s="24">
        <f t="shared" si="354"/>
        <v>20</v>
      </c>
      <c r="J1482" s="27"/>
      <c r="K1482" s="24">
        <f t="shared" si="355"/>
        <v>20</v>
      </c>
      <c r="L1482" s="27"/>
      <c r="M1482" s="24">
        <f t="shared" si="356"/>
        <v>20</v>
      </c>
      <c r="N1482" s="27"/>
      <c r="O1482" s="24">
        <f t="shared" si="357"/>
        <v>20</v>
      </c>
      <c r="P1482" s="27"/>
      <c r="Q1482" s="24">
        <f t="shared" si="373"/>
        <v>20</v>
      </c>
      <c r="R1482" s="27"/>
      <c r="S1482" s="24">
        <f t="shared" si="368"/>
        <v>20</v>
      </c>
      <c r="T1482" s="69"/>
      <c r="U1482" s="24">
        <f t="shared" si="374"/>
        <v>20</v>
      </c>
      <c r="V1482" s="94">
        <v>-11</v>
      </c>
      <c r="W1482" s="24">
        <f t="shared" si="369"/>
        <v>9</v>
      </c>
      <c r="X1482" s="69"/>
      <c r="Y1482" s="24">
        <f t="shared" si="335"/>
        <v>9</v>
      </c>
      <c r="AA1482" s="189">
        <f>Y1482+Z1482</f>
        <v>9</v>
      </c>
    </row>
    <row r="1483" spans="1:27" ht="24.75" x14ac:dyDescent="0.25">
      <c r="A1483" s="22" t="s">
        <v>360</v>
      </c>
      <c r="B1483" s="23" t="s">
        <v>386</v>
      </c>
      <c r="C1483" s="23" t="s">
        <v>361</v>
      </c>
      <c r="D1483" s="23" t="s">
        <v>2</v>
      </c>
      <c r="E1483" s="24">
        <f>E1484+E1488</f>
        <v>2396</v>
      </c>
      <c r="F1483" s="24">
        <f>F1484+F1488</f>
        <v>0</v>
      </c>
      <c r="G1483" s="24">
        <f t="shared" si="366"/>
        <v>2396</v>
      </c>
      <c r="H1483" s="24">
        <f>H1484+H1488</f>
        <v>0</v>
      </c>
      <c r="I1483" s="24">
        <f t="shared" si="354"/>
        <v>2396</v>
      </c>
      <c r="J1483" s="24">
        <f>J1484+J1488</f>
        <v>0</v>
      </c>
      <c r="K1483" s="24">
        <f t="shared" si="355"/>
        <v>2396</v>
      </c>
      <c r="L1483" s="24">
        <f>L1484+L1488</f>
        <v>0</v>
      </c>
      <c r="M1483" s="24">
        <f t="shared" si="356"/>
        <v>2396</v>
      </c>
      <c r="N1483" s="24">
        <f>N1484+N1488</f>
        <v>1043.2</v>
      </c>
      <c r="O1483" s="24">
        <f t="shared" si="357"/>
        <v>3439.2</v>
      </c>
      <c r="P1483" s="24">
        <f>P1484+P1488</f>
        <v>350.1</v>
      </c>
      <c r="Q1483" s="24">
        <f t="shared" si="373"/>
        <v>3789.2999999999997</v>
      </c>
      <c r="R1483" s="24">
        <f>R1484+R1488</f>
        <v>29.799999999999997</v>
      </c>
      <c r="S1483" s="24">
        <f t="shared" si="368"/>
        <v>3819.1</v>
      </c>
      <c r="T1483" s="24">
        <f>T1484+T1488</f>
        <v>-1201.3</v>
      </c>
      <c r="U1483" s="24">
        <f t="shared" si="374"/>
        <v>2617.8000000000002</v>
      </c>
      <c r="V1483" s="24">
        <f>V1484+V1488</f>
        <v>-87</v>
      </c>
      <c r="W1483" s="24">
        <f t="shared" si="369"/>
        <v>2530.8000000000002</v>
      </c>
      <c r="X1483" s="24">
        <f>X1484+X1488</f>
        <v>0</v>
      </c>
      <c r="Y1483" s="24">
        <f t="shared" si="335"/>
        <v>2530.8000000000002</v>
      </c>
    </row>
    <row r="1484" spans="1:27" s="6" customFormat="1" x14ac:dyDescent="0.25">
      <c r="A1484" s="22" t="s">
        <v>362</v>
      </c>
      <c r="B1484" s="23" t="s">
        <v>386</v>
      </c>
      <c r="C1484" s="23" t="s">
        <v>363</v>
      </c>
      <c r="D1484" s="23" t="s">
        <v>2</v>
      </c>
      <c r="E1484" s="24">
        <f>E1485</f>
        <v>700</v>
      </c>
      <c r="F1484" s="24">
        <f>F1485</f>
        <v>0</v>
      </c>
      <c r="G1484" s="24">
        <f t="shared" si="366"/>
        <v>700</v>
      </c>
      <c r="H1484" s="24">
        <f>H1485</f>
        <v>0</v>
      </c>
      <c r="I1484" s="24">
        <f t="shared" si="354"/>
        <v>700</v>
      </c>
      <c r="J1484" s="24">
        <f>J1485</f>
        <v>0</v>
      </c>
      <c r="K1484" s="24">
        <f t="shared" si="355"/>
        <v>700</v>
      </c>
      <c r="L1484" s="24">
        <f>L1485</f>
        <v>0</v>
      </c>
      <c r="M1484" s="24">
        <f t="shared" si="356"/>
        <v>700</v>
      </c>
      <c r="N1484" s="24">
        <f>N1485</f>
        <v>0</v>
      </c>
      <c r="O1484" s="24">
        <f t="shared" si="357"/>
        <v>700</v>
      </c>
      <c r="P1484" s="24">
        <f>P1485</f>
        <v>0</v>
      </c>
      <c r="Q1484" s="24">
        <f t="shared" si="373"/>
        <v>700</v>
      </c>
      <c r="R1484" s="24">
        <f>R1485</f>
        <v>29.799999999999997</v>
      </c>
      <c r="S1484" s="24">
        <f t="shared" si="368"/>
        <v>729.8</v>
      </c>
      <c r="T1484" s="24">
        <f>T1485</f>
        <v>0</v>
      </c>
      <c r="U1484" s="24">
        <f t="shared" si="374"/>
        <v>729.8</v>
      </c>
      <c r="V1484" s="24">
        <f>V1485</f>
        <v>14.5</v>
      </c>
      <c r="W1484" s="24">
        <f t="shared" si="369"/>
        <v>744.3</v>
      </c>
      <c r="X1484" s="24">
        <f>X1485</f>
        <v>0</v>
      </c>
      <c r="Y1484" s="24">
        <f t="shared" si="335"/>
        <v>744.3</v>
      </c>
      <c r="Z1484" s="189"/>
    </row>
    <row r="1485" spans="1:27" s="6" customFormat="1" ht="24.75" x14ac:dyDescent="0.25">
      <c r="A1485" s="22" t="s">
        <v>395</v>
      </c>
      <c r="B1485" s="23" t="s">
        <v>386</v>
      </c>
      <c r="C1485" s="23" t="s">
        <v>396</v>
      </c>
      <c r="D1485" s="23" t="s">
        <v>2</v>
      </c>
      <c r="E1485" s="24">
        <f>E1487</f>
        <v>700</v>
      </c>
      <c r="F1485" s="24">
        <f>F1487</f>
        <v>0</v>
      </c>
      <c r="G1485" s="24">
        <f t="shared" si="366"/>
        <v>700</v>
      </c>
      <c r="H1485" s="24">
        <f>H1487</f>
        <v>0</v>
      </c>
      <c r="I1485" s="24">
        <f t="shared" si="354"/>
        <v>700</v>
      </c>
      <c r="J1485" s="24">
        <f>J1487</f>
        <v>0</v>
      </c>
      <c r="K1485" s="24">
        <f t="shared" si="355"/>
        <v>700</v>
      </c>
      <c r="L1485" s="24">
        <f>L1487</f>
        <v>0</v>
      </c>
      <c r="M1485" s="24">
        <f t="shared" si="356"/>
        <v>700</v>
      </c>
      <c r="N1485" s="24">
        <f>N1487</f>
        <v>0</v>
      </c>
      <c r="O1485" s="24">
        <f t="shared" si="357"/>
        <v>700</v>
      </c>
      <c r="P1485" s="24">
        <f>P1487</f>
        <v>0</v>
      </c>
      <c r="Q1485" s="24">
        <f t="shared" si="373"/>
        <v>700</v>
      </c>
      <c r="R1485" s="24">
        <f>R1487+R1486</f>
        <v>29.799999999999997</v>
      </c>
      <c r="S1485" s="24">
        <f t="shared" si="368"/>
        <v>729.8</v>
      </c>
      <c r="T1485" s="24">
        <f>T1487+T1486</f>
        <v>0</v>
      </c>
      <c r="U1485" s="24">
        <f t="shared" si="374"/>
        <v>729.8</v>
      </c>
      <c r="V1485" s="24">
        <f>V1487+V1486</f>
        <v>14.5</v>
      </c>
      <c r="W1485" s="24">
        <f t="shared" si="369"/>
        <v>744.3</v>
      </c>
      <c r="X1485" s="24">
        <f>X1487+X1486</f>
        <v>0</v>
      </c>
      <c r="Y1485" s="24">
        <f t="shared" si="335"/>
        <v>744.3</v>
      </c>
      <c r="Z1485" s="189"/>
    </row>
    <row r="1486" spans="1:27" s="6" customFormat="1" x14ac:dyDescent="0.25">
      <c r="A1486" s="25" t="s">
        <v>66</v>
      </c>
      <c r="B1486" s="26" t="s">
        <v>386</v>
      </c>
      <c r="C1486" s="26" t="s">
        <v>396</v>
      </c>
      <c r="D1486" s="26" t="s">
        <v>42</v>
      </c>
      <c r="E1486" s="24"/>
      <c r="F1486" s="24"/>
      <c r="G1486" s="24"/>
      <c r="H1486" s="24"/>
      <c r="I1486" s="24"/>
      <c r="J1486" s="24"/>
      <c r="K1486" s="24"/>
      <c r="L1486" s="24"/>
      <c r="M1486" s="24"/>
      <c r="N1486" s="24"/>
      <c r="O1486" s="24"/>
      <c r="P1486" s="24"/>
      <c r="Q1486" s="24"/>
      <c r="R1486" s="39">
        <v>39.799999999999997</v>
      </c>
      <c r="S1486" s="24">
        <f t="shared" si="368"/>
        <v>39.799999999999997</v>
      </c>
      <c r="T1486" s="69"/>
      <c r="U1486" s="24">
        <f t="shared" si="374"/>
        <v>39.799999999999997</v>
      </c>
      <c r="V1486" s="69"/>
      <c r="W1486" s="24">
        <f t="shared" si="369"/>
        <v>39.799999999999997</v>
      </c>
      <c r="X1486" s="69"/>
      <c r="Y1486" s="24">
        <f t="shared" si="335"/>
        <v>39.799999999999997</v>
      </c>
      <c r="Z1486" s="189"/>
      <c r="AA1486" s="189">
        <f t="shared" ref="AA1486:AA1487" si="383">Y1486+Z1486</f>
        <v>39.799999999999997</v>
      </c>
    </row>
    <row r="1487" spans="1:27" x14ac:dyDescent="0.25">
      <c r="A1487" s="25" t="s">
        <v>574</v>
      </c>
      <c r="B1487" s="26" t="s">
        <v>386</v>
      </c>
      <c r="C1487" s="26" t="s">
        <v>396</v>
      </c>
      <c r="D1487" s="26" t="s">
        <v>81</v>
      </c>
      <c r="E1487" s="27">
        <v>700</v>
      </c>
      <c r="F1487" s="27"/>
      <c r="G1487" s="24">
        <f t="shared" si="366"/>
        <v>700</v>
      </c>
      <c r="H1487" s="27"/>
      <c r="I1487" s="24">
        <f t="shared" si="354"/>
        <v>700</v>
      </c>
      <c r="J1487" s="27"/>
      <c r="K1487" s="24">
        <f t="shared" si="355"/>
        <v>700</v>
      </c>
      <c r="L1487" s="27"/>
      <c r="M1487" s="24">
        <f t="shared" si="356"/>
        <v>700</v>
      </c>
      <c r="N1487" s="27"/>
      <c r="O1487" s="24">
        <f t="shared" si="357"/>
        <v>700</v>
      </c>
      <c r="P1487" s="27"/>
      <c r="Q1487" s="24">
        <f t="shared" si="373"/>
        <v>700</v>
      </c>
      <c r="R1487" s="39">
        <v>-10</v>
      </c>
      <c r="S1487" s="24">
        <f t="shared" si="368"/>
        <v>690</v>
      </c>
      <c r="T1487" s="69"/>
      <c r="U1487" s="24">
        <f t="shared" si="374"/>
        <v>690</v>
      </c>
      <c r="V1487" s="94">
        <v>14.5</v>
      </c>
      <c r="W1487" s="24">
        <f t="shared" si="369"/>
        <v>704.5</v>
      </c>
      <c r="X1487" s="69"/>
      <c r="Y1487" s="24">
        <f t="shared" si="335"/>
        <v>704.5</v>
      </c>
      <c r="AA1487" s="189">
        <f t="shared" si="383"/>
        <v>704.5</v>
      </c>
    </row>
    <row r="1488" spans="1:27" s="6" customFormat="1" x14ac:dyDescent="0.25">
      <c r="A1488" s="22" t="s">
        <v>374</v>
      </c>
      <c r="B1488" s="23" t="s">
        <v>386</v>
      </c>
      <c r="C1488" s="23" t="s">
        <v>375</v>
      </c>
      <c r="D1488" s="23" t="s">
        <v>2</v>
      </c>
      <c r="E1488" s="24">
        <f>E1491</f>
        <v>1696</v>
      </c>
      <c r="F1488" s="24">
        <f>F1491</f>
        <v>0</v>
      </c>
      <c r="G1488" s="24">
        <f t="shared" si="366"/>
        <v>1696</v>
      </c>
      <c r="H1488" s="24">
        <f>H1491</f>
        <v>0</v>
      </c>
      <c r="I1488" s="24">
        <f t="shared" ref="I1488:I1596" si="384">G1488+H1488</f>
        <v>1696</v>
      </c>
      <c r="J1488" s="24">
        <f>J1491</f>
        <v>0</v>
      </c>
      <c r="K1488" s="24">
        <f t="shared" ref="K1488:K1596" si="385">I1488+J1488</f>
        <v>1696</v>
      </c>
      <c r="L1488" s="24">
        <f>L1491</f>
        <v>0</v>
      </c>
      <c r="M1488" s="24">
        <f t="shared" ref="M1488:M1596" si="386">K1488+L1488</f>
        <v>1696</v>
      </c>
      <c r="N1488" s="24">
        <f>N1491+N1489</f>
        <v>1043.2</v>
      </c>
      <c r="O1488" s="24">
        <f t="shared" ref="O1488:O1596" si="387">M1488+N1488</f>
        <v>2739.2</v>
      </c>
      <c r="P1488" s="24">
        <f>P1491+P1489</f>
        <v>350.1</v>
      </c>
      <c r="Q1488" s="24">
        <f t="shared" si="373"/>
        <v>3089.2999999999997</v>
      </c>
      <c r="R1488" s="24">
        <f>R1491+R1489</f>
        <v>0</v>
      </c>
      <c r="S1488" s="24">
        <f t="shared" si="368"/>
        <v>3089.2999999999997</v>
      </c>
      <c r="T1488" s="24">
        <f>T1491+T1489</f>
        <v>-1201.3</v>
      </c>
      <c r="U1488" s="24">
        <f t="shared" si="374"/>
        <v>1887.9999999999998</v>
      </c>
      <c r="V1488" s="24">
        <f>V1491+V1489</f>
        <v>-101.5</v>
      </c>
      <c r="W1488" s="24">
        <f t="shared" si="369"/>
        <v>1786.4999999999998</v>
      </c>
      <c r="X1488" s="24">
        <f>X1491+X1489</f>
        <v>0</v>
      </c>
      <c r="Y1488" s="24">
        <f t="shared" si="335"/>
        <v>1786.4999999999998</v>
      </c>
      <c r="Z1488" s="189"/>
    </row>
    <row r="1489" spans="1:27" s="6" customFormat="1" ht="24" x14ac:dyDescent="0.25">
      <c r="A1489" s="89" t="s">
        <v>158</v>
      </c>
      <c r="B1489" s="20" t="s">
        <v>386</v>
      </c>
      <c r="C1489" s="70" t="s">
        <v>847</v>
      </c>
      <c r="D1489" s="42"/>
      <c r="E1489" s="24"/>
      <c r="F1489" s="24"/>
      <c r="G1489" s="24"/>
      <c r="H1489" s="24"/>
      <c r="I1489" s="24"/>
      <c r="J1489" s="24"/>
      <c r="K1489" s="24"/>
      <c r="L1489" s="24"/>
      <c r="M1489" s="24"/>
      <c r="N1489" s="18">
        <f>N1490</f>
        <v>1043.2</v>
      </c>
      <c r="O1489" s="24">
        <f t="shared" si="387"/>
        <v>1043.2</v>
      </c>
      <c r="P1489" s="18">
        <f>P1490</f>
        <v>350.1</v>
      </c>
      <c r="Q1489" s="24">
        <f t="shared" si="373"/>
        <v>1393.3000000000002</v>
      </c>
      <c r="R1489" s="18">
        <f>R1490</f>
        <v>0</v>
      </c>
      <c r="S1489" s="24">
        <f t="shared" si="368"/>
        <v>1393.3000000000002</v>
      </c>
      <c r="T1489" s="18">
        <f>T1490</f>
        <v>-1201.3</v>
      </c>
      <c r="U1489" s="24">
        <f t="shared" si="374"/>
        <v>192.00000000000023</v>
      </c>
      <c r="V1489" s="18">
        <f>V1490</f>
        <v>0</v>
      </c>
      <c r="W1489" s="24">
        <f t="shared" si="369"/>
        <v>192.00000000000023</v>
      </c>
      <c r="X1489" s="18">
        <f>X1490</f>
        <v>0</v>
      </c>
      <c r="Y1489" s="24">
        <f t="shared" si="335"/>
        <v>192.00000000000023</v>
      </c>
      <c r="Z1489" s="189"/>
    </row>
    <row r="1490" spans="1:27" s="6" customFormat="1" x14ac:dyDescent="0.25">
      <c r="A1490" s="60" t="s">
        <v>66</v>
      </c>
      <c r="B1490" s="21" t="s">
        <v>386</v>
      </c>
      <c r="C1490" s="65" t="s">
        <v>847</v>
      </c>
      <c r="D1490" s="65" t="s">
        <v>42</v>
      </c>
      <c r="E1490" s="24"/>
      <c r="F1490" s="24"/>
      <c r="G1490" s="24"/>
      <c r="H1490" s="24"/>
      <c r="I1490" s="24"/>
      <c r="J1490" s="24"/>
      <c r="K1490" s="24"/>
      <c r="L1490" s="24"/>
      <c r="M1490" s="24"/>
      <c r="N1490" s="39">
        <v>1043.2</v>
      </c>
      <c r="O1490" s="24">
        <f t="shared" si="387"/>
        <v>1043.2</v>
      </c>
      <c r="P1490" s="126">
        <v>350.1</v>
      </c>
      <c r="Q1490" s="24">
        <f t="shared" si="373"/>
        <v>1393.3000000000002</v>
      </c>
      <c r="R1490" s="69"/>
      <c r="S1490" s="24">
        <f t="shared" ref="S1490:S1641" si="388">Q1490+R1490</f>
        <v>1393.3000000000002</v>
      </c>
      <c r="T1490" s="63">
        <v>-1201.3</v>
      </c>
      <c r="U1490" s="24">
        <f t="shared" si="374"/>
        <v>192.00000000000023</v>
      </c>
      <c r="V1490" s="69"/>
      <c r="W1490" s="24">
        <f t="shared" si="369"/>
        <v>192.00000000000023</v>
      </c>
      <c r="X1490" s="69"/>
      <c r="Y1490" s="24">
        <f t="shared" si="335"/>
        <v>192.00000000000023</v>
      </c>
      <c r="Z1490" s="189"/>
      <c r="AA1490" s="189">
        <f>Y1490+Z1490</f>
        <v>192.00000000000023</v>
      </c>
    </row>
    <row r="1491" spans="1:27" ht="24.75" x14ac:dyDescent="0.25">
      <c r="A1491" s="22" t="s">
        <v>397</v>
      </c>
      <c r="B1491" s="23" t="s">
        <v>386</v>
      </c>
      <c r="C1491" s="23" t="s">
        <v>398</v>
      </c>
      <c r="D1491" s="23" t="s">
        <v>2</v>
      </c>
      <c r="E1491" s="24">
        <f>E1493+E1494</f>
        <v>1696</v>
      </c>
      <c r="F1491" s="24">
        <f>F1493+F1494</f>
        <v>0</v>
      </c>
      <c r="G1491" s="24">
        <f t="shared" si="366"/>
        <v>1696</v>
      </c>
      <c r="H1491" s="24">
        <f>H1493+H1494</f>
        <v>0</v>
      </c>
      <c r="I1491" s="24">
        <f t="shared" si="384"/>
        <v>1696</v>
      </c>
      <c r="J1491" s="24">
        <f>J1493+J1494</f>
        <v>0</v>
      </c>
      <c r="K1491" s="24">
        <f t="shared" si="385"/>
        <v>1696</v>
      </c>
      <c r="L1491" s="24">
        <f>L1493+L1494</f>
        <v>0</v>
      </c>
      <c r="M1491" s="24">
        <f t="shared" si="386"/>
        <v>1696</v>
      </c>
      <c r="N1491" s="24">
        <f>N1493+N1494</f>
        <v>0</v>
      </c>
      <c r="O1491" s="24">
        <f t="shared" si="387"/>
        <v>1696</v>
      </c>
      <c r="P1491" s="24">
        <f>P1493+P1494</f>
        <v>0</v>
      </c>
      <c r="Q1491" s="24">
        <f t="shared" si="373"/>
        <v>1696</v>
      </c>
      <c r="R1491" s="24">
        <f>R1493+R1494</f>
        <v>0</v>
      </c>
      <c r="S1491" s="24">
        <f t="shared" si="388"/>
        <v>1696</v>
      </c>
      <c r="T1491" s="24">
        <f>T1493+T1494+T1492</f>
        <v>0</v>
      </c>
      <c r="U1491" s="24">
        <f t="shared" si="374"/>
        <v>1696</v>
      </c>
      <c r="V1491" s="24">
        <f>V1493+V1494+V1492</f>
        <v>-101.5</v>
      </c>
      <c r="W1491" s="24">
        <f t="shared" si="369"/>
        <v>1594.5</v>
      </c>
      <c r="X1491" s="24">
        <f>X1493+X1494+X1492</f>
        <v>0</v>
      </c>
      <c r="Y1491" s="24">
        <f t="shared" si="335"/>
        <v>1594.5</v>
      </c>
    </row>
    <row r="1492" spans="1:27" ht="24.75" x14ac:dyDescent="0.25">
      <c r="A1492" s="62" t="s">
        <v>563</v>
      </c>
      <c r="B1492" s="21" t="s">
        <v>386</v>
      </c>
      <c r="C1492" s="21" t="s">
        <v>398</v>
      </c>
      <c r="D1492" s="21" t="s">
        <v>315</v>
      </c>
      <c r="E1492" s="24"/>
      <c r="F1492" s="24"/>
      <c r="G1492" s="24"/>
      <c r="H1492" s="24"/>
      <c r="I1492" s="24"/>
      <c r="J1492" s="24"/>
      <c r="K1492" s="24"/>
      <c r="L1492" s="24"/>
      <c r="M1492" s="24"/>
      <c r="N1492" s="24"/>
      <c r="O1492" s="24"/>
      <c r="P1492" s="24"/>
      <c r="Q1492" s="24"/>
      <c r="R1492" s="24"/>
      <c r="S1492" s="24"/>
      <c r="T1492" s="63">
        <v>39.799999999999997</v>
      </c>
      <c r="U1492" s="24">
        <f t="shared" si="374"/>
        <v>39.799999999999997</v>
      </c>
      <c r="V1492" s="69"/>
      <c r="W1492" s="24">
        <f t="shared" si="369"/>
        <v>39.799999999999997</v>
      </c>
      <c r="X1492" s="69"/>
      <c r="Y1492" s="24">
        <f t="shared" si="335"/>
        <v>39.799999999999997</v>
      </c>
      <c r="AA1492" s="189">
        <f t="shared" ref="AA1492:AA1494" si="389">Y1492+Z1492</f>
        <v>39.799999999999997</v>
      </c>
    </row>
    <row r="1493" spans="1:27" s="6" customFormat="1" x14ac:dyDescent="0.25">
      <c r="A1493" s="25" t="s">
        <v>574</v>
      </c>
      <c r="B1493" s="26" t="s">
        <v>386</v>
      </c>
      <c r="C1493" s="26" t="s">
        <v>398</v>
      </c>
      <c r="D1493" s="26" t="s">
        <v>81</v>
      </c>
      <c r="E1493" s="27">
        <v>1529.7</v>
      </c>
      <c r="F1493" s="27"/>
      <c r="G1493" s="24">
        <f t="shared" ref="G1493:G1600" si="390">E1493+F1493</f>
        <v>1529.7</v>
      </c>
      <c r="H1493" s="27"/>
      <c r="I1493" s="24">
        <f t="shared" si="384"/>
        <v>1529.7</v>
      </c>
      <c r="J1493" s="27"/>
      <c r="K1493" s="24">
        <f t="shared" si="385"/>
        <v>1529.7</v>
      </c>
      <c r="L1493" s="27"/>
      <c r="M1493" s="24">
        <f t="shared" si="386"/>
        <v>1529.7</v>
      </c>
      <c r="N1493" s="63">
        <v>-79.400000000000006</v>
      </c>
      <c r="O1493" s="24">
        <f t="shared" si="387"/>
        <v>1450.3</v>
      </c>
      <c r="P1493" s="69"/>
      <c r="Q1493" s="24">
        <f t="shared" si="373"/>
        <v>1450.3</v>
      </c>
      <c r="R1493" s="69"/>
      <c r="S1493" s="24">
        <f t="shared" si="388"/>
        <v>1450.3</v>
      </c>
      <c r="T1493" s="69"/>
      <c r="U1493" s="24">
        <f t="shared" si="374"/>
        <v>1450.3</v>
      </c>
      <c r="V1493" s="94">
        <v>-38.299999999999997</v>
      </c>
      <c r="W1493" s="24">
        <f t="shared" si="369"/>
        <v>1412</v>
      </c>
      <c r="X1493" s="69"/>
      <c r="Y1493" s="24">
        <f t="shared" si="335"/>
        <v>1412</v>
      </c>
      <c r="Z1493" s="189"/>
      <c r="AA1493" s="189">
        <f t="shared" si="389"/>
        <v>1412</v>
      </c>
    </row>
    <row r="1494" spans="1:27" s="6" customFormat="1" x14ac:dyDescent="0.25">
      <c r="A1494" s="25" t="s">
        <v>321</v>
      </c>
      <c r="B1494" s="26" t="s">
        <v>386</v>
      </c>
      <c r="C1494" s="26" t="s">
        <v>398</v>
      </c>
      <c r="D1494" s="26" t="s">
        <v>322</v>
      </c>
      <c r="E1494" s="27">
        <v>166.3</v>
      </c>
      <c r="F1494" s="27"/>
      <c r="G1494" s="24">
        <f t="shared" si="390"/>
        <v>166.3</v>
      </c>
      <c r="H1494" s="27"/>
      <c r="I1494" s="24">
        <f t="shared" si="384"/>
        <v>166.3</v>
      </c>
      <c r="J1494" s="27"/>
      <c r="K1494" s="24">
        <f t="shared" si="385"/>
        <v>166.3</v>
      </c>
      <c r="L1494" s="27"/>
      <c r="M1494" s="24">
        <f t="shared" si="386"/>
        <v>166.3</v>
      </c>
      <c r="N1494" s="63">
        <v>79.400000000000006</v>
      </c>
      <c r="O1494" s="24">
        <f t="shared" si="387"/>
        <v>245.70000000000002</v>
      </c>
      <c r="P1494" s="69"/>
      <c r="Q1494" s="24">
        <f t="shared" si="373"/>
        <v>245.70000000000002</v>
      </c>
      <c r="R1494" s="69"/>
      <c r="S1494" s="24">
        <f t="shared" si="388"/>
        <v>245.70000000000002</v>
      </c>
      <c r="T1494" s="63">
        <v>-39.799999999999997</v>
      </c>
      <c r="U1494" s="24">
        <f t="shared" si="374"/>
        <v>205.90000000000003</v>
      </c>
      <c r="V1494" s="94">
        <v>-63.2</v>
      </c>
      <c r="W1494" s="24">
        <f t="shared" si="369"/>
        <v>142.70000000000005</v>
      </c>
      <c r="X1494" s="69"/>
      <c r="Y1494" s="24">
        <f t="shared" si="335"/>
        <v>142.70000000000005</v>
      </c>
      <c r="Z1494" s="189"/>
      <c r="AA1494" s="189">
        <f t="shared" si="389"/>
        <v>142.70000000000005</v>
      </c>
    </row>
    <row r="1495" spans="1:27" s="6" customFormat="1" x14ac:dyDescent="0.25">
      <c r="A1495" s="22" t="s">
        <v>309</v>
      </c>
      <c r="B1495" s="20" t="s">
        <v>386</v>
      </c>
      <c r="C1495" s="23" t="s">
        <v>310</v>
      </c>
      <c r="D1495" s="21"/>
      <c r="E1495" s="27"/>
      <c r="F1495" s="27"/>
      <c r="G1495" s="24"/>
      <c r="H1495" s="27"/>
      <c r="I1495" s="24"/>
      <c r="J1495" s="27"/>
      <c r="K1495" s="24"/>
      <c r="L1495" s="27"/>
      <c r="M1495" s="24"/>
      <c r="N1495" s="63"/>
      <c r="O1495" s="24"/>
      <c r="P1495" s="69"/>
      <c r="Q1495" s="24"/>
      <c r="R1495" s="69"/>
      <c r="S1495" s="24"/>
      <c r="T1495" s="47">
        <f>T1496</f>
        <v>65</v>
      </c>
      <c r="U1495" s="24">
        <f t="shared" si="374"/>
        <v>65</v>
      </c>
      <c r="V1495" s="47">
        <f>V1496</f>
        <v>0</v>
      </c>
      <c r="W1495" s="24">
        <f t="shared" si="369"/>
        <v>65</v>
      </c>
      <c r="X1495" s="47">
        <f>X1496</f>
        <v>0</v>
      </c>
      <c r="Y1495" s="24">
        <f t="shared" si="335"/>
        <v>65</v>
      </c>
      <c r="Z1495" s="189"/>
    </row>
    <row r="1496" spans="1:27" s="6" customFormat="1" x14ac:dyDescent="0.25">
      <c r="A1496" s="44" t="s">
        <v>783</v>
      </c>
      <c r="B1496" s="20" t="s">
        <v>386</v>
      </c>
      <c r="C1496" s="41" t="s">
        <v>785</v>
      </c>
      <c r="D1496" s="21"/>
      <c r="E1496" s="27"/>
      <c r="F1496" s="27"/>
      <c r="G1496" s="24"/>
      <c r="H1496" s="27"/>
      <c r="I1496" s="24"/>
      <c r="J1496" s="27"/>
      <c r="K1496" s="24"/>
      <c r="L1496" s="27"/>
      <c r="M1496" s="24"/>
      <c r="N1496" s="63"/>
      <c r="O1496" s="24"/>
      <c r="P1496" s="69"/>
      <c r="Q1496" s="24"/>
      <c r="R1496" s="69"/>
      <c r="S1496" s="24"/>
      <c r="T1496" s="47">
        <f>T1497</f>
        <v>65</v>
      </c>
      <c r="U1496" s="24">
        <f t="shared" si="374"/>
        <v>65</v>
      </c>
      <c r="V1496" s="47">
        <f>V1497</f>
        <v>0</v>
      </c>
      <c r="W1496" s="24">
        <f t="shared" si="369"/>
        <v>65</v>
      </c>
      <c r="X1496" s="47">
        <f>X1497</f>
        <v>0</v>
      </c>
      <c r="Y1496" s="24">
        <f t="shared" si="335"/>
        <v>65</v>
      </c>
      <c r="Z1496" s="189"/>
    </row>
    <row r="1497" spans="1:27" s="6" customFormat="1" ht="24.75" x14ac:dyDescent="0.25">
      <c r="A1497" s="16" t="s">
        <v>1256</v>
      </c>
      <c r="B1497" s="20" t="s">
        <v>386</v>
      </c>
      <c r="C1497" s="41" t="s">
        <v>1257</v>
      </c>
      <c r="D1497" s="21"/>
      <c r="E1497" s="27"/>
      <c r="F1497" s="27"/>
      <c r="G1497" s="24"/>
      <c r="H1497" s="27"/>
      <c r="I1497" s="24"/>
      <c r="J1497" s="27"/>
      <c r="K1497" s="24"/>
      <c r="L1497" s="27"/>
      <c r="M1497" s="24"/>
      <c r="N1497" s="63"/>
      <c r="O1497" s="24"/>
      <c r="P1497" s="69"/>
      <c r="Q1497" s="24"/>
      <c r="R1497" s="69"/>
      <c r="S1497" s="24"/>
      <c r="T1497" s="47">
        <f>T1498</f>
        <v>65</v>
      </c>
      <c r="U1497" s="24">
        <f t="shared" si="374"/>
        <v>65</v>
      </c>
      <c r="V1497" s="47">
        <f>V1498</f>
        <v>0</v>
      </c>
      <c r="W1497" s="24">
        <f t="shared" si="369"/>
        <v>65</v>
      </c>
      <c r="X1497" s="47">
        <f>X1498</f>
        <v>0</v>
      </c>
      <c r="Y1497" s="24">
        <f t="shared" si="335"/>
        <v>65</v>
      </c>
      <c r="Z1497" s="189"/>
    </row>
    <row r="1498" spans="1:27" s="6" customFormat="1" x14ac:dyDescent="0.25">
      <c r="A1498" s="25" t="s">
        <v>574</v>
      </c>
      <c r="B1498" s="21" t="s">
        <v>386</v>
      </c>
      <c r="C1498" s="42" t="s">
        <v>1257</v>
      </c>
      <c r="D1498" s="21" t="s">
        <v>81</v>
      </c>
      <c r="E1498" s="27"/>
      <c r="F1498" s="27"/>
      <c r="G1498" s="24"/>
      <c r="H1498" s="27"/>
      <c r="I1498" s="24"/>
      <c r="J1498" s="27"/>
      <c r="K1498" s="24"/>
      <c r="L1498" s="27"/>
      <c r="M1498" s="24"/>
      <c r="N1498" s="63"/>
      <c r="O1498" s="24"/>
      <c r="P1498" s="69"/>
      <c r="Q1498" s="24"/>
      <c r="R1498" s="69"/>
      <c r="S1498" s="24"/>
      <c r="T1498" s="39">
        <v>65</v>
      </c>
      <c r="U1498" s="24">
        <f t="shared" si="374"/>
        <v>65</v>
      </c>
      <c r="V1498" s="69"/>
      <c r="W1498" s="24">
        <f t="shared" si="369"/>
        <v>65</v>
      </c>
      <c r="X1498" s="69"/>
      <c r="Y1498" s="24">
        <f t="shared" si="335"/>
        <v>65</v>
      </c>
      <c r="Z1498" s="189"/>
      <c r="AA1498" s="189">
        <f>Y1498+Z1498</f>
        <v>65</v>
      </c>
    </row>
    <row r="1499" spans="1:27" s="6" customFormat="1" ht="24.75" x14ac:dyDescent="0.25">
      <c r="A1499" s="22" t="s">
        <v>77</v>
      </c>
      <c r="B1499" s="23" t="s">
        <v>386</v>
      </c>
      <c r="C1499" s="23" t="s">
        <v>78</v>
      </c>
      <c r="D1499" s="23" t="s">
        <v>2</v>
      </c>
      <c r="E1499" s="24">
        <f>E1500+E1514+E1522</f>
        <v>69287.3</v>
      </c>
      <c r="F1499" s="24">
        <f>F1500+F1514+F1522</f>
        <v>0</v>
      </c>
      <c r="G1499" s="24">
        <f t="shared" si="390"/>
        <v>69287.3</v>
      </c>
      <c r="H1499" s="24">
        <f>H1500+H1514+H1522</f>
        <v>0</v>
      </c>
      <c r="I1499" s="24">
        <f t="shared" si="384"/>
        <v>69287.3</v>
      </c>
      <c r="J1499" s="24">
        <f>J1500+J1514+J1522</f>
        <v>46679.3</v>
      </c>
      <c r="K1499" s="24">
        <f t="shared" si="385"/>
        <v>115966.6</v>
      </c>
      <c r="L1499" s="24">
        <f>L1500+L1514+L1522</f>
        <v>766.6</v>
      </c>
      <c r="M1499" s="24">
        <f t="shared" si="386"/>
        <v>116733.20000000001</v>
      </c>
      <c r="N1499" s="24">
        <f>N1500+N1514+N1522</f>
        <v>-4709.8</v>
      </c>
      <c r="O1499" s="24">
        <f t="shared" si="387"/>
        <v>112023.40000000001</v>
      </c>
      <c r="P1499" s="24">
        <f>P1500+P1514+P1522</f>
        <v>18867.600000000002</v>
      </c>
      <c r="Q1499" s="24">
        <f t="shared" si="373"/>
        <v>130891.00000000001</v>
      </c>
      <c r="R1499" s="24">
        <f>R1500+R1514+R1522</f>
        <v>161.30000000000001</v>
      </c>
      <c r="S1499" s="24">
        <f t="shared" si="388"/>
        <v>131052.30000000002</v>
      </c>
      <c r="T1499" s="24">
        <f>T1500+T1514+T1522</f>
        <v>7416.3</v>
      </c>
      <c r="U1499" s="24">
        <f t="shared" si="374"/>
        <v>138468.6</v>
      </c>
      <c r="V1499" s="24">
        <f>V1500+V1514+V1522</f>
        <v>-297.29999999999995</v>
      </c>
      <c r="W1499" s="24">
        <f t="shared" si="369"/>
        <v>138171.30000000002</v>
      </c>
      <c r="X1499" s="24">
        <f>X1500+X1514+X1522</f>
        <v>105.09999999999991</v>
      </c>
      <c r="Y1499" s="24">
        <f t="shared" si="335"/>
        <v>138276.40000000002</v>
      </c>
      <c r="Z1499" s="189"/>
    </row>
    <row r="1500" spans="1:27" s="6" customFormat="1" x14ac:dyDescent="0.25">
      <c r="A1500" s="22" t="s">
        <v>316</v>
      </c>
      <c r="B1500" s="23" t="s">
        <v>386</v>
      </c>
      <c r="C1500" s="23" t="s">
        <v>317</v>
      </c>
      <c r="D1500" s="23" t="s">
        <v>2</v>
      </c>
      <c r="E1500" s="24">
        <f>E1504+E1512</f>
        <v>9198</v>
      </c>
      <c r="F1500" s="24">
        <f>F1504+F1512</f>
        <v>0</v>
      </c>
      <c r="G1500" s="24">
        <f t="shared" si="390"/>
        <v>9198</v>
      </c>
      <c r="H1500" s="24">
        <f>H1504+H1512</f>
        <v>0</v>
      </c>
      <c r="I1500" s="24">
        <f t="shared" si="384"/>
        <v>9198</v>
      </c>
      <c r="J1500" s="24">
        <f>J1504+J1512</f>
        <v>0</v>
      </c>
      <c r="K1500" s="24">
        <f t="shared" si="385"/>
        <v>9198</v>
      </c>
      <c r="L1500" s="24">
        <f>L1504+L1512</f>
        <v>0</v>
      </c>
      <c r="M1500" s="24">
        <f t="shared" si="386"/>
        <v>9198</v>
      </c>
      <c r="N1500" s="24">
        <f>N1504+N1512</f>
        <v>27.2</v>
      </c>
      <c r="O1500" s="24">
        <f t="shared" si="387"/>
        <v>9225.2000000000007</v>
      </c>
      <c r="P1500" s="24">
        <f>P1504+P1512</f>
        <v>0</v>
      </c>
      <c r="Q1500" s="24">
        <f t="shared" si="373"/>
        <v>9225.2000000000007</v>
      </c>
      <c r="R1500" s="24">
        <f>R1504+R1512+R1501</f>
        <v>-27.599999999999994</v>
      </c>
      <c r="S1500" s="24">
        <f t="shared" si="388"/>
        <v>9197.6</v>
      </c>
      <c r="T1500" s="24">
        <f>T1504+T1512+T1501</f>
        <v>-30.000000000000007</v>
      </c>
      <c r="U1500" s="24">
        <f t="shared" si="374"/>
        <v>9167.6</v>
      </c>
      <c r="V1500" s="24">
        <f>V1504+V1512+V1501+V1509</f>
        <v>-611.9</v>
      </c>
      <c r="W1500" s="24">
        <f t="shared" si="369"/>
        <v>8555.7000000000007</v>
      </c>
      <c r="X1500" s="24">
        <f>X1504+X1512+X1501+X1509</f>
        <v>149.69999999999999</v>
      </c>
      <c r="Y1500" s="24">
        <f t="shared" si="335"/>
        <v>8705.4000000000015</v>
      </c>
      <c r="Z1500" s="189"/>
    </row>
    <row r="1501" spans="1:27" s="6" customFormat="1" x14ac:dyDescent="0.25">
      <c r="A1501" s="16" t="s">
        <v>769</v>
      </c>
      <c r="B1501" s="20" t="s">
        <v>386</v>
      </c>
      <c r="C1501" s="20" t="s">
        <v>1246</v>
      </c>
      <c r="D1501" s="20" t="s">
        <v>2</v>
      </c>
      <c r="E1501" s="24"/>
      <c r="F1501" s="24"/>
      <c r="G1501" s="24"/>
      <c r="H1501" s="24"/>
      <c r="I1501" s="24"/>
      <c r="J1501" s="24"/>
      <c r="K1501" s="24"/>
      <c r="L1501" s="24"/>
      <c r="M1501" s="24"/>
      <c r="N1501" s="24"/>
      <c r="O1501" s="24"/>
      <c r="P1501" s="24"/>
      <c r="Q1501" s="24"/>
      <c r="R1501" s="18">
        <f>R1502+R1503</f>
        <v>142.4</v>
      </c>
      <c r="S1501" s="24">
        <f t="shared" si="388"/>
        <v>142.4</v>
      </c>
      <c r="T1501" s="18">
        <f>T1502+T1503</f>
        <v>0</v>
      </c>
      <c r="U1501" s="24">
        <f t="shared" si="374"/>
        <v>142.4</v>
      </c>
      <c r="V1501" s="18">
        <f>V1502+V1503</f>
        <v>0</v>
      </c>
      <c r="W1501" s="24">
        <f t="shared" si="369"/>
        <v>142.4</v>
      </c>
      <c r="X1501" s="18">
        <f>X1502+X1503</f>
        <v>0</v>
      </c>
      <c r="Y1501" s="24">
        <f t="shared" si="335"/>
        <v>142.4</v>
      </c>
      <c r="Z1501" s="189"/>
    </row>
    <row r="1502" spans="1:27" s="6" customFormat="1" x14ac:dyDescent="0.25">
      <c r="A1502" s="17" t="s">
        <v>560</v>
      </c>
      <c r="B1502" s="21" t="s">
        <v>386</v>
      </c>
      <c r="C1502" s="21" t="s">
        <v>1246</v>
      </c>
      <c r="D1502" s="21" t="s">
        <v>12</v>
      </c>
      <c r="E1502" s="24"/>
      <c r="F1502" s="24"/>
      <c r="G1502" s="24"/>
      <c r="H1502" s="24"/>
      <c r="I1502" s="24"/>
      <c r="J1502" s="24"/>
      <c r="K1502" s="24"/>
      <c r="L1502" s="24"/>
      <c r="M1502" s="24"/>
      <c r="N1502" s="24"/>
      <c r="O1502" s="24"/>
      <c r="P1502" s="24"/>
      <c r="Q1502" s="24"/>
      <c r="R1502" s="43">
        <v>109.4</v>
      </c>
      <c r="S1502" s="24">
        <f t="shared" si="388"/>
        <v>109.4</v>
      </c>
      <c r="T1502" s="69"/>
      <c r="U1502" s="24">
        <f t="shared" si="374"/>
        <v>109.4</v>
      </c>
      <c r="V1502" s="69"/>
      <c r="W1502" s="24">
        <f t="shared" si="369"/>
        <v>109.4</v>
      </c>
      <c r="X1502" s="69"/>
      <c r="Y1502" s="24">
        <f t="shared" si="335"/>
        <v>109.4</v>
      </c>
      <c r="Z1502" s="189"/>
      <c r="AA1502" s="189">
        <f t="shared" ref="AA1502:AA1503" si="391">Y1502+Z1502</f>
        <v>109.4</v>
      </c>
    </row>
    <row r="1503" spans="1:27" s="6" customFormat="1" ht="36.75" x14ac:dyDescent="0.25">
      <c r="A1503" s="17" t="s">
        <v>561</v>
      </c>
      <c r="B1503" s="21" t="s">
        <v>386</v>
      </c>
      <c r="C1503" s="21" t="s">
        <v>1246</v>
      </c>
      <c r="D1503" s="21" t="s">
        <v>13</v>
      </c>
      <c r="E1503" s="24"/>
      <c r="F1503" s="24"/>
      <c r="G1503" s="24"/>
      <c r="H1503" s="24"/>
      <c r="I1503" s="24"/>
      <c r="J1503" s="24"/>
      <c r="K1503" s="24"/>
      <c r="L1503" s="24"/>
      <c r="M1503" s="24"/>
      <c r="N1503" s="24"/>
      <c r="O1503" s="24"/>
      <c r="P1503" s="24"/>
      <c r="Q1503" s="24"/>
      <c r="R1503" s="43">
        <v>33</v>
      </c>
      <c r="S1503" s="24">
        <f t="shared" si="388"/>
        <v>33</v>
      </c>
      <c r="T1503" s="69"/>
      <c r="U1503" s="24">
        <f t="shared" si="374"/>
        <v>33</v>
      </c>
      <c r="V1503" s="69"/>
      <c r="W1503" s="24">
        <f t="shared" si="369"/>
        <v>33</v>
      </c>
      <c r="X1503" s="69"/>
      <c r="Y1503" s="24">
        <f t="shared" si="335"/>
        <v>33</v>
      </c>
      <c r="Z1503" s="189"/>
      <c r="AA1503" s="189">
        <f t="shared" si="391"/>
        <v>33</v>
      </c>
    </row>
    <row r="1504" spans="1:27" x14ac:dyDescent="0.25">
      <c r="A1504" s="22" t="s">
        <v>52</v>
      </c>
      <c r="B1504" s="23" t="s">
        <v>386</v>
      </c>
      <c r="C1504" s="23" t="s">
        <v>399</v>
      </c>
      <c r="D1504" s="23" t="s">
        <v>2</v>
      </c>
      <c r="E1504" s="24">
        <f>E1505+E1506+E1507+E1508</f>
        <v>8999.7000000000007</v>
      </c>
      <c r="F1504" s="24">
        <f>F1505+F1506+F1507+F1508</f>
        <v>0</v>
      </c>
      <c r="G1504" s="24">
        <f t="shared" si="390"/>
        <v>8999.7000000000007</v>
      </c>
      <c r="H1504" s="24">
        <f>H1505+H1506+H1507+H1508</f>
        <v>0</v>
      </c>
      <c r="I1504" s="24">
        <f t="shared" si="384"/>
        <v>8999.7000000000007</v>
      </c>
      <c r="J1504" s="24">
        <f>J1505+J1506+J1507+J1508</f>
        <v>0</v>
      </c>
      <c r="K1504" s="24">
        <f t="shared" si="385"/>
        <v>8999.7000000000007</v>
      </c>
      <c r="L1504" s="24">
        <f>L1505+L1506+L1507+L1508</f>
        <v>0</v>
      </c>
      <c r="M1504" s="24">
        <f t="shared" si="386"/>
        <v>8999.7000000000007</v>
      </c>
      <c r="N1504" s="24">
        <f>N1505+N1506+N1507+N1508</f>
        <v>0</v>
      </c>
      <c r="O1504" s="24">
        <f t="shared" si="387"/>
        <v>8999.7000000000007</v>
      </c>
      <c r="P1504" s="24">
        <f>P1505+P1506+P1507+P1508</f>
        <v>0</v>
      </c>
      <c r="Q1504" s="24">
        <f t="shared" si="373"/>
        <v>8999.7000000000007</v>
      </c>
      <c r="R1504" s="24">
        <f>R1505+R1506+R1507+R1508</f>
        <v>-29.8</v>
      </c>
      <c r="S1504" s="24">
        <f t="shared" si="388"/>
        <v>8969.9000000000015</v>
      </c>
      <c r="T1504" s="24">
        <f>T1505+T1506+T1507+T1508</f>
        <v>-30.000000000000007</v>
      </c>
      <c r="U1504" s="24">
        <f t="shared" si="374"/>
        <v>8939.9000000000015</v>
      </c>
      <c r="V1504" s="24">
        <f>V1505+V1506+V1507+V1508</f>
        <v>-703.3</v>
      </c>
      <c r="W1504" s="24">
        <f t="shared" si="369"/>
        <v>8236.6000000000022</v>
      </c>
      <c r="X1504" s="24">
        <f>X1505+X1506+X1507+X1508</f>
        <v>149.69999999999999</v>
      </c>
      <c r="Y1504" s="24">
        <f t="shared" si="335"/>
        <v>8386.3000000000029</v>
      </c>
    </row>
    <row r="1505" spans="1:27" x14ac:dyDescent="0.25">
      <c r="A1505" s="25" t="s">
        <v>560</v>
      </c>
      <c r="B1505" s="26" t="s">
        <v>386</v>
      </c>
      <c r="C1505" s="26" t="s">
        <v>399</v>
      </c>
      <c r="D1505" s="26" t="s">
        <v>12</v>
      </c>
      <c r="E1505" s="27">
        <v>6480</v>
      </c>
      <c r="F1505" s="27"/>
      <c r="G1505" s="24">
        <f t="shared" si="390"/>
        <v>6480</v>
      </c>
      <c r="H1505" s="27"/>
      <c r="I1505" s="24">
        <f t="shared" si="384"/>
        <v>6480</v>
      </c>
      <c r="J1505" s="27"/>
      <c r="K1505" s="24">
        <f t="shared" si="385"/>
        <v>6480</v>
      </c>
      <c r="L1505" s="107">
        <v>18</v>
      </c>
      <c r="M1505" s="24">
        <f t="shared" si="386"/>
        <v>6498</v>
      </c>
      <c r="N1505" s="69"/>
      <c r="O1505" s="24">
        <f t="shared" si="387"/>
        <v>6498</v>
      </c>
      <c r="P1505" s="69"/>
      <c r="Q1505" s="24">
        <f t="shared" si="373"/>
        <v>6498</v>
      </c>
      <c r="R1505" s="69"/>
      <c r="S1505" s="24">
        <f t="shared" si="388"/>
        <v>6498</v>
      </c>
      <c r="T1505" s="69"/>
      <c r="U1505" s="24">
        <f t="shared" si="374"/>
        <v>6498</v>
      </c>
      <c r="V1505" s="94">
        <v>-510</v>
      </c>
      <c r="W1505" s="24">
        <f t="shared" si="369"/>
        <v>5988</v>
      </c>
      <c r="X1505" s="69"/>
      <c r="Y1505" s="24">
        <f t="shared" si="335"/>
        <v>5988</v>
      </c>
      <c r="AA1505" s="189">
        <f t="shared" ref="AA1505:AA1508" si="392">Y1505+Z1505</f>
        <v>5988</v>
      </c>
    </row>
    <row r="1506" spans="1:27" s="6" customFormat="1" ht="36.75" x14ac:dyDescent="0.25">
      <c r="A1506" s="25" t="s">
        <v>561</v>
      </c>
      <c r="B1506" s="26" t="s">
        <v>386</v>
      </c>
      <c r="C1506" s="26" t="s">
        <v>399</v>
      </c>
      <c r="D1506" s="26" t="s">
        <v>13</v>
      </c>
      <c r="E1506" s="27">
        <v>1959.7</v>
      </c>
      <c r="F1506" s="27"/>
      <c r="G1506" s="24">
        <f t="shared" si="390"/>
        <v>1959.7</v>
      </c>
      <c r="H1506" s="27"/>
      <c r="I1506" s="24">
        <f t="shared" si="384"/>
        <v>1959.7</v>
      </c>
      <c r="J1506" s="27"/>
      <c r="K1506" s="24">
        <f t="shared" si="385"/>
        <v>1959.7</v>
      </c>
      <c r="L1506" s="107">
        <v>-18</v>
      </c>
      <c r="M1506" s="24">
        <f t="shared" si="386"/>
        <v>1941.7</v>
      </c>
      <c r="N1506" s="69"/>
      <c r="O1506" s="24">
        <f t="shared" si="387"/>
        <v>1941.7</v>
      </c>
      <c r="P1506" s="69"/>
      <c r="Q1506" s="24">
        <f t="shared" si="373"/>
        <v>1941.7</v>
      </c>
      <c r="R1506" s="69"/>
      <c r="S1506" s="24">
        <f t="shared" si="388"/>
        <v>1941.7</v>
      </c>
      <c r="T1506" s="69"/>
      <c r="U1506" s="24">
        <f t="shared" si="374"/>
        <v>1941.7</v>
      </c>
      <c r="V1506" s="83"/>
      <c r="W1506" s="24">
        <f t="shared" si="369"/>
        <v>1941.7</v>
      </c>
      <c r="X1506" s="83"/>
      <c r="Y1506" s="24">
        <f t="shared" si="335"/>
        <v>1941.7</v>
      </c>
      <c r="Z1506" s="189"/>
      <c r="AA1506" s="189">
        <f t="shared" si="392"/>
        <v>1941.7</v>
      </c>
    </row>
    <row r="1507" spans="1:27" s="6" customFormat="1" ht="24.75" x14ac:dyDescent="0.25">
      <c r="A1507" s="25" t="s">
        <v>562</v>
      </c>
      <c r="B1507" s="26" t="s">
        <v>386</v>
      </c>
      <c r="C1507" s="26" t="s">
        <v>399</v>
      </c>
      <c r="D1507" s="26" t="s">
        <v>40</v>
      </c>
      <c r="E1507" s="27">
        <v>150</v>
      </c>
      <c r="F1507" s="27"/>
      <c r="G1507" s="24">
        <f t="shared" si="390"/>
        <v>150</v>
      </c>
      <c r="H1507" s="27"/>
      <c r="I1507" s="24">
        <f t="shared" si="384"/>
        <v>150</v>
      </c>
      <c r="J1507" s="27"/>
      <c r="K1507" s="24">
        <f t="shared" si="385"/>
        <v>150</v>
      </c>
      <c r="L1507" s="107">
        <v>1</v>
      </c>
      <c r="M1507" s="24">
        <f t="shared" si="386"/>
        <v>151</v>
      </c>
      <c r="N1507" s="63">
        <v>84.6</v>
      </c>
      <c r="O1507" s="24">
        <f t="shared" si="387"/>
        <v>235.6</v>
      </c>
      <c r="P1507" s="69"/>
      <c r="Q1507" s="24">
        <f t="shared" si="373"/>
        <v>235.6</v>
      </c>
      <c r="R1507" s="69"/>
      <c r="S1507" s="24">
        <f t="shared" si="388"/>
        <v>235.6</v>
      </c>
      <c r="T1507" s="63">
        <v>-64.400000000000006</v>
      </c>
      <c r="U1507" s="24">
        <f t="shared" si="374"/>
        <v>171.2</v>
      </c>
      <c r="V1507" s="39">
        <f>-100+65</f>
        <v>-35</v>
      </c>
      <c r="W1507" s="24">
        <f t="shared" si="369"/>
        <v>136.19999999999999</v>
      </c>
      <c r="X1507" s="109">
        <f>100-25</f>
        <v>75</v>
      </c>
      <c r="Y1507" s="24">
        <f t="shared" si="335"/>
        <v>211.2</v>
      </c>
      <c r="Z1507" s="189">
        <v>-25</v>
      </c>
      <c r="AA1507" s="189">
        <f t="shared" si="392"/>
        <v>186.2</v>
      </c>
    </row>
    <row r="1508" spans="1:27" s="6" customFormat="1" x14ac:dyDescent="0.25">
      <c r="A1508" s="25" t="s">
        <v>66</v>
      </c>
      <c r="B1508" s="26" t="s">
        <v>386</v>
      </c>
      <c r="C1508" s="26" t="s">
        <v>399</v>
      </c>
      <c r="D1508" s="26" t="s">
        <v>42</v>
      </c>
      <c r="E1508" s="27">
        <v>410</v>
      </c>
      <c r="F1508" s="27"/>
      <c r="G1508" s="24">
        <f t="shared" si="390"/>
        <v>410</v>
      </c>
      <c r="H1508" s="27"/>
      <c r="I1508" s="24">
        <f t="shared" si="384"/>
        <v>410</v>
      </c>
      <c r="J1508" s="27"/>
      <c r="K1508" s="24">
        <f t="shared" si="385"/>
        <v>410</v>
      </c>
      <c r="L1508" s="107">
        <v>-1</v>
      </c>
      <c r="M1508" s="24">
        <f t="shared" si="386"/>
        <v>409</v>
      </c>
      <c r="N1508" s="63">
        <v>-84.6</v>
      </c>
      <c r="O1508" s="24">
        <f t="shared" si="387"/>
        <v>324.39999999999998</v>
      </c>
      <c r="P1508" s="69"/>
      <c r="Q1508" s="24">
        <f t="shared" si="373"/>
        <v>324.39999999999998</v>
      </c>
      <c r="R1508" s="39">
        <v>-29.8</v>
      </c>
      <c r="S1508" s="24">
        <f t="shared" si="388"/>
        <v>294.59999999999997</v>
      </c>
      <c r="T1508" s="63">
        <v>34.4</v>
      </c>
      <c r="U1508" s="24">
        <f t="shared" si="374"/>
        <v>328.99999999999994</v>
      </c>
      <c r="V1508" s="39">
        <f>-66.9-91.4</f>
        <v>-158.30000000000001</v>
      </c>
      <c r="W1508" s="24">
        <f t="shared" si="369"/>
        <v>170.69999999999993</v>
      </c>
      <c r="X1508" s="109">
        <f>66.9+7.8</f>
        <v>74.7</v>
      </c>
      <c r="Y1508" s="24">
        <f t="shared" si="335"/>
        <v>245.39999999999992</v>
      </c>
      <c r="Z1508" s="189">
        <v>7.8</v>
      </c>
      <c r="AA1508" s="189">
        <f t="shared" si="392"/>
        <v>253.19999999999993</v>
      </c>
    </row>
    <row r="1509" spans="1:27" s="6" customFormat="1" x14ac:dyDescent="0.25">
      <c r="A1509" s="100" t="s">
        <v>841</v>
      </c>
      <c r="B1509" s="20" t="s">
        <v>386</v>
      </c>
      <c r="C1509" s="20" t="s">
        <v>1404</v>
      </c>
      <c r="D1509" s="20" t="s">
        <v>2</v>
      </c>
      <c r="E1509" s="27"/>
      <c r="F1509" s="27"/>
      <c r="G1509" s="24"/>
      <c r="H1509" s="27"/>
      <c r="I1509" s="24"/>
      <c r="J1509" s="27"/>
      <c r="K1509" s="24"/>
      <c r="L1509" s="107"/>
      <c r="M1509" s="24"/>
      <c r="N1509" s="63"/>
      <c r="O1509" s="24"/>
      <c r="P1509" s="69"/>
      <c r="Q1509" s="24"/>
      <c r="R1509" s="39"/>
      <c r="S1509" s="24"/>
      <c r="T1509" s="63"/>
      <c r="U1509" s="24"/>
      <c r="V1509" s="47">
        <f>V1510+V1511</f>
        <v>91.4</v>
      </c>
      <c r="W1509" s="24">
        <f t="shared" si="369"/>
        <v>91.4</v>
      </c>
      <c r="X1509" s="47">
        <f>X1510+X1511</f>
        <v>0</v>
      </c>
      <c r="Y1509" s="24">
        <f t="shared" si="335"/>
        <v>91.4</v>
      </c>
      <c r="Z1509" s="189"/>
    </row>
    <row r="1510" spans="1:27" s="6" customFormat="1" x14ac:dyDescent="0.25">
      <c r="A1510" s="17" t="s">
        <v>560</v>
      </c>
      <c r="B1510" s="21" t="s">
        <v>386</v>
      </c>
      <c r="C1510" s="21" t="s">
        <v>1404</v>
      </c>
      <c r="D1510" s="21" t="s">
        <v>12</v>
      </c>
      <c r="E1510" s="27"/>
      <c r="F1510" s="27"/>
      <c r="G1510" s="24"/>
      <c r="H1510" s="27"/>
      <c r="I1510" s="24"/>
      <c r="J1510" s="27"/>
      <c r="K1510" s="24"/>
      <c r="L1510" s="107"/>
      <c r="M1510" s="24"/>
      <c r="N1510" s="63"/>
      <c r="O1510" s="24"/>
      <c r="P1510" s="69"/>
      <c r="Q1510" s="24"/>
      <c r="R1510" s="39"/>
      <c r="S1510" s="24"/>
      <c r="T1510" s="63"/>
      <c r="U1510" s="24"/>
      <c r="V1510" s="181">
        <v>70.2</v>
      </c>
      <c r="W1510" s="24">
        <f t="shared" si="369"/>
        <v>70.2</v>
      </c>
      <c r="X1510" s="69"/>
      <c r="Y1510" s="24">
        <f t="shared" si="335"/>
        <v>70.2</v>
      </c>
      <c r="Z1510" s="189"/>
      <c r="AA1510" s="189">
        <f t="shared" ref="AA1510:AA1511" si="393">Y1510+Z1510</f>
        <v>70.2</v>
      </c>
    </row>
    <row r="1511" spans="1:27" s="6" customFormat="1" ht="36.75" x14ac:dyDescent="0.25">
      <c r="A1511" s="17" t="s">
        <v>561</v>
      </c>
      <c r="B1511" s="21" t="s">
        <v>386</v>
      </c>
      <c r="C1511" s="21" t="s">
        <v>1404</v>
      </c>
      <c r="D1511" s="21" t="s">
        <v>13</v>
      </c>
      <c r="E1511" s="27"/>
      <c r="F1511" s="27"/>
      <c r="G1511" s="24"/>
      <c r="H1511" s="27"/>
      <c r="I1511" s="24"/>
      <c r="J1511" s="27"/>
      <c r="K1511" s="24"/>
      <c r="L1511" s="107"/>
      <c r="M1511" s="24"/>
      <c r="N1511" s="63"/>
      <c r="O1511" s="24"/>
      <c r="P1511" s="69"/>
      <c r="Q1511" s="24"/>
      <c r="R1511" s="39"/>
      <c r="S1511" s="24"/>
      <c r="T1511" s="63"/>
      <c r="U1511" s="24"/>
      <c r="V1511" s="181">
        <v>21.2</v>
      </c>
      <c r="W1511" s="24">
        <f t="shared" si="369"/>
        <v>21.2</v>
      </c>
      <c r="X1511" s="69"/>
      <c r="Y1511" s="24">
        <f t="shared" si="335"/>
        <v>21.2</v>
      </c>
      <c r="Z1511" s="189"/>
      <c r="AA1511" s="189">
        <f t="shared" si="393"/>
        <v>21.2</v>
      </c>
    </row>
    <row r="1512" spans="1:27" x14ac:dyDescent="0.25">
      <c r="A1512" s="22" t="s">
        <v>49</v>
      </c>
      <c r="B1512" s="23" t="s">
        <v>386</v>
      </c>
      <c r="C1512" s="23" t="s">
        <v>320</v>
      </c>
      <c r="D1512" s="23" t="s">
        <v>2</v>
      </c>
      <c r="E1512" s="24">
        <f>E1513</f>
        <v>198.3</v>
      </c>
      <c r="F1512" s="24">
        <f>F1513</f>
        <v>0</v>
      </c>
      <c r="G1512" s="24">
        <f t="shared" si="390"/>
        <v>198.3</v>
      </c>
      <c r="H1512" s="24">
        <f>H1513</f>
        <v>0</v>
      </c>
      <c r="I1512" s="24">
        <f t="shared" si="384"/>
        <v>198.3</v>
      </c>
      <c r="J1512" s="24">
        <f>J1513</f>
        <v>0</v>
      </c>
      <c r="K1512" s="24">
        <f t="shared" si="385"/>
        <v>198.3</v>
      </c>
      <c r="L1512" s="24">
        <f>L1513</f>
        <v>0</v>
      </c>
      <c r="M1512" s="24">
        <f t="shared" si="386"/>
        <v>198.3</v>
      </c>
      <c r="N1512" s="24">
        <f>N1513</f>
        <v>27.2</v>
      </c>
      <c r="O1512" s="24">
        <f t="shared" si="387"/>
        <v>225.5</v>
      </c>
      <c r="P1512" s="24">
        <f>P1513</f>
        <v>0</v>
      </c>
      <c r="Q1512" s="24">
        <f t="shared" si="373"/>
        <v>225.5</v>
      </c>
      <c r="R1512" s="24">
        <f>R1513</f>
        <v>-140.19999999999999</v>
      </c>
      <c r="S1512" s="24">
        <f t="shared" si="388"/>
        <v>85.300000000000011</v>
      </c>
      <c r="T1512" s="24">
        <f>T1513</f>
        <v>0</v>
      </c>
      <c r="U1512" s="24">
        <f t="shared" si="374"/>
        <v>85.300000000000011</v>
      </c>
      <c r="V1512" s="24">
        <f>V1513</f>
        <v>0</v>
      </c>
      <c r="W1512" s="24">
        <f t="shared" si="369"/>
        <v>85.300000000000011</v>
      </c>
      <c r="X1512" s="24">
        <f>X1513</f>
        <v>0</v>
      </c>
      <c r="Y1512" s="24">
        <f t="shared" si="335"/>
        <v>85.300000000000011</v>
      </c>
    </row>
    <row r="1513" spans="1:27" ht="15.75" customHeight="1" x14ac:dyDescent="0.25">
      <c r="A1513" s="25" t="s">
        <v>574</v>
      </c>
      <c r="B1513" s="26" t="s">
        <v>386</v>
      </c>
      <c r="C1513" s="26" t="s">
        <v>320</v>
      </c>
      <c r="D1513" s="26" t="s">
        <v>81</v>
      </c>
      <c r="E1513" s="27">
        <v>198.3</v>
      </c>
      <c r="F1513" s="27"/>
      <c r="G1513" s="24">
        <f t="shared" si="390"/>
        <v>198.3</v>
      </c>
      <c r="H1513" s="27"/>
      <c r="I1513" s="24">
        <f t="shared" si="384"/>
        <v>198.3</v>
      </c>
      <c r="J1513" s="27"/>
      <c r="K1513" s="24">
        <f t="shared" si="385"/>
        <v>198.3</v>
      </c>
      <c r="L1513" s="27"/>
      <c r="M1513" s="24">
        <f t="shared" si="386"/>
        <v>198.3</v>
      </c>
      <c r="N1513" s="39">
        <v>27.2</v>
      </c>
      <c r="O1513" s="24">
        <f t="shared" si="387"/>
        <v>225.5</v>
      </c>
      <c r="P1513" s="69"/>
      <c r="Q1513" s="24">
        <f t="shared" si="373"/>
        <v>225.5</v>
      </c>
      <c r="R1513" s="39">
        <v>-140.19999999999999</v>
      </c>
      <c r="S1513" s="24">
        <f t="shared" si="388"/>
        <v>85.300000000000011</v>
      </c>
      <c r="T1513" s="69"/>
      <c r="U1513" s="24">
        <f t="shared" si="374"/>
        <v>85.300000000000011</v>
      </c>
      <c r="V1513" s="69"/>
      <c r="W1513" s="24">
        <f t="shared" si="369"/>
        <v>85.300000000000011</v>
      </c>
      <c r="X1513" s="69"/>
      <c r="Y1513" s="24">
        <f t="shared" si="335"/>
        <v>85.300000000000011</v>
      </c>
      <c r="AA1513" s="189">
        <f>Y1513+Z1513</f>
        <v>85.300000000000011</v>
      </c>
    </row>
    <row r="1514" spans="1:27" ht="15.75" customHeight="1" x14ac:dyDescent="0.25">
      <c r="A1514" s="22" t="s">
        <v>79</v>
      </c>
      <c r="B1514" s="23" t="s">
        <v>386</v>
      </c>
      <c r="C1514" s="23" t="s">
        <v>80</v>
      </c>
      <c r="D1514" s="23" t="s">
        <v>2</v>
      </c>
      <c r="E1514" s="24">
        <f>E1519</f>
        <v>37889.300000000003</v>
      </c>
      <c r="F1514" s="24">
        <f>F1519</f>
        <v>0</v>
      </c>
      <c r="G1514" s="24">
        <f t="shared" si="390"/>
        <v>37889.300000000003</v>
      </c>
      <c r="H1514" s="24">
        <f>H1519</f>
        <v>0</v>
      </c>
      <c r="I1514" s="24">
        <f t="shared" si="384"/>
        <v>37889.300000000003</v>
      </c>
      <c r="J1514" s="24">
        <f>J1519</f>
        <v>0</v>
      </c>
      <c r="K1514" s="24">
        <f t="shared" si="385"/>
        <v>37889.300000000003</v>
      </c>
      <c r="L1514" s="24">
        <f>L1519</f>
        <v>0</v>
      </c>
      <c r="M1514" s="24">
        <f t="shared" si="386"/>
        <v>37889.300000000003</v>
      </c>
      <c r="N1514" s="24">
        <f>N1519</f>
        <v>0</v>
      </c>
      <c r="O1514" s="24">
        <f t="shared" si="387"/>
        <v>37889.300000000003</v>
      </c>
      <c r="P1514" s="24">
        <f>P1519</f>
        <v>0</v>
      </c>
      <c r="Q1514" s="24">
        <f t="shared" si="373"/>
        <v>37889.300000000003</v>
      </c>
      <c r="R1514" s="24">
        <f>R1519+R1517</f>
        <v>198.9</v>
      </c>
      <c r="S1514" s="24">
        <f t="shared" si="388"/>
        <v>38088.200000000004</v>
      </c>
      <c r="T1514" s="24">
        <f>T1519+T1517</f>
        <v>0</v>
      </c>
      <c r="U1514" s="24">
        <f t="shared" si="374"/>
        <v>38088.200000000004</v>
      </c>
      <c r="V1514" s="24">
        <f>V1519+V1517+V1515</f>
        <v>84</v>
      </c>
      <c r="W1514" s="24">
        <f t="shared" si="369"/>
        <v>38172.200000000004</v>
      </c>
      <c r="X1514" s="24">
        <f>X1519+X1517+X1515</f>
        <v>420.4</v>
      </c>
      <c r="Y1514" s="24">
        <f t="shared" si="335"/>
        <v>38592.600000000006</v>
      </c>
    </row>
    <row r="1515" spans="1:27" ht="15.75" customHeight="1" x14ac:dyDescent="0.25">
      <c r="A1515" s="28" t="s">
        <v>769</v>
      </c>
      <c r="B1515" s="20" t="s">
        <v>386</v>
      </c>
      <c r="C1515" s="20" t="s">
        <v>1416</v>
      </c>
      <c r="D1515" s="20"/>
      <c r="E1515" s="18"/>
      <c r="F1515" s="18"/>
      <c r="G1515" s="18"/>
      <c r="H1515" s="18"/>
      <c r="I1515" s="18"/>
      <c r="J1515" s="18"/>
      <c r="K1515" s="18"/>
      <c r="L1515" s="18"/>
      <c r="M1515" s="18"/>
      <c r="N1515" s="18"/>
      <c r="O1515" s="18"/>
      <c r="P1515" s="18"/>
      <c r="Q1515" s="18"/>
      <c r="R1515" s="18"/>
      <c r="S1515" s="18"/>
      <c r="T1515" s="18"/>
      <c r="U1515" s="18"/>
      <c r="V1515" s="18">
        <f>V1516</f>
        <v>84</v>
      </c>
      <c r="W1515" s="18">
        <f t="shared" si="369"/>
        <v>84</v>
      </c>
      <c r="X1515" s="18">
        <f>X1516</f>
        <v>0</v>
      </c>
      <c r="Y1515" s="18">
        <f t="shared" si="335"/>
        <v>84</v>
      </c>
    </row>
    <row r="1516" spans="1:27" ht="15.75" customHeight="1" x14ac:dyDescent="0.25">
      <c r="A1516" s="17" t="s">
        <v>574</v>
      </c>
      <c r="B1516" s="21" t="s">
        <v>386</v>
      </c>
      <c r="C1516" s="21" t="s">
        <v>1416</v>
      </c>
      <c r="D1516" s="21" t="s">
        <v>81</v>
      </c>
      <c r="E1516" s="18"/>
      <c r="F1516" s="18"/>
      <c r="G1516" s="18"/>
      <c r="H1516" s="18"/>
      <c r="I1516" s="18"/>
      <c r="J1516" s="18"/>
      <c r="K1516" s="18"/>
      <c r="L1516" s="18"/>
      <c r="M1516" s="18"/>
      <c r="N1516" s="18"/>
      <c r="O1516" s="18"/>
      <c r="P1516" s="18"/>
      <c r="Q1516" s="18"/>
      <c r="R1516" s="18"/>
      <c r="S1516" s="18"/>
      <c r="T1516" s="18"/>
      <c r="U1516" s="18"/>
      <c r="V1516" s="188">
        <v>84</v>
      </c>
      <c r="W1516" s="18">
        <f t="shared" si="369"/>
        <v>84</v>
      </c>
      <c r="X1516" s="188"/>
      <c r="Y1516" s="18">
        <f t="shared" si="335"/>
        <v>84</v>
      </c>
      <c r="AA1516" s="189">
        <f>Y1516+Z1516</f>
        <v>84</v>
      </c>
    </row>
    <row r="1517" spans="1:27" x14ac:dyDescent="0.25">
      <c r="A1517" s="16" t="s">
        <v>658</v>
      </c>
      <c r="B1517" s="20" t="s">
        <v>386</v>
      </c>
      <c r="C1517" s="20" t="s">
        <v>839</v>
      </c>
      <c r="D1517" s="20"/>
      <c r="E1517" s="24"/>
      <c r="F1517" s="24"/>
      <c r="G1517" s="24"/>
      <c r="H1517" s="24"/>
      <c r="I1517" s="24"/>
      <c r="J1517" s="24"/>
      <c r="K1517" s="24"/>
      <c r="L1517" s="24"/>
      <c r="M1517" s="24"/>
      <c r="N1517" s="24"/>
      <c r="O1517" s="24"/>
      <c r="P1517" s="24"/>
      <c r="Q1517" s="24"/>
      <c r="R1517" s="18">
        <f>R1518</f>
        <v>198.9</v>
      </c>
      <c r="S1517" s="24">
        <f t="shared" si="388"/>
        <v>198.9</v>
      </c>
      <c r="T1517" s="18">
        <f>T1518</f>
        <v>0</v>
      </c>
      <c r="U1517" s="24">
        <f t="shared" si="374"/>
        <v>198.9</v>
      </c>
      <c r="V1517" s="18">
        <f>V1518</f>
        <v>0</v>
      </c>
      <c r="W1517" s="24">
        <f t="shared" si="369"/>
        <v>198.9</v>
      </c>
      <c r="X1517" s="18">
        <f>X1518</f>
        <v>0</v>
      </c>
      <c r="Y1517" s="24">
        <f t="shared" si="335"/>
        <v>198.9</v>
      </c>
    </row>
    <row r="1518" spans="1:27" x14ac:dyDescent="0.25">
      <c r="A1518" s="30" t="s">
        <v>574</v>
      </c>
      <c r="B1518" s="21" t="s">
        <v>386</v>
      </c>
      <c r="C1518" s="21" t="s">
        <v>839</v>
      </c>
      <c r="D1518" s="21" t="s">
        <v>81</v>
      </c>
      <c r="E1518" s="24"/>
      <c r="F1518" s="24"/>
      <c r="G1518" s="24"/>
      <c r="H1518" s="24"/>
      <c r="I1518" s="24"/>
      <c r="J1518" s="24"/>
      <c r="K1518" s="24"/>
      <c r="L1518" s="24"/>
      <c r="M1518" s="24"/>
      <c r="N1518" s="24"/>
      <c r="O1518" s="24"/>
      <c r="P1518" s="24"/>
      <c r="Q1518" s="24"/>
      <c r="R1518" s="39">
        <v>198.9</v>
      </c>
      <c r="S1518" s="24">
        <f t="shared" si="388"/>
        <v>198.9</v>
      </c>
      <c r="T1518" s="69"/>
      <c r="U1518" s="24">
        <f t="shared" si="374"/>
        <v>198.9</v>
      </c>
      <c r="V1518" s="69"/>
      <c r="W1518" s="24">
        <f t="shared" si="369"/>
        <v>198.9</v>
      </c>
      <c r="X1518" s="69"/>
      <c r="Y1518" s="24">
        <f t="shared" si="335"/>
        <v>198.9</v>
      </c>
      <c r="AA1518" s="189">
        <f>Y1518+Z1518</f>
        <v>198.9</v>
      </c>
    </row>
    <row r="1519" spans="1:27" ht="36.75" x14ac:dyDescent="0.25">
      <c r="A1519" s="22" t="s">
        <v>37</v>
      </c>
      <c r="B1519" s="23" t="s">
        <v>386</v>
      </c>
      <c r="C1519" s="23" t="s">
        <v>82</v>
      </c>
      <c r="D1519" s="23" t="s">
        <v>2</v>
      </c>
      <c r="E1519" s="24">
        <f>E1520</f>
        <v>37889.300000000003</v>
      </c>
      <c r="F1519" s="24">
        <f>F1520</f>
        <v>0</v>
      </c>
      <c r="G1519" s="24">
        <f t="shared" si="390"/>
        <v>37889.300000000003</v>
      </c>
      <c r="H1519" s="24">
        <f>H1520</f>
        <v>0</v>
      </c>
      <c r="I1519" s="24">
        <f t="shared" si="384"/>
        <v>37889.300000000003</v>
      </c>
      <c r="J1519" s="24">
        <f>J1520</f>
        <v>0</v>
      </c>
      <c r="K1519" s="24">
        <f t="shared" si="385"/>
        <v>37889.300000000003</v>
      </c>
      <c r="L1519" s="24">
        <f>L1520</f>
        <v>0</v>
      </c>
      <c r="M1519" s="24">
        <f t="shared" si="386"/>
        <v>37889.300000000003</v>
      </c>
      <c r="N1519" s="24">
        <f>N1520</f>
        <v>0</v>
      </c>
      <c r="O1519" s="24">
        <f t="shared" si="387"/>
        <v>37889.300000000003</v>
      </c>
      <c r="P1519" s="24">
        <f>P1520</f>
        <v>0</v>
      </c>
      <c r="Q1519" s="24">
        <f t="shared" si="373"/>
        <v>37889.300000000003</v>
      </c>
      <c r="R1519" s="24">
        <f>R1520+R1521</f>
        <v>0</v>
      </c>
      <c r="S1519" s="24">
        <f t="shared" si="388"/>
        <v>37889.300000000003</v>
      </c>
      <c r="T1519" s="24">
        <f>T1520+T1521</f>
        <v>0</v>
      </c>
      <c r="U1519" s="24">
        <f t="shared" si="374"/>
        <v>37889.300000000003</v>
      </c>
      <c r="V1519" s="24">
        <f>V1520+V1521</f>
        <v>0</v>
      </c>
      <c r="W1519" s="24">
        <f t="shared" si="369"/>
        <v>37889.300000000003</v>
      </c>
      <c r="X1519" s="24">
        <f>X1520+X1521</f>
        <v>420.4</v>
      </c>
      <c r="Y1519" s="24">
        <f t="shared" si="335"/>
        <v>38309.700000000004</v>
      </c>
    </row>
    <row r="1520" spans="1:27" s="6" customFormat="1" ht="36.75" x14ac:dyDescent="0.25">
      <c r="A1520" s="25" t="s">
        <v>573</v>
      </c>
      <c r="B1520" s="26" t="s">
        <v>386</v>
      </c>
      <c r="C1520" s="26" t="s">
        <v>82</v>
      </c>
      <c r="D1520" s="26" t="s">
        <v>83</v>
      </c>
      <c r="E1520" s="27">
        <v>37889.300000000003</v>
      </c>
      <c r="F1520" s="27"/>
      <c r="G1520" s="24">
        <f t="shared" si="390"/>
        <v>37889.300000000003</v>
      </c>
      <c r="H1520" s="27"/>
      <c r="I1520" s="24">
        <f t="shared" si="384"/>
        <v>37889.300000000003</v>
      </c>
      <c r="J1520" s="27"/>
      <c r="K1520" s="24">
        <f t="shared" si="385"/>
        <v>37889.300000000003</v>
      </c>
      <c r="L1520" s="27"/>
      <c r="M1520" s="24">
        <f t="shared" si="386"/>
        <v>37889.300000000003</v>
      </c>
      <c r="N1520" s="27"/>
      <c r="O1520" s="24">
        <f t="shared" si="387"/>
        <v>37889.300000000003</v>
      </c>
      <c r="P1520" s="27"/>
      <c r="Q1520" s="24">
        <f t="shared" si="373"/>
        <v>37889.300000000003</v>
      </c>
      <c r="R1520" s="27"/>
      <c r="S1520" s="24">
        <f t="shared" si="388"/>
        <v>37889.300000000003</v>
      </c>
      <c r="T1520" s="69"/>
      <c r="U1520" s="24">
        <f t="shared" si="374"/>
        <v>37889.300000000003</v>
      </c>
      <c r="V1520" s="69"/>
      <c r="W1520" s="24">
        <f t="shared" si="369"/>
        <v>37889.300000000003</v>
      </c>
      <c r="X1520" s="39">
        <v>420.4</v>
      </c>
      <c r="Y1520" s="24">
        <f t="shared" si="335"/>
        <v>38309.700000000004</v>
      </c>
      <c r="Z1520" s="189">
        <v>420.4</v>
      </c>
      <c r="AA1520" s="189">
        <f t="shared" ref="AA1520:AA1521" si="394">Y1520+Z1520</f>
        <v>38730.100000000006</v>
      </c>
    </row>
    <row r="1521" spans="1:27" s="6" customFormat="1" hidden="1" x14ac:dyDescent="0.25">
      <c r="A1521" s="30" t="s">
        <v>574</v>
      </c>
      <c r="B1521" s="21" t="s">
        <v>386</v>
      </c>
      <c r="C1521" s="21" t="s">
        <v>82</v>
      </c>
      <c r="D1521" s="21" t="s">
        <v>81</v>
      </c>
      <c r="E1521" s="24">
        <v>61740.7</v>
      </c>
      <c r="F1521" s="69"/>
      <c r="G1521" s="24">
        <v>61740.7</v>
      </c>
      <c r="H1521" s="27"/>
      <c r="I1521" s="24"/>
      <c r="J1521" s="27"/>
      <c r="K1521" s="24"/>
      <c r="L1521" s="27"/>
      <c r="M1521" s="24"/>
      <c r="N1521" s="27"/>
      <c r="O1521" s="24"/>
      <c r="P1521" s="27"/>
      <c r="Q1521" s="24"/>
      <c r="R1521" s="69"/>
      <c r="S1521" s="24">
        <f t="shared" si="388"/>
        <v>0</v>
      </c>
      <c r="T1521" s="69"/>
      <c r="U1521" s="24">
        <f t="shared" si="374"/>
        <v>0</v>
      </c>
      <c r="V1521" s="69"/>
      <c r="W1521" s="24">
        <f t="shared" si="369"/>
        <v>0</v>
      </c>
      <c r="X1521" s="69"/>
      <c r="Y1521" s="24">
        <f t="shared" si="335"/>
        <v>0</v>
      </c>
      <c r="Z1521" s="189"/>
      <c r="AA1521" s="189">
        <f t="shared" si="394"/>
        <v>0</v>
      </c>
    </row>
    <row r="1522" spans="1:27" ht="24.75" x14ac:dyDescent="0.25">
      <c r="A1522" s="22" t="s">
        <v>323</v>
      </c>
      <c r="B1522" s="23" t="s">
        <v>386</v>
      </c>
      <c r="C1522" s="23" t="s">
        <v>324</v>
      </c>
      <c r="D1522" s="23" t="s">
        <v>2</v>
      </c>
      <c r="E1522" s="24">
        <f>E1526+E1532</f>
        <v>22200</v>
      </c>
      <c r="F1522" s="24">
        <f>F1526+F1532</f>
        <v>0</v>
      </c>
      <c r="G1522" s="24">
        <f t="shared" si="390"/>
        <v>22200</v>
      </c>
      <c r="H1522" s="24">
        <f>H1526+H1532</f>
        <v>0</v>
      </c>
      <c r="I1522" s="24">
        <f t="shared" si="384"/>
        <v>22200</v>
      </c>
      <c r="J1522" s="24">
        <f>J1526+J1532+J1523</f>
        <v>46679.3</v>
      </c>
      <c r="K1522" s="24">
        <f t="shared" si="385"/>
        <v>68879.3</v>
      </c>
      <c r="L1522" s="24">
        <f>L1526+L1532+L1523+L1529</f>
        <v>766.6</v>
      </c>
      <c r="M1522" s="24">
        <f t="shared" si="386"/>
        <v>69645.900000000009</v>
      </c>
      <c r="N1522" s="24">
        <f>N1526+N1532+N1523+N1529</f>
        <v>-4737</v>
      </c>
      <c r="O1522" s="24">
        <f t="shared" si="387"/>
        <v>64908.900000000009</v>
      </c>
      <c r="P1522" s="24">
        <f>P1526+P1532+P1523+P1529</f>
        <v>18867.600000000002</v>
      </c>
      <c r="Q1522" s="24">
        <f t="shared" si="373"/>
        <v>83776.500000000015</v>
      </c>
      <c r="R1522" s="24">
        <f>R1526+R1532+R1523+R1529</f>
        <v>-10</v>
      </c>
      <c r="S1522" s="24">
        <f t="shared" si="388"/>
        <v>83766.500000000015</v>
      </c>
      <c r="T1522" s="24">
        <f>T1526+T1532+T1523+T1529+T1535+T1538</f>
        <v>7446.3</v>
      </c>
      <c r="U1522" s="24">
        <f t="shared" si="374"/>
        <v>91212.800000000017</v>
      </c>
      <c r="V1522" s="24">
        <f>V1526+V1532+V1523+V1529+V1535+V1538</f>
        <v>230.60000000000002</v>
      </c>
      <c r="W1522" s="24">
        <f t="shared" si="369"/>
        <v>91443.400000000023</v>
      </c>
      <c r="X1522" s="24">
        <f>X1526+X1532+X1523+X1529+X1535+X1538</f>
        <v>-465</v>
      </c>
      <c r="Y1522" s="24">
        <f t="shared" si="335"/>
        <v>90978.400000000023</v>
      </c>
    </row>
    <row r="1523" spans="1:27" s="6" customFormat="1" ht="15.75" customHeight="1" x14ac:dyDescent="0.25">
      <c r="A1523" s="16" t="s">
        <v>765</v>
      </c>
      <c r="B1523" s="20" t="s">
        <v>386</v>
      </c>
      <c r="C1523" s="20" t="s">
        <v>766</v>
      </c>
      <c r="D1523" s="20" t="s">
        <v>2</v>
      </c>
      <c r="E1523" s="24"/>
      <c r="F1523" s="24"/>
      <c r="G1523" s="24"/>
      <c r="H1523" s="24"/>
      <c r="I1523" s="24"/>
      <c r="J1523" s="18">
        <f>J1524+J1525</f>
        <v>46679.3</v>
      </c>
      <c r="K1523" s="24">
        <f t="shared" si="385"/>
        <v>46679.3</v>
      </c>
      <c r="L1523" s="18">
        <f>L1524+L1525</f>
        <v>0</v>
      </c>
      <c r="M1523" s="24">
        <f t="shared" si="386"/>
        <v>46679.3</v>
      </c>
      <c r="N1523" s="18">
        <f>N1524+N1525</f>
        <v>0</v>
      </c>
      <c r="O1523" s="24">
        <f t="shared" si="387"/>
        <v>46679.3</v>
      </c>
      <c r="P1523" s="18">
        <f>P1524+P1525</f>
        <v>19367.600000000002</v>
      </c>
      <c r="Q1523" s="24">
        <f t="shared" si="373"/>
        <v>66046.900000000009</v>
      </c>
      <c r="R1523" s="18">
        <f>R1524+R1525</f>
        <v>0</v>
      </c>
      <c r="S1523" s="24">
        <f t="shared" si="388"/>
        <v>66046.900000000009</v>
      </c>
      <c r="T1523" s="18">
        <f>T1524+T1525</f>
        <v>0</v>
      </c>
      <c r="U1523" s="24">
        <f t="shared" si="374"/>
        <v>66046.900000000009</v>
      </c>
      <c r="V1523" s="18">
        <f>V1524+V1525</f>
        <v>0</v>
      </c>
      <c r="W1523" s="24">
        <f t="shared" si="369"/>
        <v>66046.900000000009</v>
      </c>
      <c r="X1523" s="18">
        <f>X1524+X1525</f>
        <v>0</v>
      </c>
      <c r="Y1523" s="24">
        <f t="shared" si="335"/>
        <v>66046.900000000009</v>
      </c>
      <c r="Z1523" s="189"/>
    </row>
    <row r="1524" spans="1:27" s="6" customFormat="1" x14ac:dyDescent="0.25">
      <c r="A1524" s="30" t="s">
        <v>574</v>
      </c>
      <c r="B1524" s="21" t="s">
        <v>386</v>
      </c>
      <c r="C1524" s="21" t="s">
        <v>766</v>
      </c>
      <c r="D1524" s="21" t="s">
        <v>81</v>
      </c>
      <c r="E1524" s="24"/>
      <c r="F1524" s="24"/>
      <c r="G1524" s="24"/>
      <c r="H1524" s="24"/>
      <c r="I1524" s="24"/>
      <c r="J1524" s="43">
        <v>43683.5</v>
      </c>
      <c r="K1524" s="24">
        <f t="shared" si="385"/>
        <v>43683.5</v>
      </c>
      <c r="L1524" s="69"/>
      <c r="M1524" s="24">
        <f t="shared" si="386"/>
        <v>43683.5</v>
      </c>
      <c r="N1524" s="69"/>
      <c r="O1524" s="24">
        <f t="shared" si="387"/>
        <v>43683.5</v>
      </c>
      <c r="P1524" s="43">
        <v>18057.2</v>
      </c>
      <c r="Q1524" s="24">
        <f t="shared" si="373"/>
        <v>61740.7</v>
      </c>
      <c r="R1524" s="69"/>
      <c r="S1524" s="24">
        <f t="shared" si="388"/>
        <v>61740.7</v>
      </c>
      <c r="T1524" s="69"/>
      <c r="U1524" s="24">
        <f t="shared" si="374"/>
        <v>61740.7</v>
      </c>
      <c r="V1524" s="69"/>
      <c r="W1524" s="24">
        <f t="shared" si="369"/>
        <v>61740.7</v>
      </c>
      <c r="X1524" s="69"/>
      <c r="Y1524" s="24">
        <f t="shared" si="335"/>
        <v>61740.7</v>
      </c>
      <c r="Z1524" s="189"/>
      <c r="AA1524" s="189">
        <f t="shared" ref="AA1524:AA1525" si="395">Y1524+Z1524</f>
        <v>61740.7</v>
      </c>
    </row>
    <row r="1525" spans="1:27" x14ac:dyDescent="0.25">
      <c r="A1525" s="30" t="s">
        <v>321</v>
      </c>
      <c r="B1525" s="21" t="s">
        <v>386</v>
      </c>
      <c r="C1525" s="21" t="s">
        <v>766</v>
      </c>
      <c r="D1525" s="21" t="s">
        <v>322</v>
      </c>
      <c r="E1525" s="24"/>
      <c r="F1525" s="24"/>
      <c r="G1525" s="24"/>
      <c r="H1525" s="24"/>
      <c r="I1525" s="24"/>
      <c r="J1525" s="43">
        <v>2995.8</v>
      </c>
      <c r="K1525" s="24">
        <f t="shared" si="385"/>
        <v>2995.8</v>
      </c>
      <c r="L1525" s="69"/>
      <c r="M1525" s="24">
        <f t="shared" si="386"/>
        <v>2995.8</v>
      </c>
      <c r="N1525" s="69"/>
      <c r="O1525" s="24">
        <f t="shared" si="387"/>
        <v>2995.8</v>
      </c>
      <c r="P1525" s="43">
        <v>1310.4000000000001</v>
      </c>
      <c r="Q1525" s="24">
        <f t="shared" si="373"/>
        <v>4306.2000000000007</v>
      </c>
      <c r="R1525" s="69"/>
      <c r="S1525" s="24">
        <f t="shared" si="388"/>
        <v>4306.2000000000007</v>
      </c>
      <c r="T1525" s="69"/>
      <c r="U1525" s="24">
        <f t="shared" si="374"/>
        <v>4306.2000000000007</v>
      </c>
      <c r="V1525" s="69"/>
      <c r="W1525" s="24">
        <f t="shared" si="369"/>
        <v>4306.2000000000007</v>
      </c>
      <c r="X1525" s="69"/>
      <c r="Y1525" s="24">
        <f t="shared" si="335"/>
        <v>4306.2000000000007</v>
      </c>
      <c r="AA1525" s="189">
        <f t="shared" si="395"/>
        <v>4306.2000000000007</v>
      </c>
    </row>
    <row r="1526" spans="1:27" s="6" customFormat="1" ht="24.75" x14ac:dyDescent="0.25">
      <c r="A1526" s="22" t="s">
        <v>234</v>
      </c>
      <c r="B1526" s="23" t="s">
        <v>386</v>
      </c>
      <c r="C1526" s="23" t="s">
        <v>325</v>
      </c>
      <c r="D1526" s="23" t="s">
        <v>2</v>
      </c>
      <c r="E1526" s="24">
        <f>E1527</f>
        <v>7200</v>
      </c>
      <c r="F1526" s="24">
        <f>F1527</f>
        <v>0</v>
      </c>
      <c r="G1526" s="24">
        <f t="shared" si="390"/>
        <v>7200</v>
      </c>
      <c r="H1526" s="24">
        <f>H1527</f>
        <v>0</v>
      </c>
      <c r="I1526" s="24">
        <f t="shared" si="384"/>
        <v>7200</v>
      </c>
      <c r="J1526" s="24">
        <f>J1527</f>
        <v>0</v>
      </c>
      <c r="K1526" s="24">
        <f t="shared" si="385"/>
        <v>7200</v>
      </c>
      <c r="L1526" s="24">
        <f>L1527</f>
        <v>0</v>
      </c>
      <c r="M1526" s="24">
        <f t="shared" si="386"/>
        <v>7200</v>
      </c>
      <c r="N1526" s="24">
        <f>N1527+N1528</f>
        <v>-4500</v>
      </c>
      <c r="O1526" s="24">
        <f t="shared" si="387"/>
        <v>2700</v>
      </c>
      <c r="P1526" s="24">
        <f>P1527+P1528</f>
        <v>-500</v>
      </c>
      <c r="Q1526" s="24">
        <f t="shared" si="373"/>
        <v>2200</v>
      </c>
      <c r="R1526" s="24">
        <f>R1527+R1528</f>
        <v>0</v>
      </c>
      <c r="S1526" s="24">
        <f t="shared" si="388"/>
        <v>2200</v>
      </c>
      <c r="T1526" s="24">
        <f>T1527+T1528</f>
        <v>0</v>
      </c>
      <c r="U1526" s="24">
        <f t="shared" si="374"/>
        <v>2200</v>
      </c>
      <c r="V1526" s="24">
        <f>V1527+V1528</f>
        <v>-492</v>
      </c>
      <c r="W1526" s="24">
        <f t="shared" si="369"/>
        <v>1708</v>
      </c>
      <c r="X1526" s="24">
        <f>X1527+X1528</f>
        <v>0</v>
      </c>
      <c r="Y1526" s="24">
        <f t="shared" si="335"/>
        <v>1708</v>
      </c>
      <c r="Z1526" s="189"/>
    </row>
    <row r="1527" spans="1:27" s="6" customFormat="1" x14ac:dyDescent="0.25">
      <c r="A1527" s="25" t="s">
        <v>574</v>
      </c>
      <c r="B1527" s="26" t="s">
        <v>386</v>
      </c>
      <c r="C1527" s="26" t="s">
        <v>325</v>
      </c>
      <c r="D1527" s="26" t="s">
        <v>81</v>
      </c>
      <c r="E1527" s="27">
        <v>7200</v>
      </c>
      <c r="F1527" s="27"/>
      <c r="G1527" s="24">
        <f t="shared" si="390"/>
        <v>7200</v>
      </c>
      <c r="H1527" s="27"/>
      <c r="I1527" s="24">
        <f t="shared" si="384"/>
        <v>7200</v>
      </c>
      <c r="J1527" s="27"/>
      <c r="K1527" s="24">
        <f t="shared" si="385"/>
        <v>7200</v>
      </c>
      <c r="L1527" s="27"/>
      <c r="M1527" s="24">
        <f t="shared" si="386"/>
        <v>7200</v>
      </c>
      <c r="N1527" s="39">
        <f>-4500-1816.3</f>
        <v>-6316.3</v>
      </c>
      <c r="O1527" s="24">
        <f t="shared" si="387"/>
        <v>883.69999999999982</v>
      </c>
      <c r="P1527" s="94">
        <v>-500</v>
      </c>
      <c r="Q1527" s="24">
        <f t="shared" si="373"/>
        <v>383.69999999999982</v>
      </c>
      <c r="R1527" s="39">
        <v>-132.1</v>
      </c>
      <c r="S1527" s="24">
        <f t="shared" si="388"/>
        <v>251.59999999999982</v>
      </c>
      <c r="T1527" s="69"/>
      <c r="U1527" s="24">
        <f t="shared" si="374"/>
        <v>251.59999999999982</v>
      </c>
      <c r="V1527" s="94">
        <v>-197.5</v>
      </c>
      <c r="W1527" s="24">
        <f t="shared" si="369"/>
        <v>54.099999999999824</v>
      </c>
      <c r="X1527" s="69"/>
      <c r="Y1527" s="24">
        <f t="shared" si="335"/>
        <v>54.099999999999824</v>
      </c>
      <c r="Z1527" s="189"/>
      <c r="AA1527" s="189">
        <f t="shared" ref="AA1527:AA1528" si="396">Y1527+Z1527</f>
        <v>54.099999999999824</v>
      </c>
    </row>
    <row r="1528" spans="1:27" s="6" customFormat="1" x14ac:dyDescent="0.25">
      <c r="A1528" s="30" t="s">
        <v>321</v>
      </c>
      <c r="B1528" s="21" t="s">
        <v>386</v>
      </c>
      <c r="C1528" s="21" t="s">
        <v>325</v>
      </c>
      <c r="D1528" s="21" t="s">
        <v>322</v>
      </c>
      <c r="E1528" s="27"/>
      <c r="F1528" s="27"/>
      <c r="G1528" s="24"/>
      <c r="H1528" s="27"/>
      <c r="I1528" s="24"/>
      <c r="J1528" s="27"/>
      <c r="K1528" s="24"/>
      <c r="L1528" s="27"/>
      <c r="M1528" s="24"/>
      <c r="N1528" s="63">
        <v>1816.3</v>
      </c>
      <c r="O1528" s="24">
        <f t="shared" si="387"/>
        <v>1816.3</v>
      </c>
      <c r="P1528" s="69"/>
      <c r="Q1528" s="24">
        <f t="shared" si="373"/>
        <v>1816.3</v>
      </c>
      <c r="R1528" s="39">
        <v>132.1</v>
      </c>
      <c r="S1528" s="24">
        <f t="shared" si="388"/>
        <v>1948.3999999999999</v>
      </c>
      <c r="T1528" s="69"/>
      <c r="U1528" s="24">
        <f t="shared" si="374"/>
        <v>1948.3999999999999</v>
      </c>
      <c r="V1528" s="94">
        <v>-294.5</v>
      </c>
      <c r="W1528" s="24">
        <f t="shared" si="369"/>
        <v>1653.8999999999999</v>
      </c>
      <c r="X1528" s="69"/>
      <c r="Y1528" s="24">
        <f t="shared" si="335"/>
        <v>1653.8999999999999</v>
      </c>
      <c r="Z1528" s="189"/>
      <c r="AA1528" s="189">
        <f t="shared" si="396"/>
        <v>1653.8999999999999</v>
      </c>
    </row>
    <row r="1529" spans="1:27" s="6" customFormat="1" x14ac:dyDescent="0.25">
      <c r="A1529" s="16" t="s">
        <v>811</v>
      </c>
      <c r="B1529" s="23" t="s">
        <v>386</v>
      </c>
      <c r="C1529" s="20" t="s">
        <v>814</v>
      </c>
      <c r="D1529" s="21"/>
      <c r="E1529" s="27"/>
      <c r="F1529" s="27"/>
      <c r="G1529" s="24"/>
      <c r="H1529" s="27"/>
      <c r="I1529" s="24"/>
      <c r="J1529" s="27"/>
      <c r="K1529" s="24"/>
      <c r="L1529" s="18">
        <f>L1531</f>
        <v>854.6</v>
      </c>
      <c r="M1529" s="24">
        <f t="shared" si="386"/>
        <v>854.6</v>
      </c>
      <c r="N1529" s="18">
        <f>N1531+N1530</f>
        <v>-237</v>
      </c>
      <c r="O1529" s="24">
        <f t="shared" si="387"/>
        <v>617.6</v>
      </c>
      <c r="P1529" s="18">
        <f>P1531+P1530</f>
        <v>0</v>
      </c>
      <c r="Q1529" s="24">
        <f t="shared" si="373"/>
        <v>617.6</v>
      </c>
      <c r="R1529" s="18">
        <f>R1531+R1530</f>
        <v>0</v>
      </c>
      <c r="S1529" s="24">
        <f t="shared" si="388"/>
        <v>617.6</v>
      </c>
      <c r="T1529" s="18">
        <f>T1531+T1530</f>
        <v>-470.2</v>
      </c>
      <c r="U1529" s="24">
        <f t="shared" si="374"/>
        <v>147.40000000000003</v>
      </c>
      <c r="V1529" s="18">
        <f>V1531+V1530</f>
        <v>0</v>
      </c>
      <c r="W1529" s="24">
        <f t="shared" si="369"/>
        <v>147.40000000000003</v>
      </c>
      <c r="X1529" s="18">
        <f>X1531+X1530</f>
        <v>0</v>
      </c>
      <c r="Y1529" s="24">
        <f t="shared" si="335"/>
        <v>147.40000000000003</v>
      </c>
      <c r="Z1529" s="189"/>
    </row>
    <row r="1530" spans="1:27" s="6" customFormat="1" x14ac:dyDescent="0.25">
      <c r="A1530" s="30" t="s">
        <v>66</v>
      </c>
      <c r="B1530" s="21" t="s">
        <v>386</v>
      </c>
      <c r="C1530" s="21" t="s">
        <v>814</v>
      </c>
      <c r="D1530" s="21" t="s">
        <v>42</v>
      </c>
      <c r="E1530" s="27"/>
      <c r="F1530" s="27"/>
      <c r="G1530" s="24"/>
      <c r="H1530" s="27"/>
      <c r="I1530" s="24"/>
      <c r="J1530" s="27"/>
      <c r="K1530" s="24"/>
      <c r="L1530" s="18"/>
      <c r="M1530" s="24"/>
      <c r="N1530" s="63">
        <v>599.6</v>
      </c>
      <c r="O1530" s="24">
        <f t="shared" si="387"/>
        <v>599.6</v>
      </c>
      <c r="P1530" s="69"/>
      <c r="Q1530" s="24">
        <f t="shared" si="373"/>
        <v>599.6</v>
      </c>
      <c r="R1530" s="69"/>
      <c r="S1530" s="24">
        <f t="shared" si="388"/>
        <v>599.6</v>
      </c>
      <c r="T1530" s="63">
        <v>-500.9</v>
      </c>
      <c r="U1530" s="24">
        <f t="shared" si="374"/>
        <v>98.700000000000045</v>
      </c>
      <c r="V1530" s="69"/>
      <c r="W1530" s="24">
        <f t="shared" si="369"/>
        <v>98.700000000000045</v>
      </c>
      <c r="X1530" s="69"/>
      <c r="Y1530" s="24">
        <f t="shared" si="335"/>
        <v>98.700000000000045</v>
      </c>
      <c r="Z1530" s="189"/>
      <c r="AA1530" s="189">
        <f t="shared" ref="AA1530:AA1531" si="397">Y1530+Z1530</f>
        <v>98.700000000000045</v>
      </c>
    </row>
    <row r="1531" spans="1:27" x14ac:dyDescent="0.25">
      <c r="A1531" s="17" t="s">
        <v>574</v>
      </c>
      <c r="B1531" s="26" t="s">
        <v>386</v>
      </c>
      <c r="C1531" s="21" t="s">
        <v>814</v>
      </c>
      <c r="D1531" s="21" t="s">
        <v>81</v>
      </c>
      <c r="E1531" s="27"/>
      <c r="F1531" s="27"/>
      <c r="G1531" s="24"/>
      <c r="H1531" s="27"/>
      <c r="I1531" s="24"/>
      <c r="J1531" s="27"/>
      <c r="K1531" s="24"/>
      <c r="L1531" s="96">
        <v>854.6</v>
      </c>
      <c r="M1531" s="24">
        <f t="shared" si="386"/>
        <v>854.6</v>
      </c>
      <c r="N1531" s="90">
        <v>-836.6</v>
      </c>
      <c r="O1531" s="24">
        <f t="shared" si="387"/>
        <v>18</v>
      </c>
      <c r="P1531" s="84"/>
      <c r="Q1531" s="24">
        <f t="shared" si="373"/>
        <v>18</v>
      </c>
      <c r="R1531" s="84"/>
      <c r="S1531" s="24">
        <f t="shared" si="388"/>
        <v>18</v>
      </c>
      <c r="T1531" s="90">
        <v>30.7</v>
      </c>
      <c r="U1531" s="24">
        <f t="shared" si="374"/>
        <v>48.7</v>
      </c>
      <c r="V1531" s="84"/>
      <c r="W1531" s="24">
        <f t="shared" si="369"/>
        <v>48.7</v>
      </c>
      <c r="X1531" s="84"/>
      <c r="Y1531" s="24">
        <f t="shared" si="335"/>
        <v>48.7</v>
      </c>
      <c r="AA1531" s="189">
        <f t="shared" si="397"/>
        <v>48.7</v>
      </c>
    </row>
    <row r="1532" spans="1:27" ht="36.75" x14ac:dyDescent="0.25">
      <c r="A1532" s="22" t="s">
        <v>326</v>
      </c>
      <c r="B1532" s="23" t="s">
        <v>386</v>
      </c>
      <c r="C1532" s="23" t="s">
        <v>327</v>
      </c>
      <c r="D1532" s="23" t="s">
        <v>2</v>
      </c>
      <c r="E1532" s="24">
        <f>E1533+E1534</f>
        <v>15000</v>
      </c>
      <c r="F1532" s="24">
        <f>F1533+F1534</f>
        <v>0</v>
      </c>
      <c r="G1532" s="24">
        <f t="shared" si="390"/>
        <v>15000</v>
      </c>
      <c r="H1532" s="24">
        <f>H1533+H1534</f>
        <v>0</v>
      </c>
      <c r="I1532" s="24">
        <f t="shared" si="384"/>
        <v>15000</v>
      </c>
      <c r="J1532" s="24">
        <f>J1533+J1534</f>
        <v>0</v>
      </c>
      <c r="K1532" s="24">
        <f t="shared" si="385"/>
        <v>15000</v>
      </c>
      <c r="L1532" s="24">
        <f>L1533+L1534</f>
        <v>-88</v>
      </c>
      <c r="M1532" s="24">
        <f t="shared" si="386"/>
        <v>14912</v>
      </c>
      <c r="N1532" s="24">
        <f>N1533+N1534</f>
        <v>0</v>
      </c>
      <c r="O1532" s="24">
        <f t="shared" si="387"/>
        <v>14912</v>
      </c>
      <c r="P1532" s="24">
        <f>P1533+P1534</f>
        <v>0</v>
      </c>
      <c r="Q1532" s="24">
        <f t="shared" si="373"/>
        <v>14912</v>
      </c>
      <c r="R1532" s="24">
        <f>R1533+R1534</f>
        <v>-10</v>
      </c>
      <c r="S1532" s="24">
        <f t="shared" si="388"/>
        <v>14902</v>
      </c>
      <c r="T1532" s="24">
        <f>T1533+T1534</f>
        <v>1315.2</v>
      </c>
      <c r="U1532" s="24">
        <f t="shared" si="374"/>
        <v>16217.2</v>
      </c>
      <c r="V1532" s="24">
        <f>V1533+V1534</f>
        <v>722.6</v>
      </c>
      <c r="W1532" s="24">
        <f t="shared" si="369"/>
        <v>16939.8</v>
      </c>
      <c r="X1532" s="24">
        <f>X1533+X1534</f>
        <v>563.9</v>
      </c>
      <c r="Y1532" s="24">
        <f t="shared" si="335"/>
        <v>17503.7</v>
      </c>
    </row>
    <row r="1533" spans="1:27" x14ac:dyDescent="0.25">
      <c r="A1533" s="25" t="s">
        <v>574</v>
      </c>
      <c r="B1533" s="26" t="s">
        <v>386</v>
      </c>
      <c r="C1533" s="26" t="s">
        <v>327</v>
      </c>
      <c r="D1533" s="26" t="s">
        <v>81</v>
      </c>
      <c r="E1533" s="27">
        <v>12700</v>
      </c>
      <c r="F1533" s="27"/>
      <c r="G1533" s="24">
        <f t="shared" si="390"/>
        <v>12700</v>
      </c>
      <c r="H1533" s="27"/>
      <c r="I1533" s="24">
        <f t="shared" si="384"/>
        <v>12700</v>
      </c>
      <c r="J1533" s="27"/>
      <c r="K1533" s="24">
        <f t="shared" si="385"/>
        <v>12700</v>
      </c>
      <c r="L1533" s="107">
        <v>-88</v>
      </c>
      <c r="M1533" s="24">
        <f t="shared" si="386"/>
        <v>12612</v>
      </c>
      <c r="N1533" s="63">
        <v>1325.4</v>
      </c>
      <c r="O1533" s="24">
        <f t="shared" si="387"/>
        <v>13937.4</v>
      </c>
      <c r="P1533" s="69"/>
      <c r="Q1533" s="24">
        <f t="shared" si="373"/>
        <v>13937.4</v>
      </c>
      <c r="R1533" s="39">
        <v>-42.8</v>
      </c>
      <c r="S1533" s="24">
        <f t="shared" si="388"/>
        <v>13894.6</v>
      </c>
      <c r="T1533" s="63">
        <v>1315.2</v>
      </c>
      <c r="U1533" s="24">
        <f t="shared" si="374"/>
        <v>15209.800000000001</v>
      </c>
      <c r="V1533" s="94">
        <v>811.7</v>
      </c>
      <c r="W1533" s="24">
        <f t="shared" si="369"/>
        <v>16021.500000000002</v>
      </c>
      <c r="X1533" s="39">
        <v>563.9</v>
      </c>
      <c r="Y1533" s="24">
        <f t="shared" si="335"/>
        <v>16585.400000000001</v>
      </c>
      <c r="Z1533" s="61">
        <v>563.9</v>
      </c>
      <c r="AA1533" s="189">
        <f t="shared" ref="AA1533:AA1534" si="398">Y1533+Z1533</f>
        <v>17149.300000000003</v>
      </c>
    </row>
    <row r="1534" spans="1:27" x14ac:dyDescent="0.25">
      <c r="A1534" s="25" t="s">
        <v>321</v>
      </c>
      <c r="B1534" s="26" t="s">
        <v>386</v>
      </c>
      <c r="C1534" s="26" t="s">
        <v>327</v>
      </c>
      <c r="D1534" s="26" t="s">
        <v>322</v>
      </c>
      <c r="E1534" s="27">
        <v>2300</v>
      </c>
      <c r="F1534" s="27"/>
      <c r="G1534" s="24">
        <f t="shared" si="390"/>
        <v>2300</v>
      </c>
      <c r="H1534" s="27"/>
      <c r="I1534" s="24">
        <f t="shared" si="384"/>
        <v>2300</v>
      </c>
      <c r="J1534" s="27"/>
      <c r="K1534" s="24">
        <f t="shared" si="385"/>
        <v>2300</v>
      </c>
      <c r="L1534" s="27"/>
      <c r="M1534" s="24">
        <f t="shared" si="386"/>
        <v>2300</v>
      </c>
      <c r="N1534" s="63">
        <v>-1325.4</v>
      </c>
      <c r="O1534" s="24">
        <f t="shared" si="387"/>
        <v>974.59999999999991</v>
      </c>
      <c r="P1534" s="69"/>
      <c r="Q1534" s="24">
        <f t="shared" si="373"/>
        <v>974.59999999999991</v>
      </c>
      <c r="R1534" s="39">
        <v>32.799999999999997</v>
      </c>
      <c r="S1534" s="24">
        <f t="shared" si="388"/>
        <v>1007.3999999999999</v>
      </c>
      <c r="T1534" s="69"/>
      <c r="U1534" s="24">
        <f t="shared" si="374"/>
        <v>1007.3999999999999</v>
      </c>
      <c r="V1534" s="94">
        <v>-89.1</v>
      </c>
      <c r="W1534" s="24">
        <f t="shared" si="369"/>
        <v>918.29999999999984</v>
      </c>
      <c r="X1534" s="69"/>
      <c r="Y1534" s="24">
        <f t="shared" si="335"/>
        <v>918.29999999999984</v>
      </c>
      <c r="AA1534" s="189">
        <f t="shared" si="398"/>
        <v>918.29999999999984</v>
      </c>
    </row>
    <row r="1535" spans="1:27" ht="16.5" customHeight="1" x14ac:dyDescent="0.25">
      <c r="A1535" s="22" t="s">
        <v>642</v>
      </c>
      <c r="B1535" s="23" t="s">
        <v>386</v>
      </c>
      <c r="C1535" s="23" t="s">
        <v>641</v>
      </c>
      <c r="D1535" s="23" t="s">
        <v>2</v>
      </c>
      <c r="E1535" s="27"/>
      <c r="F1535" s="27"/>
      <c r="G1535" s="24"/>
      <c r="H1535" s="27"/>
      <c r="I1535" s="24"/>
      <c r="J1535" s="27"/>
      <c r="K1535" s="24"/>
      <c r="L1535" s="27"/>
      <c r="M1535" s="24"/>
      <c r="N1535" s="63"/>
      <c r="O1535" s="24"/>
      <c r="P1535" s="69"/>
      <c r="Q1535" s="24"/>
      <c r="R1535" s="39"/>
      <c r="S1535" s="24"/>
      <c r="T1535" s="24">
        <f>T1536+T1537</f>
        <v>5400</v>
      </c>
      <c r="U1535" s="24">
        <f t="shared" si="374"/>
        <v>5400</v>
      </c>
      <c r="V1535" s="24">
        <f>V1536+V1537</f>
        <v>0</v>
      </c>
      <c r="W1535" s="24">
        <f t="shared" si="369"/>
        <v>5400</v>
      </c>
      <c r="X1535" s="24">
        <f>X1536+X1537</f>
        <v>-411.9</v>
      </c>
      <c r="Y1535" s="24">
        <f t="shared" ref="Y1535:Y1641" si="399">W1535+X1535</f>
        <v>4988.1000000000004</v>
      </c>
    </row>
    <row r="1536" spans="1:27" x14ac:dyDescent="0.25">
      <c r="A1536" s="62" t="s">
        <v>574</v>
      </c>
      <c r="B1536" s="26" t="s">
        <v>386</v>
      </c>
      <c r="C1536" s="26" t="s">
        <v>641</v>
      </c>
      <c r="D1536" s="26" t="s">
        <v>81</v>
      </c>
      <c r="E1536" s="27"/>
      <c r="F1536" s="27"/>
      <c r="G1536" s="24"/>
      <c r="H1536" s="27"/>
      <c r="I1536" s="24"/>
      <c r="J1536" s="27"/>
      <c r="K1536" s="24"/>
      <c r="L1536" s="27"/>
      <c r="M1536" s="24"/>
      <c r="N1536" s="63"/>
      <c r="O1536" s="24"/>
      <c r="P1536" s="69"/>
      <c r="Q1536" s="24"/>
      <c r="R1536" s="39"/>
      <c r="S1536" s="24"/>
      <c r="T1536" s="39">
        <v>5070</v>
      </c>
      <c r="U1536" s="24">
        <f t="shared" si="374"/>
        <v>5070</v>
      </c>
      <c r="V1536" s="69"/>
      <c r="W1536" s="24">
        <f t="shared" si="369"/>
        <v>5070</v>
      </c>
      <c r="X1536" s="39">
        <v>-311.89999999999998</v>
      </c>
      <c r="Y1536" s="24">
        <f t="shared" si="399"/>
        <v>4758.1000000000004</v>
      </c>
      <c r="Z1536" s="61">
        <v>-311.89999999999998</v>
      </c>
      <c r="AA1536" s="189">
        <f t="shared" ref="AA1536:AA1537" si="400">Y1536+Z1536</f>
        <v>4446.2000000000007</v>
      </c>
    </row>
    <row r="1537" spans="1:27" x14ac:dyDescent="0.25">
      <c r="A1537" s="62" t="s">
        <v>321</v>
      </c>
      <c r="B1537" s="26" t="s">
        <v>386</v>
      </c>
      <c r="C1537" s="26" t="s">
        <v>641</v>
      </c>
      <c r="D1537" s="26" t="s">
        <v>322</v>
      </c>
      <c r="E1537" s="27"/>
      <c r="F1537" s="27"/>
      <c r="G1537" s="24"/>
      <c r="H1537" s="27"/>
      <c r="I1537" s="24"/>
      <c r="J1537" s="27"/>
      <c r="K1537" s="24"/>
      <c r="L1537" s="27"/>
      <c r="M1537" s="24"/>
      <c r="N1537" s="63"/>
      <c r="O1537" s="24"/>
      <c r="P1537" s="69"/>
      <c r="Q1537" s="24"/>
      <c r="R1537" s="39"/>
      <c r="S1537" s="24"/>
      <c r="T1537" s="39">
        <v>330</v>
      </c>
      <c r="U1537" s="24">
        <f t="shared" si="374"/>
        <v>330</v>
      </c>
      <c r="V1537" s="69"/>
      <c r="W1537" s="24">
        <f t="shared" si="369"/>
        <v>330</v>
      </c>
      <c r="X1537" s="39">
        <v>-100</v>
      </c>
      <c r="Y1537" s="24">
        <f t="shared" si="399"/>
        <v>230</v>
      </c>
      <c r="Z1537" s="61">
        <v>-100</v>
      </c>
      <c r="AA1537" s="189">
        <f t="shared" si="400"/>
        <v>130</v>
      </c>
    </row>
    <row r="1538" spans="1:27" s="93" customFormat="1" ht="24.75" x14ac:dyDescent="0.25">
      <c r="A1538" s="117" t="s">
        <v>158</v>
      </c>
      <c r="B1538" s="20" t="s">
        <v>386</v>
      </c>
      <c r="C1538" s="23" t="s">
        <v>1394</v>
      </c>
      <c r="D1538" s="23" t="s">
        <v>2</v>
      </c>
      <c r="E1538" s="69"/>
      <c r="F1538" s="69"/>
      <c r="G1538" s="47"/>
      <c r="H1538" s="69"/>
      <c r="I1538" s="47"/>
      <c r="J1538" s="69"/>
      <c r="K1538" s="47"/>
      <c r="L1538" s="69"/>
      <c r="M1538" s="47"/>
      <c r="N1538" s="69"/>
      <c r="O1538" s="47"/>
      <c r="P1538" s="69"/>
      <c r="Q1538" s="47"/>
      <c r="R1538" s="69"/>
      <c r="S1538" s="47"/>
      <c r="T1538" s="47">
        <f>T1539</f>
        <v>1201.3</v>
      </c>
      <c r="U1538" s="24">
        <f t="shared" si="374"/>
        <v>1201.3</v>
      </c>
      <c r="V1538" s="47">
        <f>V1539</f>
        <v>0</v>
      </c>
      <c r="W1538" s="24">
        <f t="shared" si="369"/>
        <v>1201.3</v>
      </c>
      <c r="X1538" s="47">
        <f>X1539</f>
        <v>-617</v>
      </c>
      <c r="Y1538" s="24">
        <f t="shared" si="399"/>
        <v>584.29999999999995</v>
      </c>
      <c r="Z1538" s="195"/>
    </row>
    <row r="1539" spans="1:27" s="93" customFormat="1" x14ac:dyDescent="0.25">
      <c r="A1539" s="30" t="s">
        <v>66</v>
      </c>
      <c r="B1539" s="21" t="s">
        <v>386</v>
      </c>
      <c r="C1539" s="26" t="s">
        <v>1394</v>
      </c>
      <c r="D1539" s="26" t="s">
        <v>42</v>
      </c>
      <c r="E1539" s="69"/>
      <c r="F1539" s="69"/>
      <c r="G1539" s="47"/>
      <c r="H1539" s="69"/>
      <c r="I1539" s="47"/>
      <c r="J1539" s="69"/>
      <c r="K1539" s="47"/>
      <c r="L1539" s="69"/>
      <c r="M1539" s="47"/>
      <c r="N1539" s="69"/>
      <c r="O1539" s="47"/>
      <c r="P1539" s="69"/>
      <c r="Q1539" s="47"/>
      <c r="R1539" s="69"/>
      <c r="S1539" s="47"/>
      <c r="T1539" s="63">
        <v>1201.3</v>
      </c>
      <c r="U1539" s="24">
        <f t="shared" si="374"/>
        <v>1201.3</v>
      </c>
      <c r="V1539" s="69"/>
      <c r="W1539" s="24">
        <f t="shared" si="369"/>
        <v>1201.3</v>
      </c>
      <c r="X1539" s="39">
        <v>-617</v>
      </c>
      <c r="Y1539" s="24">
        <f t="shared" si="399"/>
        <v>584.29999999999995</v>
      </c>
      <c r="Z1539" s="195">
        <v>-617</v>
      </c>
      <c r="AA1539" s="189">
        <f>Y1539+Z1539</f>
        <v>-32.700000000000045</v>
      </c>
    </row>
    <row r="1540" spans="1:27" ht="24.75" x14ac:dyDescent="0.25">
      <c r="A1540" s="22" t="s">
        <v>400</v>
      </c>
      <c r="B1540" s="23" t="s">
        <v>386</v>
      </c>
      <c r="C1540" s="23" t="s">
        <v>401</v>
      </c>
      <c r="D1540" s="23" t="s">
        <v>2</v>
      </c>
      <c r="E1540" s="24">
        <f>E1541+E1544</f>
        <v>60</v>
      </c>
      <c r="F1540" s="24">
        <f>F1541+F1544</f>
        <v>0</v>
      </c>
      <c r="G1540" s="24">
        <f t="shared" si="390"/>
        <v>60</v>
      </c>
      <c r="H1540" s="24">
        <f>H1541+H1544</f>
        <v>0</v>
      </c>
      <c r="I1540" s="24">
        <f t="shared" si="384"/>
        <v>60</v>
      </c>
      <c r="J1540" s="24">
        <f>J1541+J1544</f>
        <v>0</v>
      </c>
      <c r="K1540" s="24">
        <f t="shared" si="385"/>
        <v>60</v>
      </c>
      <c r="L1540" s="24">
        <f>L1541+L1544</f>
        <v>0</v>
      </c>
      <c r="M1540" s="24">
        <f t="shared" si="386"/>
        <v>60</v>
      </c>
      <c r="N1540" s="24">
        <f>N1541+N1544</f>
        <v>0</v>
      </c>
      <c r="O1540" s="24">
        <f t="shared" si="387"/>
        <v>60</v>
      </c>
      <c r="P1540" s="24">
        <f>P1541+P1544</f>
        <v>0</v>
      </c>
      <c r="Q1540" s="24">
        <f t="shared" si="373"/>
        <v>60</v>
      </c>
      <c r="R1540" s="24">
        <f>R1541+R1544</f>
        <v>0</v>
      </c>
      <c r="S1540" s="24">
        <f t="shared" si="388"/>
        <v>60</v>
      </c>
      <c r="T1540" s="24">
        <f>T1541+T1544</f>
        <v>0</v>
      </c>
      <c r="U1540" s="24">
        <f t="shared" si="374"/>
        <v>60</v>
      </c>
      <c r="V1540" s="24">
        <f>V1541+V1544</f>
        <v>0</v>
      </c>
      <c r="W1540" s="24">
        <f t="shared" si="369"/>
        <v>60</v>
      </c>
      <c r="X1540" s="24">
        <f>X1541+X1544</f>
        <v>0</v>
      </c>
      <c r="Y1540" s="24">
        <f t="shared" si="399"/>
        <v>60</v>
      </c>
    </row>
    <row r="1541" spans="1:27" s="6" customFormat="1" ht="24.75" hidden="1" x14ac:dyDescent="0.25">
      <c r="A1541" s="22" t="s">
        <v>402</v>
      </c>
      <c r="B1541" s="23" t="s">
        <v>386</v>
      </c>
      <c r="C1541" s="23" t="s">
        <v>403</v>
      </c>
      <c r="D1541" s="23" t="s">
        <v>2</v>
      </c>
      <c r="E1541" s="24">
        <f>E1542</f>
        <v>40</v>
      </c>
      <c r="F1541" s="24">
        <f>F1542</f>
        <v>0</v>
      </c>
      <c r="G1541" s="24">
        <f t="shared" si="390"/>
        <v>40</v>
      </c>
      <c r="H1541" s="24">
        <f>H1542</f>
        <v>0</v>
      </c>
      <c r="I1541" s="24">
        <f t="shared" si="384"/>
        <v>40</v>
      </c>
      <c r="J1541" s="24">
        <f>J1542</f>
        <v>0</v>
      </c>
      <c r="K1541" s="24">
        <f t="shared" si="385"/>
        <v>40</v>
      </c>
      <c r="L1541" s="24">
        <f>L1542</f>
        <v>0</v>
      </c>
      <c r="M1541" s="24">
        <f t="shared" si="386"/>
        <v>40</v>
      </c>
      <c r="N1541" s="24">
        <f>N1542</f>
        <v>0</v>
      </c>
      <c r="O1541" s="24">
        <f t="shared" si="387"/>
        <v>40</v>
      </c>
      <c r="P1541" s="24">
        <f>P1542</f>
        <v>0</v>
      </c>
      <c r="Q1541" s="24">
        <f t="shared" si="373"/>
        <v>40</v>
      </c>
      <c r="R1541" s="24">
        <f>R1542</f>
        <v>0</v>
      </c>
      <c r="S1541" s="24">
        <f t="shared" si="388"/>
        <v>40</v>
      </c>
      <c r="T1541" s="24">
        <f>T1542</f>
        <v>0</v>
      </c>
      <c r="U1541" s="24">
        <f t="shared" si="374"/>
        <v>40</v>
      </c>
      <c r="V1541" s="24">
        <f>V1542</f>
        <v>-40</v>
      </c>
      <c r="W1541" s="24">
        <f t="shared" si="369"/>
        <v>0</v>
      </c>
      <c r="X1541" s="24">
        <f>X1542</f>
        <v>0</v>
      </c>
      <c r="Y1541" s="24">
        <f t="shared" si="399"/>
        <v>0</v>
      </c>
      <c r="Z1541" s="189"/>
    </row>
    <row r="1542" spans="1:27" ht="24.75" hidden="1" x14ac:dyDescent="0.25">
      <c r="A1542" s="22" t="s">
        <v>404</v>
      </c>
      <c r="B1542" s="23" t="s">
        <v>386</v>
      </c>
      <c r="C1542" s="23" t="s">
        <v>405</v>
      </c>
      <c r="D1542" s="23" t="s">
        <v>2</v>
      </c>
      <c r="E1542" s="24">
        <f>E1543</f>
        <v>40</v>
      </c>
      <c r="F1542" s="24">
        <f>F1543</f>
        <v>0</v>
      </c>
      <c r="G1542" s="24">
        <f t="shared" si="390"/>
        <v>40</v>
      </c>
      <c r="H1542" s="24">
        <f>H1543</f>
        <v>0</v>
      </c>
      <c r="I1542" s="24">
        <f t="shared" si="384"/>
        <v>40</v>
      </c>
      <c r="J1542" s="24">
        <f>J1543</f>
        <v>0</v>
      </c>
      <c r="K1542" s="24">
        <f t="shared" si="385"/>
        <v>40</v>
      </c>
      <c r="L1542" s="24">
        <f>L1543</f>
        <v>0</v>
      </c>
      <c r="M1542" s="24">
        <f t="shared" si="386"/>
        <v>40</v>
      </c>
      <c r="N1542" s="24">
        <f>N1543</f>
        <v>0</v>
      </c>
      <c r="O1542" s="24">
        <f t="shared" si="387"/>
        <v>40</v>
      </c>
      <c r="P1542" s="24">
        <f>P1543</f>
        <v>0</v>
      </c>
      <c r="Q1542" s="24">
        <f t="shared" si="373"/>
        <v>40</v>
      </c>
      <c r="R1542" s="24">
        <f>R1543</f>
        <v>0</v>
      </c>
      <c r="S1542" s="24">
        <f t="shared" si="388"/>
        <v>40</v>
      </c>
      <c r="T1542" s="24">
        <f>T1543</f>
        <v>0</v>
      </c>
      <c r="U1542" s="24">
        <f t="shared" si="374"/>
        <v>40</v>
      </c>
      <c r="V1542" s="24">
        <f>V1543</f>
        <v>-40</v>
      </c>
      <c r="W1542" s="24">
        <f t="shared" si="369"/>
        <v>0</v>
      </c>
      <c r="X1542" s="24">
        <f>X1543</f>
        <v>0</v>
      </c>
      <c r="Y1542" s="24">
        <f t="shared" si="399"/>
        <v>0</v>
      </c>
    </row>
    <row r="1543" spans="1:27" hidden="1" x14ac:dyDescent="0.25">
      <c r="A1543" s="25" t="s">
        <v>574</v>
      </c>
      <c r="B1543" s="26" t="s">
        <v>386</v>
      </c>
      <c r="C1543" s="26" t="s">
        <v>405</v>
      </c>
      <c r="D1543" s="26" t="s">
        <v>81</v>
      </c>
      <c r="E1543" s="27">
        <v>40</v>
      </c>
      <c r="F1543" s="27"/>
      <c r="G1543" s="24">
        <f t="shared" si="390"/>
        <v>40</v>
      </c>
      <c r="H1543" s="27"/>
      <c r="I1543" s="24">
        <f t="shared" si="384"/>
        <v>40</v>
      </c>
      <c r="J1543" s="27"/>
      <c r="K1543" s="24">
        <f t="shared" si="385"/>
        <v>40</v>
      </c>
      <c r="L1543" s="27"/>
      <c r="M1543" s="24">
        <f t="shared" si="386"/>
        <v>40</v>
      </c>
      <c r="N1543" s="27"/>
      <c r="O1543" s="24">
        <f t="shared" si="387"/>
        <v>40</v>
      </c>
      <c r="P1543" s="27"/>
      <c r="Q1543" s="24">
        <f t="shared" si="373"/>
        <v>40</v>
      </c>
      <c r="R1543" s="27"/>
      <c r="S1543" s="24">
        <f t="shared" si="388"/>
        <v>40</v>
      </c>
      <c r="T1543" s="69"/>
      <c r="U1543" s="24">
        <f t="shared" si="374"/>
        <v>40</v>
      </c>
      <c r="V1543" s="94">
        <v>-40</v>
      </c>
      <c r="W1543" s="24">
        <f t="shared" si="369"/>
        <v>0</v>
      </c>
      <c r="X1543" s="69"/>
      <c r="Y1543" s="24">
        <f t="shared" si="399"/>
        <v>0</v>
      </c>
      <c r="AA1543" s="189">
        <f>Y1543+Z1543</f>
        <v>0</v>
      </c>
    </row>
    <row r="1544" spans="1:27" s="6" customFormat="1" x14ac:dyDescent="0.25">
      <c r="A1544" s="22" t="s">
        <v>406</v>
      </c>
      <c r="B1544" s="23" t="s">
        <v>386</v>
      </c>
      <c r="C1544" s="23" t="s">
        <v>407</v>
      </c>
      <c r="D1544" s="23" t="s">
        <v>2</v>
      </c>
      <c r="E1544" s="24">
        <f>E1545</f>
        <v>20</v>
      </c>
      <c r="F1544" s="24">
        <f>F1545</f>
        <v>0</v>
      </c>
      <c r="G1544" s="24">
        <f t="shared" si="390"/>
        <v>20</v>
      </c>
      <c r="H1544" s="24">
        <f>H1545</f>
        <v>0</v>
      </c>
      <c r="I1544" s="24">
        <f t="shared" si="384"/>
        <v>20</v>
      </c>
      <c r="J1544" s="24">
        <f>J1545</f>
        <v>0</v>
      </c>
      <c r="K1544" s="24">
        <f t="shared" si="385"/>
        <v>20</v>
      </c>
      <c r="L1544" s="24">
        <f>L1545</f>
        <v>0</v>
      </c>
      <c r="M1544" s="24">
        <f t="shared" si="386"/>
        <v>20</v>
      </c>
      <c r="N1544" s="24">
        <f>N1545</f>
        <v>0</v>
      </c>
      <c r="O1544" s="24">
        <f t="shared" si="387"/>
        <v>20</v>
      </c>
      <c r="P1544" s="24">
        <f>P1545</f>
        <v>0</v>
      </c>
      <c r="Q1544" s="24">
        <f t="shared" si="373"/>
        <v>20</v>
      </c>
      <c r="R1544" s="24">
        <f>R1545</f>
        <v>0</v>
      </c>
      <c r="S1544" s="24">
        <f t="shared" si="388"/>
        <v>20</v>
      </c>
      <c r="T1544" s="24">
        <f>T1545</f>
        <v>0</v>
      </c>
      <c r="U1544" s="24">
        <f t="shared" si="374"/>
        <v>20</v>
      </c>
      <c r="V1544" s="24">
        <f>V1545</f>
        <v>40</v>
      </c>
      <c r="W1544" s="24">
        <f t="shared" si="369"/>
        <v>60</v>
      </c>
      <c r="X1544" s="24">
        <f>X1545</f>
        <v>0</v>
      </c>
      <c r="Y1544" s="24">
        <f t="shared" si="399"/>
        <v>60</v>
      </c>
      <c r="Z1544" s="189"/>
    </row>
    <row r="1545" spans="1:27" s="6" customFormat="1" ht="36.75" x14ac:dyDescent="0.25">
      <c r="A1545" s="22" t="s">
        <v>408</v>
      </c>
      <c r="B1545" s="23" t="s">
        <v>386</v>
      </c>
      <c r="C1545" s="23" t="s">
        <v>409</v>
      </c>
      <c r="D1545" s="23" t="s">
        <v>2</v>
      </c>
      <c r="E1545" s="24">
        <f>E1547</f>
        <v>20</v>
      </c>
      <c r="F1545" s="24">
        <f>F1547</f>
        <v>0</v>
      </c>
      <c r="G1545" s="24">
        <f t="shared" si="390"/>
        <v>20</v>
      </c>
      <c r="H1545" s="24">
        <f>H1547</f>
        <v>0</v>
      </c>
      <c r="I1545" s="24">
        <f t="shared" si="384"/>
        <v>20</v>
      </c>
      <c r="J1545" s="24">
        <f>J1547</f>
        <v>0</v>
      </c>
      <c r="K1545" s="24">
        <f t="shared" si="385"/>
        <v>20</v>
      </c>
      <c r="L1545" s="24">
        <f>L1547</f>
        <v>0</v>
      </c>
      <c r="M1545" s="24">
        <f t="shared" si="386"/>
        <v>20</v>
      </c>
      <c r="N1545" s="24">
        <f>N1547</f>
        <v>0</v>
      </c>
      <c r="O1545" s="24">
        <f t="shared" si="387"/>
        <v>20</v>
      </c>
      <c r="P1545" s="24">
        <f>P1547</f>
        <v>0</v>
      </c>
      <c r="Q1545" s="24">
        <f t="shared" si="373"/>
        <v>20</v>
      </c>
      <c r="R1545" s="24">
        <f>R1547</f>
        <v>0</v>
      </c>
      <c r="S1545" s="24">
        <f t="shared" si="388"/>
        <v>20</v>
      </c>
      <c r="T1545" s="24">
        <f>T1547</f>
        <v>0</v>
      </c>
      <c r="U1545" s="24">
        <f t="shared" si="374"/>
        <v>20</v>
      </c>
      <c r="V1545" s="24">
        <f>V1547+V1546</f>
        <v>40</v>
      </c>
      <c r="W1545" s="24">
        <f t="shared" si="369"/>
        <v>60</v>
      </c>
      <c r="X1545" s="24">
        <f>X1547+X1546</f>
        <v>0</v>
      </c>
      <c r="Y1545" s="24">
        <f t="shared" si="399"/>
        <v>60</v>
      </c>
      <c r="Z1545" s="189"/>
    </row>
    <row r="1546" spans="1:27" s="6" customFormat="1" x14ac:dyDescent="0.25">
      <c r="A1546" s="30" t="s">
        <v>66</v>
      </c>
      <c r="B1546" s="26" t="s">
        <v>386</v>
      </c>
      <c r="C1546" s="26" t="s">
        <v>409</v>
      </c>
      <c r="D1546" s="26" t="s">
        <v>42</v>
      </c>
      <c r="E1546" s="24"/>
      <c r="F1546" s="24"/>
      <c r="G1546" s="24"/>
      <c r="H1546" s="24"/>
      <c r="I1546" s="24"/>
      <c r="J1546" s="24"/>
      <c r="K1546" s="24"/>
      <c r="L1546" s="24"/>
      <c r="M1546" s="24"/>
      <c r="N1546" s="24"/>
      <c r="O1546" s="24"/>
      <c r="P1546" s="24"/>
      <c r="Q1546" s="24"/>
      <c r="R1546" s="24"/>
      <c r="S1546" s="24"/>
      <c r="T1546" s="24"/>
      <c r="U1546" s="24"/>
      <c r="V1546" s="94">
        <v>60</v>
      </c>
      <c r="W1546" s="24">
        <f t="shared" si="369"/>
        <v>60</v>
      </c>
      <c r="X1546" s="69"/>
      <c r="Y1546" s="24">
        <f t="shared" si="399"/>
        <v>60</v>
      </c>
      <c r="Z1546" s="189"/>
      <c r="AA1546" s="189">
        <f t="shared" ref="AA1546:AA1547" si="401">Y1546+Z1546</f>
        <v>60</v>
      </c>
    </row>
    <row r="1547" spans="1:27" s="6" customFormat="1" hidden="1" x14ac:dyDescent="0.25">
      <c r="A1547" s="25" t="s">
        <v>574</v>
      </c>
      <c r="B1547" s="26" t="s">
        <v>386</v>
      </c>
      <c r="C1547" s="26" t="s">
        <v>409</v>
      </c>
      <c r="D1547" s="26" t="s">
        <v>81</v>
      </c>
      <c r="E1547" s="27">
        <v>20</v>
      </c>
      <c r="F1547" s="27"/>
      <c r="G1547" s="24">
        <f t="shared" si="390"/>
        <v>20</v>
      </c>
      <c r="H1547" s="27"/>
      <c r="I1547" s="24">
        <f t="shared" si="384"/>
        <v>20</v>
      </c>
      <c r="J1547" s="27"/>
      <c r="K1547" s="24">
        <f t="shared" si="385"/>
        <v>20</v>
      </c>
      <c r="L1547" s="27"/>
      <c r="M1547" s="24">
        <f t="shared" si="386"/>
        <v>20</v>
      </c>
      <c r="N1547" s="27"/>
      <c r="O1547" s="24">
        <f t="shared" si="387"/>
        <v>20</v>
      </c>
      <c r="P1547" s="27"/>
      <c r="Q1547" s="24">
        <f t="shared" si="373"/>
        <v>20</v>
      </c>
      <c r="R1547" s="27"/>
      <c r="S1547" s="24">
        <f t="shared" si="388"/>
        <v>20</v>
      </c>
      <c r="T1547" s="69"/>
      <c r="U1547" s="24">
        <f t="shared" si="374"/>
        <v>20</v>
      </c>
      <c r="V1547" s="94">
        <v>-20</v>
      </c>
      <c r="W1547" s="24">
        <f t="shared" si="369"/>
        <v>0</v>
      </c>
      <c r="X1547" s="69"/>
      <c r="Y1547" s="24">
        <f t="shared" si="399"/>
        <v>0</v>
      </c>
      <c r="Z1547" s="189"/>
      <c r="AA1547" s="189">
        <f t="shared" si="401"/>
        <v>0</v>
      </c>
    </row>
    <row r="1548" spans="1:27" ht="24.75" x14ac:dyDescent="0.25">
      <c r="A1548" s="22" t="s">
        <v>587</v>
      </c>
      <c r="B1548" s="23" t="s">
        <v>386</v>
      </c>
      <c r="C1548" s="23" t="s">
        <v>20</v>
      </c>
      <c r="D1548" s="23" t="s">
        <v>2</v>
      </c>
      <c r="E1548" s="24">
        <f t="shared" ref="E1548:X1551" si="402">E1549</f>
        <v>1000</v>
      </c>
      <c r="F1548" s="24">
        <f t="shared" si="402"/>
        <v>0</v>
      </c>
      <c r="G1548" s="24">
        <f t="shared" si="390"/>
        <v>1000</v>
      </c>
      <c r="H1548" s="24">
        <f t="shared" si="402"/>
        <v>0</v>
      </c>
      <c r="I1548" s="24">
        <f t="shared" si="384"/>
        <v>1000</v>
      </c>
      <c r="J1548" s="24">
        <f t="shared" si="402"/>
        <v>0</v>
      </c>
      <c r="K1548" s="24">
        <f t="shared" si="385"/>
        <v>1000</v>
      </c>
      <c r="L1548" s="24">
        <f t="shared" si="402"/>
        <v>0</v>
      </c>
      <c r="M1548" s="24">
        <f t="shared" si="386"/>
        <v>1000</v>
      </c>
      <c r="N1548" s="24">
        <f t="shared" si="402"/>
        <v>0</v>
      </c>
      <c r="O1548" s="24">
        <f t="shared" si="387"/>
        <v>1000</v>
      </c>
      <c r="P1548" s="24">
        <f t="shared" si="402"/>
        <v>0</v>
      </c>
      <c r="Q1548" s="24">
        <f t="shared" si="373"/>
        <v>1000</v>
      </c>
      <c r="R1548" s="24">
        <f t="shared" si="402"/>
        <v>0</v>
      </c>
      <c r="S1548" s="24">
        <f t="shared" si="388"/>
        <v>1000</v>
      </c>
      <c r="T1548" s="24">
        <f t="shared" si="402"/>
        <v>0</v>
      </c>
      <c r="U1548" s="24">
        <f t="shared" si="374"/>
        <v>1000</v>
      </c>
      <c r="V1548" s="24">
        <f t="shared" si="402"/>
        <v>-373.9</v>
      </c>
      <c r="W1548" s="24">
        <f t="shared" si="369"/>
        <v>626.1</v>
      </c>
      <c r="X1548" s="24">
        <f t="shared" si="402"/>
        <v>0</v>
      </c>
      <c r="Y1548" s="24">
        <f t="shared" si="399"/>
        <v>626.1</v>
      </c>
    </row>
    <row r="1549" spans="1:27" s="6" customFormat="1" ht="36.75" x14ac:dyDescent="0.25">
      <c r="A1549" s="22" t="s">
        <v>27</v>
      </c>
      <c r="B1549" s="23" t="s">
        <v>386</v>
      </c>
      <c r="C1549" s="23" t="s">
        <v>28</v>
      </c>
      <c r="D1549" s="23" t="s">
        <v>2</v>
      </c>
      <c r="E1549" s="24">
        <f t="shared" si="402"/>
        <v>1000</v>
      </c>
      <c r="F1549" s="24">
        <f t="shared" si="402"/>
        <v>0</v>
      </c>
      <c r="G1549" s="24">
        <f t="shared" si="390"/>
        <v>1000</v>
      </c>
      <c r="H1549" s="24">
        <f t="shared" si="402"/>
        <v>0</v>
      </c>
      <c r="I1549" s="24">
        <f t="shared" si="384"/>
        <v>1000</v>
      </c>
      <c r="J1549" s="24">
        <f t="shared" si="402"/>
        <v>0</v>
      </c>
      <c r="K1549" s="24">
        <f t="shared" si="385"/>
        <v>1000</v>
      </c>
      <c r="L1549" s="24">
        <f t="shared" si="402"/>
        <v>0</v>
      </c>
      <c r="M1549" s="24">
        <f t="shared" si="386"/>
        <v>1000</v>
      </c>
      <c r="N1549" s="24">
        <f t="shared" si="402"/>
        <v>0</v>
      </c>
      <c r="O1549" s="24">
        <f t="shared" si="387"/>
        <v>1000</v>
      </c>
      <c r="P1549" s="24">
        <f t="shared" si="402"/>
        <v>0</v>
      </c>
      <c r="Q1549" s="24">
        <f t="shared" si="373"/>
        <v>1000</v>
      </c>
      <c r="R1549" s="24">
        <f t="shared" si="402"/>
        <v>0</v>
      </c>
      <c r="S1549" s="24">
        <f t="shared" si="388"/>
        <v>1000</v>
      </c>
      <c r="T1549" s="24">
        <f t="shared" si="402"/>
        <v>0</v>
      </c>
      <c r="U1549" s="24">
        <f t="shared" si="374"/>
        <v>1000</v>
      </c>
      <c r="V1549" s="24">
        <f t="shared" si="402"/>
        <v>-373.9</v>
      </c>
      <c r="W1549" s="24">
        <f t="shared" si="369"/>
        <v>626.1</v>
      </c>
      <c r="X1549" s="24">
        <f t="shared" si="402"/>
        <v>0</v>
      </c>
      <c r="Y1549" s="24">
        <f t="shared" si="399"/>
        <v>626.1</v>
      </c>
      <c r="Z1549" s="189"/>
    </row>
    <row r="1550" spans="1:27" s="6" customFormat="1" ht="24.75" x14ac:dyDescent="0.25">
      <c r="A1550" s="22" t="s">
        <v>410</v>
      </c>
      <c r="B1550" s="23" t="s">
        <v>386</v>
      </c>
      <c r="C1550" s="23" t="s">
        <v>411</v>
      </c>
      <c r="D1550" s="23" t="s">
        <v>2</v>
      </c>
      <c r="E1550" s="24">
        <f t="shared" si="402"/>
        <v>1000</v>
      </c>
      <c r="F1550" s="24">
        <f t="shared" si="402"/>
        <v>0</v>
      </c>
      <c r="G1550" s="24">
        <f t="shared" si="390"/>
        <v>1000</v>
      </c>
      <c r="H1550" s="24">
        <f t="shared" si="402"/>
        <v>0</v>
      </c>
      <c r="I1550" s="24">
        <f t="shared" si="384"/>
        <v>1000</v>
      </c>
      <c r="J1550" s="24">
        <f t="shared" si="402"/>
        <v>0</v>
      </c>
      <c r="K1550" s="24">
        <f t="shared" si="385"/>
        <v>1000</v>
      </c>
      <c r="L1550" s="24">
        <f t="shared" si="402"/>
        <v>0</v>
      </c>
      <c r="M1550" s="24">
        <f t="shared" si="386"/>
        <v>1000</v>
      </c>
      <c r="N1550" s="24">
        <f t="shared" si="402"/>
        <v>0</v>
      </c>
      <c r="O1550" s="24">
        <f t="shared" si="387"/>
        <v>1000</v>
      </c>
      <c r="P1550" s="24">
        <f t="shared" si="402"/>
        <v>0</v>
      </c>
      <c r="Q1550" s="24">
        <f t="shared" si="373"/>
        <v>1000</v>
      </c>
      <c r="R1550" s="24">
        <f t="shared" si="402"/>
        <v>0</v>
      </c>
      <c r="S1550" s="24">
        <f t="shared" si="388"/>
        <v>1000</v>
      </c>
      <c r="T1550" s="24">
        <f t="shared" si="402"/>
        <v>0</v>
      </c>
      <c r="U1550" s="24">
        <f t="shared" si="374"/>
        <v>1000</v>
      </c>
      <c r="V1550" s="24">
        <f t="shared" si="402"/>
        <v>-373.9</v>
      </c>
      <c r="W1550" s="24">
        <f t="shared" si="369"/>
        <v>626.1</v>
      </c>
      <c r="X1550" s="24">
        <f t="shared" si="402"/>
        <v>0</v>
      </c>
      <c r="Y1550" s="24">
        <f t="shared" si="399"/>
        <v>626.1</v>
      </c>
      <c r="Z1550" s="189"/>
    </row>
    <row r="1551" spans="1:27" ht="24.75" x14ac:dyDescent="0.25">
      <c r="A1551" s="22" t="s">
        <v>412</v>
      </c>
      <c r="B1551" s="23" t="s">
        <v>386</v>
      </c>
      <c r="C1551" s="23" t="s">
        <v>413</v>
      </c>
      <c r="D1551" s="23" t="s">
        <v>2</v>
      </c>
      <c r="E1551" s="24">
        <f t="shared" si="402"/>
        <v>1000</v>
      </c>
      <c r="F1551" s="24">
        <f t="shared" si="402"/>
        <v>0</v>
      </c>
      <c r="G1551" s="24">
        <f t="shared" si="390"/>
        <v>1000</v>
      </c>
      <c r="H1551" s="24">
        <f t="shared" si="402"/>
        <v>0</v>
      </c>
      <c r="I1551" s="24">
        <f t="shared" si="384"/>
        <v>1000</v>
      </c>
      <c r="J1551" s="24">
        <f t="shared" si="402"/>
        <v>0</v>
      </c>
      <c r="K1551" s="24">
        <f t="shared" si="385"/>
        <v>1000</v>
      </c>
      <c r="L1551" s="24">
        <f t="shared" si="402"/>
        <v>0</v>
      </c>
      <c r="M1551" s="24">
        <f t="shared" si="386"/>
        <v>1000</v>
      </c>
      <c r="N1551" s="24">
        <f t="shared" si="402"/>
        <v>0</v>
      </c>
      <c r="O1551" s="24">
        <f t="shared" si="387"/>
        <v>1000</v>
      </c>
      <c r="P1551" s="24">
        <f t="shared" si="402"/>
        <v>0</v>
      </c>
      <c r="Q1551" s="24">
        <f t="shared" si="373"/>
        <v>1000</v>
      </c>
      <c r="R1551" s="24">
        <f t="shared" si="402"/>
        <v>0</v>
      </c>
      <c r="S1551" s="24">
        <f t="shared" si="388"/>
        <v>1000</v>
      </c>
      <c r="T1551" s="24">
        <f t="shared" si="402"/>
        <v>0</v>
      </c>
      <c r="U1551" s="24">
        <f t="shared" si="374"/>
        <v>1000</v>
      </c>
      <c r="V1551" s="183">
        <f t="shared" si="402"/>
        <v>-373.9</v>
      </c>
      <c r="W1551" s="24">
        <f t="shared" si="369"/>
        <v>626.1</v>
      </c>
      <c r="X1551" s="183">
        <f t="shared" si="402"/>
        <v>0</v>
      </c>
      <c r="Y1551" s="24">
        <f t="shared" si="399"/>
        <v>626.1</v>
      </c>
    </row>
    <row r="1552" spans="1:27" s="6" customFormat="1" x14ac:dyDescent="0.25">
      <c r="A1552" s="25" t="s">
        <v>574</v>
      </c>
      <c r="B1552" s="26" t="s">
        <v>386</v>
      </c>
      <c r="C1552" s="26" t="s">
        <v>413</v>
      </c>
      <c r="D1552" s="26" t="s">
        <v>81</v>
      </c>
      <c r="E1552" s="27">
        <v>1000</v>
      </c>
      <c r="F1552" s="27"/>
      <c r="G1552" s="24">
        <f t="shared" si="390"/>
        <v>1000</v>
      </c>
      <c r="H1552" s="27"/>
      <c r="I1552" s="24">
        <f t="shared" si="384"/>
        <v>1000</v>
      </c>
      <c r="J1552" s="27"/>
      <c r="K1552" s="24">
        <f t="shared" si="385"/>
        <v>1000</v>
      </c>
      <c r="L1552" s="27"/>
      <c r="M1552" s="24">
        <f t="shared" si="386"/>
        <v>1000</v>
      </c>
      <c r="N1552" s="27"/>
      <c r="O1552" s="24">
        <f t="shared" si="387"/>
        <v>1000</v>
      </c>
      <c r="P1552" s="27"/>
      <c r="Q1552" s="24">
        <f t="shared" si="373"/>
        <v>1000</v>
      </c>
      <c r="R1552" s="27"/>
      <c r="S1552" s="24">
        <f t="shared" si="388"/>
        <v>1000</v>
      </c>
      <c r="T1552" s="69"/>
      <c r="U1552" s="24">
        <f t="shared" si="374"/>
        <v>1000</v>
      </c>
      <c r="V1552" s="39">
        <v>-373.9</v>
      </c>
      <c r="W1552" s="24">
        <f t="shared" si="369"/>
        <v>626.1</v>
      </c>
      <c r="X1552" s="109">
        <f>373.9-373.9</f>
        <v>0</v>
      </c>
      <c r="Y1552" s="24">
        <f t="shared" si="399"/>
        <v>626.1</v>
      </c>
      <c r="Z1552" s="189">
        <v>-373.9</v>
      </c>
      <c r="AA1552" s="189">
        <f>Y1552+Z1552</f>
        <v>252.20000000000005</v>
      </c>
    </row>
    <row r="1553" spans="1:27" s="6" customFormat="1" ht="24.75" x14ac:dyDescent="0.25">
      <c r="A1553" s="22" t="s">
        <v>195</v>
      </c>
      <c r="B1553" s="23" t="s">
        <v>386</v>
      </c>
      <c r="C1553" s="23" t="s">
        <v>196</v>
      </c>
      <c r="D1553" s="23" t="s">
        <v>2</v>
      </c>
      <c r="E1553" s="24">
        <f t="shared" ref="E1553:X1555" si="403">E1554</f>
        <v>10</v>
      </c>
      <c r="F1553" s="24">
        <f t="shared" si="403"/>
        <v>0</v>
      </c>
      <c r="G1553" s="24">
        <f t="shared" si="390"/>
        <v>10</v>
      </c>
      <c r="H1553" s="24">
        <f t="shared" si="403"/>
        <v>0</v>
      </c>
      <c r="I1553" s="24">
        <f t="shared" si="384"/>
        <v>10</v>
      </c>
      <c r="J1553" s="24">
        <f t="shared" si="403"/>
        <v>0</v>
      </c>
      <c r="K1553" s="24">
        <f t="shared" si="385"/>
        <v>10</v>
      </c>
      <c r="L1553" s="24">
        <f t="shared" si="403"/>
        <v>0</v>
      </c>
      <c r="M1553" s="24">
        <f t="shared" si="386"/>
        <v>10</v>
      </c>
      <c r="N1553" s="24">
        <f t="shared" si="403"/>
        <v>0</v>
      </c>
      <c r="O1553" s="24">
        <f t="shared" si="387"/>
        <v>10</v>
      </c>
      <c r="P1553" s="24">
        <f t="shared" si="403"/>
        <v>0</v>
      </c>
      <c r="Q1553" s="24">
        <f t="shared" si="373"/>
        <v>10</v>
      </c>
      <c r="R1553" s="24">
        <f t="shared" si="403"/>
        <v>0</v>
      </c>
      <c r="S1553" s="24">
        <f t="shared" si="388"/>
        <v>10</v>
      </c>
      <c r="T1553" s="24">
        <f t="shared" si="403"/>
        <v>0</v>
      </c>
      <c r="U1553" s="24">
        <f t="shared" si="374"/>
        <v>10</v>
      </c>
      <c r="V1553" s="24">
        <f t="shared" si="403"/>
        <v>0</v>
      </c>
      <c r="W1553" s="24">
        <f t="shared" si="369"/>
        <v>10</v>
      </c>
      <c r="X1553" s="24">
        <f t="shared" si="403"/>
        <v>0</v>
      </c>
      <c r="Y1553" s="24">
        <f t="shared" si="399"/>
        <v>10</v>
      </c>
      <c r="Z1553" s="189"/>
    </row>
    <row r="1554" spans="1:27" s="6" customFormat="1" ht="24.75" x14ac:dyDescent="0.25">
      <c r="A1554" s="22" t="s">
        <v>414</v>
      </c>
      <c r="B1554" s="23" t="s">
        <v>386</v>
      </c>
      <c r="C1554" s="23" t="s">
        <v>415</v>
      </c>
      <c r="D1554" s="23" t="s">
        <v>2</v>
      </c>
      <c r="E1554" s="24">
        <f t="shared" si="403"/>
        <v>10</v>
      </c>
      <c r="F1554" s="24">
        <f t="shared" si="403"/>
        <v>0</v>
      </c>
      <c r="G1554" s="24">
        <f t="shared" si="390"/>
        <v>10</v>
      </c>
      <c r="H1554" s="24">
        <f t="shared" si="403"/>
        <v>0</v>
      </c>
      <c r="I1554" s="24">
        <f t="shared" si="384"/>
        <v>10</v>
      </c>
      <c r="J1554" s="24">
        <f t="shared" si="403"/>
        <v>0</v>
      </c>
      <c r="K1554" s="24">
        <f t="shared" si="385"/>
        <v>10</v>
      </c>
      <c r="L1554" s="24">
        <f t="shared" si="403"/>
        <v>0</v>
      </c>
      <c r="M1554" s="24">
        <f t="shared" si="386"/>
        <v>10</v>
      </c>
      <c r="N1554" s="24">
        <f t="shared" si="403"/>
        <v>0</v>
      </c>
      <c r="O1554" s="24">
        <f t="shared" si="387"/>
        <v>10</v>
      </c>
      <c r="P1554" s="24">
        <f t="shared" si="403"/>
        <v>0</v>
      </c>
      <c r="Q1554" s="24">
        <f t="shared" si="373"/>
        <v>10</v>
      </c>
      <c r="R1554" s="24">
        <f t="shared" si="403"/>
        <v>0</v>
      </c>
      <c r="S1554" s="24">
        <f t="shared" si="388"/>
        <v>10</v>
      </c>
      <c r="T1554" s="24">
        <f t="shared" si="403"/>
        <v>0</v>
      </c>
      <c r="U1554" s="24">
        <f t="shared" si="374"/>
        <v>10</v>
      </c>
      <c r="V1554" s="24">
        <f t="shared" si="403"/>
        <v>0</v>
      </c>
      <c r="W1554" s="24">
        <f t="shared" si="369"/>
        <v>10</v>
      </c>
      <c r="X1554" s="24">
        <f t="shared" si="403"/>
        <v>0</v>
      </c>
      <c r="Y1554" s="24">
        <f t="shared" si="399"/>
        <v>10</v>
      </c>
      <c r="Z1554" s="189"/>
    </row>
    <row r="1555" spans="1:27" s="6" customFormat="1" ht="24.75" x14ac:dyDescent="0.25">
      <c r="A1555" s="22" t="s">
        <v>199</v>
      </c>
      <c r="B1555" s="23" t="s">
        <v>386</v>
      </c>
      <c r="C1555" s="23" t="s">
        <v>416</v>
      </c>
      <c r="D1555" s="23" t="s">
        <v>2</v>
      </c>
      <c r="E1555" s="24">
        <f t="shared" si="403"/>
        <v>10</v>
      </c>
      <c r="F1555" s="24">
        <f t="shared" si="403"/>
        <v>0</v>
      </c>
      <c r="G1555" s="24">
        <f t="shared" si="390"/>
        <v>10</v>
      </c>
      <c r="H1555" s="24">
        <f t="shared" si="403"/>
        <v>0</v>
      </c>
      <c r="I1555" s="24">
        <f t="shared" si="384"/>
        <v>10</v>
      </c>
      <c r="J1555" s="24">
        <f t="shared" si="403"/>
        <v>0</v>
      </c>
      <c r="K1555" s="24">
        <f t="shared" si="385"/>
        <v>10</v>
      </c>
      <c r="L1555" s="24">
        <f t="shared" si="403"/>
        <v>0</v>
      </c>
      <c r="M1555" s="24">
        <f t="shared" si="386"/>
        <v>10</v>
      </c>
      <c r="N1555" s="24">
        <f t="shared" si="403"/>
        <v>0</v>
      </c>
      <c r="O1555" s="24">
        <f t="shared" si="387"/>
        <v>10</v>
      </c>
      <c r="P1555" s="24">
        <f t="shared" si="403"/>
        <v>0</v>
      </c>
      <c r="Q1555" s="24">
        <f t="shared" si="373"/>
        <v>10</v>
      </c>
      <c r="R1555" s="24">
        <f t="shared" si="403"/>
        <v>0</v>
      </c>
      <c r="S1555" s="24">
        <f t="shared" si="388"/>
        <v>10</v>
      </c>
      <c r="T1555" s="24">
        <f t="shared" si="403"/>
        <v>0</v>
      </c>
      <c r="U1555" s="24">
        <f t="shared" si="374"/>
        <v>10</v>
      </c>
      <c r="V1555" s="24">
        <f t="shared" si="403"/>
        <v>0</v>
      </c>
      <c r="W1555" s="24">
        <f t="shared" si="369"/>
        <v>10</v>
      </c>
      <c r="X1555" s="24">
        <f t="shared" si="403"/>
        <v>0</v>
      </c>
      <c r="Y1555" s="24">
        <f t="shared" si="399"/>
        <v>10</v>
      </c>
      <c r="Z1555" s="189"/>
    </row>
    <row r="1556" spans="1:27" x14ac:dyDescent="0.25">
      <c r="A1556" s="25" t="s">
        <v>574</v>
      </c>
      <c r="B1556" s="26" t="s">
        <v>386</v>
      </c>
      <c r="C1556" s="26" t="s">
        <v>416</v>
      </c>
      <c r="D1556" s="26" t="s">
        <v>81</v>
      </c>
      <c r="E1556" s="27">
        <v>10</v>
      </c>
      <c r="F1556" s="27"/>
      <c r="G1556" s="24">
        <f t="shared" si="390"/>
        <v>10</v>
      </c>
      <c r="H1556" s="27"/>
      <c r="I1556" s="24">
        <f t="shared" si="384"/>
        <v>10</v>
      </c>
      <c r="J1556" s="27"/>
      <c r="K1556" s="24">
        <f t="shared" si="385"/>
        <v>10</v>
      </c>
      <c r="L1556" s="27"/>
      <c r="M1556" s="24">
        <f t="shared" si="386"/>
        <v>10</v>
      </c>
      <c r="N1556" s="27"/>
      <c r="O1556" s="24">
        <f t="shared" si="387"/>
        <v>10</v>
      </c>
      <c r="P1556" s="27"/>
      <c r="Q1556" s="24">
        <f t="shared" si="373"/>
        <v>10</v>
      </c>
      <c r="R1556" s="27"/>
      <c r="S1556" s="24">
        <f t="shared" si="388"/>
        <v>10</v>
      </c>
      <c r="T1556" s="69"/>
      <c r="U1556" s="24">
        <f t="shared" si="374"/>
        <v>10</v>
      </c>
      <c r="V1556" s="69"/>
      <c r="W1556" s="24">
        <f t="shared" si="369"/>
        <v>10</v>
      </c>
      <c r="X1556" s="69"/>
      <c r="Y1556" s="24">
        <f t="shared" si="399"/>
        <v>10</v>
      </c>
      <c r="AA1556" s="189">
        <f>Y1556+Z1556</f>
        <v>10</v>
      </c>
    </row>
    <row r="1557" spans="1:27" s="6" customFormat="1" ht="24.75" x14ac:dyDescent="0.25">
      <c r="A1557" s="22" t="s">
        <v>590</v>
      </c>
      <c r="B1557" s="23" t="s">
        <v>386</v>
      </c>
      <c r="C1557" s="23" t="s">
        <v>32</v>
      </c>
      <c r="D1557" s="23" t="s">
        <v>2</v>
      </c>
      <c r="E1557" s="24">
        <f t="shared" ref="E1557:X1559" si="404">E1558</f>
        <v>165</v>
      </c>
      <c r="F1557" s="24">
        <f t="shared" si="404"/>
        <v>0</v>
      </c>
      <c r="G1557" s="24">
        <f t="shared" si="390"/>
        <v>165</v>
      </c>
      <c r="H1557" s="24">
        <f t="shared" si="404"/>
        <v>0</v>
      </c>
      <c r="I1557" s="24">
        <f t="shared" si="384"/>
        <v>165</v>
      </c>
      <c r="J1557" s="24">
        <f t="shared" si="404"/>
        <v>0</v>
      </c>
      <c r="K1557" s="24">
        <f t="shared" si="385"/>
        <v>165</v>
      </c>
      <c r="L1557" s="24">
        <f t="shared" si="404"/>
        <v>0</v>
      </c>
      <c r="M1557" s="24">
        <f t="shared" si="386"/>
        <v>165</v>
      </c>
      <c r="N1557" s="24">
        <f t="shared" si="404"/>
        <v>0</v>
      </c>
      <c r="O1557" s="24">
        <f t="shared" si="387"/>
        <v>165</v>
      </c>
      <c r="P1557" s="24">
        <f t="shared" si="404"/>
        <v>0</v>
      </c>
      <c r="Q1557" s="24">
        <f t="shared" si="373"/>
        <v>165</v>
      </c>
      <c r="R1557" s="24">
        <f t="shared" si="404"/>
        <v>0</v>
      </c>
      <c r="S1557" s="24">
        <f t="shared" si="388"/>
        <v>165</v>
      </c>
      <c r="T1557" s="24">
        <f t="shared" si="404"/>
        <v>0</v>
      </c>
      <c r="U1557" s="24">
        <f t="shared" si="374"/>
        <v>165</v>
      </c>
      <c r="V1557" s="24">
        <f t="shared" si="404"/>
        <v>0</v>
      </c>
      <c r="W1557" s="24">
        <f t="shared" si="369"/>
        <v>165</v>
      </c>
      <c r="X1557" s="24">
        <f t="shared" si="404"/>
        <v>0</v>
      </c>
      <c r="Y1557" s="24">
        <f t="shared" si="399"/>
        <v>165</v>
      </c>
      <c r="Z1557" s="189"/>
    </row>
    <row r="1558" spans="1:27" s="6" customFormat="1" ht="18.75" customHeight="1" x14ac:dyDescent="0.25">
      <c r="A1558" s="22" t="s">
        <v>122</v>
      </c>
      <c r="B1558" s="23" t="s">
        <v>386</v>
      </c>
      <c r="C1558" s="23" t="s">
        <v>123</v>
      </c>
      <c r="D1558" s="23" t="s">
        <v>2</v>
      </c>
      <c r="E1558" s="24">
        <f t="shared" si="404"/>
        <v>165</v>
      </c>
      <c r="F1558" s="24">
        <f t="shared" si="404"/>
        <v>0</v>
      </c>
      <c r="G1558" s="24">
        <f t="shared" si="390"/>
        <v>165</v>
      </c>
      <c r="H1558" s="24">
        <f t="shared" si="404"/>
        <v>0</v>
      </c>
      <c r="I1558" s="24">
        <f t="shared" si="384"/>
        <v>165</v>
      </c>
      <c r="J1558" s="24">
        <f t="shared" si="404"/>
        <v>0</v>
      </c>
      <c r="K1558" s="24">
        <f t="shared" si="385"/>
        <v>165</v>
      </c>
      <c r="L1558" s="24">
        <f t="shared" si="404"/>
        <v>0</v>
      </c>
      <c r="M1558" s="24">
        <f t="shared" si="386"/>
        <v>165</v>
      </c>
      <c r="N1558" s="24">
        <f t="shared" si="404"/>
        <v>0</v>
      </c>
      <c r="O1558" s="24">
        <f t="shared" si="387"/>
        <v>165</v>
      </c>
      <c r="P1558" s="24">
        <f t="shared" si="404"/>
        <v>0</v>
      </c>
      <c r="Q1558" s="24">
        <f t="shared" si="373"/>
        <v>165</v>
      </c>
      <c r="R1558" s="24">
        <f t="shared" si="404"/>
        <v>0</v>
      </c>
      <c r="S1558" s="24">
        <f t="shared" si="388"/>
        <v>165</v>
      </c>
      <c r="T1558" s="24">
        <f t="shared" si="404"/>
        <v>0</v>
      </c>
      <c r="U1558" s="24">
        <f t="shared" si="374"/>
        <v>165</v>
      </c>
      <c r="V1558" s="24">
        <f t="shared" si="404"/>
        <v>0</v>
      </c>
      <c r="W1558" s="24">
        <f t="shared" si="369"/>
        <v>165</v>
      </c>
      <c r="X1558" s="24">
        <f t="shared" si="404"/>
        <v>0</v>
      </c>
      <c r="Y1558" s="24">
        <f t="shared" si="399"/>
        <v>165</v>
      </c>
      <c r="Z1558" s="189"/>
    </row>
    <row r="1559" spans="1:27" s="6" customFormat="1" ht="24.75" x14ac:dyDescent="0.25">
      <c r="A1559" s="22" t="s">
        <v>124</v>
      </c>
      <c r="B1559" s="23" t="s">
        <v>386</v>
      </c>
      <c r="C1559" s="23" t="s">
        <v>125</v>
      </c>
      <c r="D1559" s="23" t="s">
        <v>2</v>
      </c>
      <c r="E1559" s="24">
        <f t="shared" si="404"/>
        <v>165</v>
      </c>
      <c r="F1559" s="24">
        <f t="shared" si="404"/>
        <v>0</v>
      </c>
      <c r="G1559" s="24">
        <f t="shared" si="390"/>
        <v>165</v>
      </c>
      <c r="H1559" s="24">
        <f t="shared" si="404"/>
        <v>0</v>
      </c>
      <c r="I1559" s="24">
        <f t="shared" si="384"/>
        <v>165</v>
      </c>
      <c r="J1559" s="24">
        <f t="shared" si="404"/>
        <v>0</v>
      </c>
      <c r="K1559" s="24">
        <f t="shared" si="385"/>
        <v>165</v>
      </c>
      <c r="L1559" s="24">
        <f t="shared" si="404"/>
        <v>0</v>
      </c>
      <c r="M1559" s="24">
        <f t="shared" si="386"/>
        <v>165</v>
      </c>
      <c r="N1559" s="24">
        <f t="shared" si="404"/>
        <v>0</v>
      </c>
      <c r="O1559" s="24">
        <f t="shared" si="387"/>
        <v>165</v>
      </c>
      <c r="P1559" s="24">
        <f t="shared" si="404"/>
        <v>0</v>
      </c>
      <c r="Q1559" s="24">
        <f t="shared" si="373"/>
        <v>165</v>
      </c>
      <c r="R1559" s="24">
        <f t="shared" si="404"/>
        <v>0</v>
      </c>
      <c r="S1559" s="24">
        <f t="shared" si="388"/>
        <v>165</v>
      </c>
      <c r="T1559" s="24">
        <f t="shared" si="404"/>
        <v>0</v>
      </c>
      <c r="U1559" s="24">
        <f t="shared" si="374"/>
        <v>165</v>
      </c>
      <c r="V1559" s="24">
        <f t="shared" si="404"/>
        <v>0</v>
      </c>
      <c r="W1559" s="24">
        <f t="shared" si="369"/>
        <v>165</v>
      </c>
      <c r="X1559" s="24">
        <f t="shared" si="404"/>
        <v>0</v>
      </c>
      <c r="Y1559" s="24">
        <f t="shared" si="399"/>
        <v>165</v>
      </c>
      <c r="Z1559" s="189"/>
    </row>
    <row r="1560" spans="1:27" ht="24.75" x14ac:dyDescent="0.25">
      <c r="A1560" s="22" t="s">
        <v>126</v>
      </c>
      <c r="B1560" s="23" t="s">
        <v>386</v>
      </c>
      <c r="C1560" s="23" t="s">
        <v>127</v>
      </c>
      <c r="D1560" s="23" t="s">
        <v>2</v>
      </c>
      <c r="E1560" s="24">
        <f>E1561+E1562</f>
        <v>165</v>
      </c>
      <c r="F1560" s="24">
        <f>F1561+F1562</f>
        <v>0</v>
      </c>
      <c r="G1560" s="24">
        <f t="shared" si="390"/>
        <v>165</v>
      </c>
      <c r="H1560" s="24">
        <f>H1561+H1562</f>
        <v>0</v>
      </c>
      <c r="I1560" s="24">
        <f t="shared" si="384"/>
        <v>165</v>
      </c>
      <c r="J1560" s="24">
        <f>J1561+J1562</f>
        <v>0</v>
      </c>
      <c r="K1560" s="24">
        <f t="shared" si="385"/>
        <v>165</v>
      </c>
      <c r="L1560" s="24">
        <f>L1561+L1562</f>
        <v>0</v>
      </c>
      <c r="M1560" s="24">
        <f t="shared" si="386"/>
        <v>165</v>
      </c>
      <c r="N1560" s="24">
        <f>N1561+N1562</f>
        <v>0</v>
      </c>
      <c r="O1560" s="24">
        <f t="shared" si="387"/>
        <v>165</v>
      </c>
      <c r="P1560" s="24">
        <f>P1561+P1562</f>
        <v>0</v>
      </c>
      <c r="Q1560" s="24">
        <f t="shared" si="373"/>
        <v>165</v>
      </c>
      <c r="R1560" s="24">
        <f>R1561+R1562</f>
        <v>0</v>
      </c>
      <c r="S1560" s="24">
        <f t="shared" si="388"/>
        <v>165</v>
      </c>
      <c r="T1560" s="24">
        <f>T1561+T1562</f>
        <v>0</v>
      </c>
      <c r="U1560" s="24">
        <f t="shared" si="374"/>
        <v>165</v>
      </c>
      <c r="V1560" s="24">
        <f>V1561+V1562</f>
        <v>0</v>
      </c>
      <c r="W1560" s="24">
        <f t="shared" si="369"/>
        <v>165</v>
      </c>
      <c r="X1560" s="24">
        <f>X1561+X1562</f>
        <v>0</v>
      </c>
      <c r="Y1560" s="24">
        <f t="shared" si="399"/>
        <v>165</v>
      </c>
    </row>
    <row r="1561" spans="1:27" s="6" customFormat="1" x14ac:dyDescent="0.25">
      <c r="A1561" s="25" t="s">
        <v>66</v>
      </c>
      <c r="B1561" s="26" t="s">
        <v>386</v>
      </c>
      <c r="C1561" s="26" t="s">
        <v>127</v>
      </c>
      <c r="D1561" s="26" t="s">
        <v>42</v>
      </c>
      <c r="E1561" s="27">
        <v>38</v>
      </c>
      <c r="F1561" s="27"/>
      <c r="G1561" s="24">
        <f t="shared" si="390"/>
        <v>38</v>
      </c>
      <c r="H1561" s="27"/>
      <c r="I1561" s="24">
        <f t="shared" si="384"/>
        <v>38</v>
      </c>
      <c r="J1561" s="27"/>
      <c r="K1561" s="24">
        <f t="shared" si="385"/>
        <v>38</v>
      </c>
      <c r="L1561" s="107">
        <v>12</v>
      </c>
      <c r="M1561" s="24">
        <f t="shared" si="386"/>
        <v>50</v>
      </c>
      <c r="N1561" s="69"/>
      <c r="O1561" s="24">
        <f t="shared" si="387"/>
        <v>50</v>
      </c>
      <c r="P1561" s="69"/>
      <c r="Q1561" s="24">
        <f t="shared" si="373"/>
        <v>50</v>
      </c>
      <c r="R1561" s="69"/>
      <c r="S1561" s="24">
        <f t="shared" si="388"/>
        <v>50</v>
      </c>
      <c r="T1561" s="69"/>
      <c r="U1561" s="24">
        <f t="shared" si="374"/>
        <v>50</v>
      </c>
      <c r="V1561" s="69"/>
      <c r="W1561" s="24">
        <f t="shared" si="369"/>
        <v>50</v>
      </c>
      <c r="X1561" s="69"/>
      <c r="Y1561" s="24">
        <f t="shared" si="399"/>
        <v>50</v>
      </c>
      <c r="Z1561" s="189"/>
      <c r="AA1561" s="189">
        <f t="shared" ref="AA1561:AA1562" si="405">Y1561+Z1561</f>
        <v>50</v>
      </c>
    </row>
    <row r="1562" spans="1:27" s="6" customFormat="1" x14ac:dyDescent="0.25">
      <c r="A1562" s="25" t="s">
        <v>574</v>
      </c>
      <c r="B1562" s="26" t="s">
        <v>386</v>
      </c>
      <c r="C1562" s="26" t="s">
        <v>127</v>
      </c>
      <c r="D1562" s="26" t="s">
        <v>81</v>
      </c>
      <c r="E1562" s="27">
        <v>127</v>
      </c>
      <c r="F1562" s="27"/>
      <c r="G1562" s="24">
        <f t="shared" si="390"/>
        <v>127</v>
      </c>
      <c r="H1562" s="27"/>
      <c r="I1562" s="24">
        <f t="shared" si="384"/>
        <v>127</v>
      </c>
      <c r="J1562" s="27"/>
      <c r="K1562" s="24">
        <f t="shared" si="385"/>
        <v>127</v>
      </c>
      <c r="L1562" s="107">
        <v>-12</v>
      </c>
      <c r="M1562" s="24">
        <f t="shared" si="386"/>
        <v>115</v>
      </c>
      <c r="N1562" s="69"/>
      <c r="O1562" s="24">
        <f t="shared" si="387"/>
        <v>115</v>
      </c>
      <c r="P1562" s="69"/>
      <c r="Q1562" s="24">
        <f t="shared" si="373"/>
        <v>115</v>
      </c>
      <c r="R1562" s="69"/>
      <c r="S1562" s="24">
        <f t="shared" si="388"/>
        <v>115</v>
      </c>
      <c r="T1562" s="69"/>
      <c r="U1562" s="24">
        <f t="shared" si="374"/>
        <v>115</v>
      </c>
      <c r="V1562" s="69"/>
      <c r="W1562" s="24">
        <f t="shared" si="369"/>
        <v>115</v>
      </c>
      <c r="X1562" s="69"/>
      <c r="Y1562" s="24">
        <f t="shared" si="399"/>
        <v>115</v>
      </c>
      <c r="Z1562" s="189"/>
      <c r="AA1562" s="189">
        <f t="shared" si="405"/>
        <v>115</v>
      </c>
    </row>
    <row r="1563" spans="1:27" s="6" customFormat="1" ht="18" customHeight="1" x14ac:dyDescent="0.25">
      <c r="A1563" s="22" t="s">
        <v>599</v>
      </c>
      <c r="B1563" s="23" t="s">
        <v>386</v>
      </c>
      <c r="C1563" s="23" t="s">
        <v>417</v>
      </c>
      <c r="D1563" s="23" t="s">
        <v>2</v>
      </c>
      <c r="E1563" s="24">
        <f>E1564+E1567</f>
        <v>90</v>
      </c>
      <c r="F1563" s="24">
        <f>F1564+F1567</f>
        <v>0</v>
      </c>
      <c r="G1563" s="24">
        <f t="shared" si="390"/>
        <v>90</v>
      </c>
      <c r="H1563" s="24">
        <f>H1564+H1567</f>
        <v>0</v>
      </c>
      <c r="I1563" s="24">
        <f t="shared" si="384"/>
        <v>90</v>
      </c>
      <c r="J1563" s="24">
        <f>J1564+J1567</f>
        <v>0</v>
      </c>
      <c r="K1563" s="24">
        <f t="shared" si="385"/>
        <v>90</v>
      </c>
      <c r="L1563" s="24">
        <f>L1564+L1567</f>
        <v>0</v>
      </c>
      <c r="M1563" s="24">
        <f t="shared" si="386"/>
        <v>90</v>
      </c>
      <c r="N1563" s="24">
        <f>N1564+N1567</f>
        <v>0</v>
      </c>
      <c r="O1563" s="24">
        <f t="shared" si="387"/>
        <v>90</v>
      </c>
      <c r="P1563" s="24">
        <f>P1564+P1567</f>
        <v>0</v>
      </c>
      <c r="Q1563" s="24">
        <f t="shared" si="373"/>
        <v>90</v>
      </c>
      <c r="R1563" s="24">
        <f>R1564+R1567</f>
        <v>0</v>
      </c>
      <c r="S1563" s="24">
        <f t="shared" si="388"/>
        <v>90</v>
      </c>
      <c r="T1563" s="24">
        <f>T1564+T1567</f>
        <v>0</v>
      </c>
      <c r="U1563" s="24">
        <f t="shared" si="374"/>
        <v>90</v>
      </c>
      <c r="V1563" s="24">
        <f>V1564+V1567</f>
        <v>0</v>
      </c>
      <c r="W1563" s="24">
        <f t="shared" si="369"/>
        <v>90</v>
      </c>
      <c r="X1563" s="24">
        <f>X1564+X1567</f>
        <v>0</v>
      </c>
      <c r="Y1563" s="24">
        <f t="shared" si="399"/>
        <v>90</v>
      </c>
      <c r="Z1563" s="189"/>
    </row>
    <row r="1564" spans="1:27" s="6" customFormat="1" x14ac:dyDescent="0.25">
      <c r="A1564" s="22" t="s">
        <v>418</v>
      </c>
      <c r="B1564" s="23" t="s">
        <v>386</v>
      </c>
      <c r="C1564" s="23" t="s">
        <v>419</v>
      </c>
      <c r="D1564" s="23" t="s">
        <v>2</v>
      </c>
      <c r="E1564" s="24">
        <f>E1565</f>
        <v>60</v>
      </c>
      <c r="F1564" s="24">
        <f>F1565</f>
        <v>0</v>
      </c>
      <c r="G1564" s="24">
        <f t="shared" si="390"/>
        <v>60</v>
      </c>
      <c r="H1564" s="24">
        <f>H1565</f>
        <v>0</v>
      </c>
      <c r="I1564" s="24">
        <f t="shared" si="384"/>
        <v>60</v>
      </c>
      <c r="J1564" s="24">
        <f>J1565</f>
        <v>0</v>
      </c>
      <c r="K1564" s="24">
        <f t="shared" si="385"/>
        <v>60</v>
      </c>
      <c r="L1564" s="24">
        <f>L1565</f>
        <v>0</v>
      </c>
      <c r="M1564" s="24">
        <f t="shared" si="386"/>
        <v>60</v>
      </c>
      <c r="N1564" s="24">
        <f>N1565</f>
        <v>0</v>
      </c>
      <c r="O1564" s="24">
        <f t="shared" si="387"/>
        <v>60</v>
      </c>
      <c r="P1564" s="24">
        <f>P1565</f>
        <v>0</v>
      </c>
      <c r="Q1564" s="24">
        <f t="shared" si="373"/>
        <v>60</v>
      </c>
      <c r="R1564" s="24">
        <f>R1565</f>
        <v>0</v>
      </c>
      <c r="S1564" s="24">
        <f t="shared" si="388"/>
        <v>60</v>
      </c>
      <c r="T1564" s="24">
        <f>T1565</f>
        <v>0</v>
      </c>
      <c r="U1564" s="24">
        <f t="shared" si="374"/>
        <v>60</v>
      </c>
      <c r="V1564" s="24">
        <f>V1565</f>
        <v>0</v>
      </c>
      <c r="W1564" s="24">
        <f t="shared" si="369"/>
        <v>60</v>
      </c>
      <c r="X1564" s="24">
        <f>X1565</f>
        <v>0</v>
      </c>
      <c r="Y1564" s="24">
        <f t="shared" si="399"/>
        <v>60</v>
      </c>
      <c r="Z1564" s="189"/>
    </row>
    <row r="1565" spans="1:27" ht="24.75" x14ac:dyDescent="0.25">
      <c r="A1565" s="22" t="s">
        <v>420</v>
      </c>
      <c r="B1565" s="23" t="s">
        <v>386</v>
      </c>
      <c r="C1565" s="23" t="s">
        <v>421</v>
      </c>
      <c r="D1565" s="23" t="s">
        <v>2</v>
      </c>
      <c r="E1565" s="24">
        <f>E1566</f>
        <v>60</v>
      </c>
      <c r="F1565" s="24">
        <f>F1566</f>
        <v>0</v>
      </c>
      <c r="G1565" s="24">
        <f t="shared" si="390"/>
        <v>60</v>
      </c>
      <c r="H1565" s="24">
        <f>H1566</f>
        <v>0</v>
      </c>
      <c r="I1565" s="24">
        <f t="shared" si="384"/>
        <v>60</v>
      </c>
      <c r="J1565" s="24">
        <f>J1566</f>
        <v>0</v>
      </c>
      <c r="K1565" s="24">
        <f t="shared" si="385"/>
        <v>60</v>
      </c>
      <c r="L1565" s="24">
        <f>L1566</f>
        <v>0</v>
      </c>
      <c r="M1565" s="24">
        <f t="shared" si="386"/>
        <v>60</v>
      </c>
      <c r="N1565" s="24">
        <f>N1566</f>
        <v>0</v>
      </c>
      <c r="O1565" s="24">
        <f t="shared" si="387"/>
        <v>60</v>
      </c>
      <c r="P1565" s="24">
        <f>P1566</f>
        <v>0</v>
      </c>
      <c r="Q1565" s="24">
        <f t="shared" si="373"/>
        <v>60</v>
      </c>
      <c r="R1565" s="24">
        <f>R1566</f>
        <v>0</v>
      </c>
      <c r="S1565" s="24">
        <f t="shared" si="388"/>
        <v>60</v>
      </c>
      <c r="T1565" s="24">
        <f>T1566</f>
        <v>0</v>
      </c>
      <c r="U1565" s="24">
        <f t="shared" ref="U1565:U1641" si="406">S1565+T1565</f>
        <v>60</v>
      </c>
      <c r="V1565" s="24">
        <f>V1566</f>
        <v>0</v>
      </c>
      <c r="W1565" s="24">
        <f t="shared" si="369"/>
        <v>60</v>
      </c>
      <c r="X1565" s="24">
        <f>X1566</f>
        <v>0</v>
      </c>
      <c r="Y1565" s="24">
        <f t="shared" si="399"/>
        <v>60</v>
      </c>
    </row>
    <row r="1566" spans="1:27" x14ac:dyDescent="0.25">
      <c r="A1566" s="25" t="s">
        <v>66</v>
      </c>
      <c r="B1566" s="26" t="s">
        <v>386</v>
      </c>
      <c r="C1566" s="26" t="s">
        <v>421</v>
      </c>
      <c r="D1566" s="26" t="s">
        <v>42</v>
      </c>
      <c r="E1566" s="27">
        <v>60</v>
      </c>
      <c r="F1566" s="27"/>
      <c r="G1566" s="24">
        <f t="shared" si="390"/>
        <v>60</v>
      </c>
      <c r="H1566" s="27"/>
      <c r="I1566" s="24">
        <f t="shared" si="384"/>
        <v>60</v>
      </c>
      <c r="J1566" s="27"/>
      <c r="K1566" s="24">
        <f t="shared" si="385"/>
        <v>60</v>
      </c>
      <c r="L1566" s="27"/>
      <c r="M1566" s="24">
        <f t="shared" si="386"/>
        <v>60</v>
      </c>
      <c r="N1566" s="27"/>
      <c r="O1566" s="24">
        <f t="shared" si="387"/>
        <v>60</v>
      </c>
      <c r="P1566" s="27"/>
      <c r="Q1566" s="24">
        <f t="shared" si="373"/>
        <v>60</v>
      </c>
      <c r="R1566" s="27"/>
      <c r="S1566" s="24">
        <f t="shared" si="388"/>
        <v>60</v>
      </c>
      <c r="T1566" s="69"/>
      <c r="U1566" s="24">
        <f t="shared" si="406"/>
        <v>60</v>
      </c>
      <c r="V1566" s="69"/>
      <c r="W1566" s="24">
        <f t="shared" si="369"/>
        <v>60</v>
      </c>
      <c r="X1566" s="69"/>
      <c r="Y1566" s="24">
        <f t="shared" si="399"/>
        <v>60</v>
      </c>
      <c r="AA1566" s="189">
        <f>Y1566+Z1566</f>
        <v>60</v>
      </c>
    </row>
    <row r="1567" spans="1:27" s="6" customFormat="1" ht="24.75" x14ac:dyDescent="0.25">
      <c r="A1567" s="22" t="s">
        <v>422</v>
      </c>
      <c r="B1567" s="23" t="s">
        <v>386</v>
      </c>
      <c r="C1567" s="23" t="s">
        <v>423</v>
      </c>
      <c r="D1567" s="23" t="s">
        <v>2</v>
      </c>
      <c r="E1567" s="24">
        <f>E1568</f>
        <v>30</v>
      </c>
      <c r="F1567" s="24">
        <f>F1568</f>
        <v>0</v>
      </c>
      <c r="G1567" s="24">
        <f t="shared" si="390"/>
        <v>30</v>
      </c>
      <c r="H1567" s="24">
        <f>H1568</f>
        <v>0</v>
      </c>
      <c r="I1567" s="24">
        <f t="shared" si="384"/>
        <v>30</v>
      </c>
      <c r="J1567" s="24">
        <f>J1568</f>
        <v>0</v>
      </c>
      <c r="K1567" s="24">
        <f t="shared" si="385"/>
        <v>30</v>
      </c>
      <c r="L1567" s="24">
        <f>L1568</f>
        <v>0</v>
      </c>
      <c r="M1567" s="24">
        <f t="shared" si="386"/>
        <v>30</v>
      </c>
      <c r="N1567" s="24">
        <f>N1568</f>
        <v>0</v>
      </c>
      <c r="O1567" s="24">
        <f t="shared" si="387"/>
        <v>30</v>
      </c>
      <c r="P1567" s="24">
        <f>P1568</f>
        <v>0</v>
      </c>
      <c r="Q1567" s="24">
        <f t="shared" si="373"/>
        <v>30</v>
      </c>
      <c r="R1567" s="24">
        <f>R1568</f>
        <v>0</v>
      </c>
      <c r="S1567" s="24">
        <f t="shared" si="388"/>
        <v>30</v>
      </c>
      <c r="T1567" s="24">
        <f>T1568</f>
        <v>0</v>
      </c>
      <c r="U1567" s="24">
        <f t="shared" si="406"/>
        <v>30</v>
      </c>
      <c r="V1567" s="24">
        <f>V1568</f>
        <v>0</v>
      </c>
      <c r="W1567" s="24">
        <f t="shared" si="369"/>
        <v>30</v>
      </c>
      <c r="X1567" s="24">
        <f>X1568</f>
        <v>0</v>
      </c>
      <c r="Y1567" s="24">
        <f t="shared" si="399"/>
        <v>30</v>
      </c>
      <c r="Z1567" s="189"/>
    </row>
    <row r="1568" spans="1:27" s="6" customFormat="1" ht="24.75" x14ac:dyDescent="0.25">
      <c r="A1568" s="22" t="s">
        <v>420</v>
      </c>
      <c r="B1568" s="23" t="s">
        <v>386</v>
      </c>
      <c r="C1568" s="23" t="s">
        <v>424</v>
      </c>
      <c r="D1568" s="23" t="s">
        <v>2</v>
      </c>
      <c r="E1568" s="24">
        <f>E1569</f>
        <v>30</v>
      </c>
      <c r="F1568" s="24">
        <f>F1569</f>
        <v>0</v>
      </c>
      <c r="G1568" s="24">
        <f t="shared" si="390"/>
        <v>30</v>
      </c>
      <c r="H1568" s="24">
        <f>H1569</f>
        <v>0</v>
      </c>
      <c r="I1568" s="24">
        <f t="shared" si="384"/>
        <v>30</v>
      </c>
      <c r="J1568" s="24">
        <f>J1569</f>
        <v>0</v>
      </c>
      <c r="K1568" s="24">
        <f t="shared" si="385"/>
        <v>30</v>
      </c>
      <c r="L1568" s="24">
        <f>L1569</f>
        <v>0</v>
      </c>
      <c r="M1568" s="24">
        <f t="shared" si="386"/>
        <v>30</v>
      </c>
      <c r="N1568" s="24">
        <f>N1569</f>
        <v>0</v>
      </c>
      <c r="O1568" s="24">
        <f t="shared" si="387"/>
        <v>30</v>
      </c>
      <c r="P1568" s="24">
        <f>P1569</f>
        <v>0</v>
      </c>
      <c r="Q1568" s="24">
        <f t="shared" si="373"/>
        <v>30</v>
      </c>
      <c r="R1568" s="24">
        <f>R1569</f>
        <v>0</v>
      </c>
      <c r="S1568" s="24">
        <f t="shared" si="388"/>
        <v>30</v>
      </c>
      <c r="T1568" s="24">
        <f>T1569</f>
        <v>0</v>
      </c>
      <c r="U1568" s="24">
        <f t="shared" si="406"/>
        <v>30</v>
      </c>
      <c r="V1568" s="24">
        <f>V1569+V1570</f>
        <v>0</v>
      </c>
      <c r="W1568" s="24">
        <f t="shared" si="369"/>
        <v>30</v>
      </c>
      <c r="X1568" s="24">
        <f>X1569+X1570</f>
        <v>0</v>
      </c>
      <c r="Y1568" s="24">
        <f t="shared" si="399"/>
        <v>30</v>
      </c>
      <c r="Z1568" s="189"/>
    </row>
    <row r="1569" spans="1:27" s="6" customFormat="1" hidden="1" x14ac:dyDescent="0.25">
      <c r="A1569" s="25" t="s">
        <v>66</v>
      </c>
      <c r="B1569" s="26" t="s">
        <v>386</v>
      </c>
      <c r="C1569" s="26" t="s">
        <v>424</v>
      </c>
      <c r="D1569" s="26" t="s">
        <v>42</v>
      </c>
      <c r="E1569" s="27">
        <v>30</v>
      </c>
      <c r="F1569" s="27"/>
      <c r="G1569" s="24">
        <f t="shared" si="390"/>
        <v>30</v>
      </c>
      <c r="H1569" s="27"/>
      <c r="I1569" s="24">
        <f t="shared" si="384"/>
        <v>30</v>
      </c>
      <c r="J1569" s="27"/>
      <c r="K1569" s="24">
        <f t="shared" si="385"/>
        <v>30</v>
      </c>
      <c r="L1569" s="27"/>
      <c r="M1569" s="24">
        <f t="shared" si="386"/>
        <v>30</v>
      </c>
      <c r="N1569" s="27"/>
      <c r="O1569" s="24">
        <f t="shared" si="387"/>
        <v>30</v>
      </c>
      <c r="P1569" s="27"/>
      <c r="Q1569" s="24">
        <f t="shared" si="373"/>
        <v>30</v>
      </c>
      <c r="R1569" s="27"/>
      <c r="S1569" s="24">
        <f t="shared" si="388"/>
        <v>30</v>
      </c>
      <c r="T1569" s="69"/>
      <c r="U1569" s="24">
        <f t="shared" si="406"/>
        <v>30</v>
      </c>
      <c r="V1569" s="94">
        <v>-30</v>
      </c>
      <c r="W1569" s="24">
        <f t="shared" si="369"/>
        <v>0</v>
      </c>
      <c r="X1569" s="69"/>
      <c r="Y1569" s="24">
        <f t="shared" si="399"/>
        <v>0</v>
      </c>
      <c r="Z1569" s="189"/>
      <c r="AA1569" s="189">
        <f t="shared" ref="AA1569:AA1570" si="407">Y1569+Z1569</f>
        <v>0</v>
      </c>
    </row>
    <row r="1570" spans="1:27" s="6" customFormat="1" x14ac:dyDescent="0.25">
      <c r="A1570" s="25" t="s">
        <v>574</v>
      </c>
      <c r="B1570" s="26" t="s">
        <v>386</v>
      </c>
      <c r="C1570" s="26" t="s">
        <v>424</v>
      </c>
      <c r="D1570" s="26" t="s">
        <v>81</v>
      </c>
      <c r="E1570" s="27"/>
      <c r="F1570" s="27"/>
      <c r="G1570" s="24"/>
      <c r="H1570" s="27"/>
      <c r="I1570" s="24"/>
      <c r="J1570" s="27"/>
      <c r="K1570" s="24"/>
      <c r="L1570" s="27"/>
      <c r="M1570" s="24"/>
      <c r="N1570" s="27"/>
      <c r="O1570" s="24"/>
      <c r="P1570" s="27"/>
      <c r="Q1570" s="24"/>
      <c r="R1570" s="27"/>
      <c r="S1570" s="24"/>
      <c r="T1570" s="69"/>
      <c r="U1570" s="24"/>
      <c r="V1570" s="94">
        <v>30</v>
      </c>
      <c r="W1570" s="24">
        <f t="shared" si="369"/>
        <v>30</v>
      </c>
      <c r="X1570" s="69"/>
      <c r="Y1570" s="24">
        <f t="shared" si="399"/>
        <v>30</v>
      </c>
      <c r="Z1570" s="189"/>
      <c r="AA1570" s="189">
        <f t="shared" si="407"/>
        <v>30</v>
      </c>
    </row>
    <row r="1571" spans="1:27" x14ac:dyDescent="0.25">
      <c r="A1571" s="34" t="s">
        <v>425</v>
      </c>
      <c r="B1571" s="35" t="s">
        <v>426</v>
      </c>
      <c r="C1571" s="35" t="s">
        <v>2</v>
      </c>
      <c r="D1571" s="35" t="s">
        <v>2</v>
      </c>
      <c r="E1571" s="36">
        <f>E1572+E1653</f>
        <v>173834.19999999998</v>
      </c>
      <c r="F1571" s="36">
        <f>F1572+F1653</f>
        <v>2807</v>
      </c>
      <c r="G1571" s="36">
        <f t="shared" si="390"/>
        <v>176641.19999999998</v>
      </c>
      <c r="H1571" s="36">
        <f>H1572+H1653</f>
        <v>0</v>
      </c>
      <c r="I1571" s="36">
        <f t="shared" si="384"/>
        <v>176641.19999999998</v>
      </c>
      <c r="J1571" s="36">
        <f>J1572+J1653</f>
        <v>245.8</v>
      </c>
      <c r="K1571" s="36">
        <f t="shared" si="385"/>
        <v>176886.99999999997</v>
      </c>
      <c r="L1571" s="36">
        <f>L1572+L1653</f>
        <v>9809.7000000000007</v>
      </c>
      <c r="M1571" s="36">
        <f t="shared" si="386"/>
        <v>186696.69999999998</v>
      </c>
      <c r="N1571" s="36">
        <f>N1572+N1653</f>
        <v>1175.5999999999999</v>
      </c>
      <c r="O1571" s="36">
        <f t="shared" si="387"/>
        <v>187872.3</v>
      </c>
      <c r="P1571" s="36">
        <f>P1572+P1653</f>
        <v>-1939</v>
      </c>
      <c r="Q1571" s="36">
        <f t="shared" si="373"/>
        <v>185933.3</v>
      </c>
      <c r="R1571" s="36">
        <f>R1572+R1653</f>
        <v>3625.7999999999997</v>
      </c>
      <c r="S1571" s="36">
        <f t="shared" si="388"/>
        <v>189559.09999999998</v>
      </c>
      <c r="T1571" s="36">
        <f>T1572+T1653</f>
        <v>4202.7000000000007</v>
      </c>
      <c r="U1571" s="36">
        <f t="shared" si="406"/>
        <v>193761.8</v>
      </c>
      <c r="V1571" s="36">
        <f>V1572+V1653</f>
        <v>-2556.1999999999989</v>
      </c>
      <c r="W1571" s="36">
        <f t="shared" si="369"/>
        <v>191205.59999999998</v>
      </c>
      <c r="X1571" s="36">
        <f>X1572+X1653</f>
        <v>-121</v>
      </c>
      <c r="Y1571" s="36">
        <f t="shared" si="399"/>
        <v>191084.59999999998</v>
      </c>
    </row>
    <row r="1572" spans="1:27" s="6" customFormat="1" x14ac:dyDescent="0.25">
      <c r="A1572" s="22" t="s">
        <v>427</v>
      </c>
      <c r="B1572" s="23" t="s">
        <v>428</v>
      </c>
      <c r="C1572" s="23" t="s">
        <v>2</v>
      </c>
      <c r="D1572" s="23" t="s">
        <v>2</v>
      </c>
      <c r="E1572" s="24">
        <f>E1573</f>
        <v>152608.59999999998</v>
      </c>
      <c r="F1572" s="24">
        <f>F1573</f>
        <v>1633</v>
      </c>
      <c r="G1572" s="24">
        <f t="shared" si="390"/>
        <v>154241.59999999998</v>
      </c>
      <c r="H1572" s="24">
        <f>H1573</f>
        <v>0</v>
      </c>
      <c r="I1572" s="24">
        <f t="shared" si="384"/>
        <v>154241.59999999998</v>
      </c>
      <c r="J1572" s="24">
        <f>J1573</f>
        <v>245.8</v>
      </c>
      <c r="K1572" s="24">
        <f t="shared" si="385"/>
        <v>154487.39999999997</v>
      </c>
      <c r="L1572" s="24">
        <f>L1573+L1650+L1634</f>
        <v>9431</v>
      </c>
      <c r="M1572" s="24">
        <f t="shared" si="386"/>
        <v>163918.39999999997</v>
      </c>
      <c r="N1572" s="24">
        <f>N1573+N1650+N1634</f>
        <v>1147.8999999999999</v>
      </c>
      <c r="O1572" s="24">
        <f t="shared" si="387"/>
        <v>165066.29999999996</v>
      </c>
      <c r="P1572" s="24">
        <f>P1573+P1650+P1634+P1641</f>
        <v>-839</v>
      </c>
      <c r="Q1572" s="24">
        <f t="shared" si="373"/>
        <v>164227.29999999996</v>
      </c>
      <c r="R1572" s="24">
        <f>R1573+R1650+R1631</f>
        <v>2092.6</v>
      </c>
      <c r="S1572" s="24">
        <f t="shared" si="388"/>
        <v>166319.89999999997</v>
      </c>
      <c r="T1572" s="24">
        <f>T1573+T1650+T1631</f>
        <v>5426.7000000000007</v>
      </c>
      <c r="U1572" s="24">
        <f t="shared" si="406"/>
        <v>171746.59999999998</v>
      </c>
      <c r="V1572" s="24">
        <f>V1573+V1650+V1631</f>
        <v>-3098.3999999999987</v>
      </c>
      <c r="W1572" s="24">
        <f t="shared" si="369"/>
        <v>168648.19999999998</v>
      </c>
      <c r="X1572" s="24">
        <f>X1573+X1650+X1631</f>
        <v>-1210</v>
      </c>
      <c r="Y1572" s="24">
        <f t="shared" si="399"/>
        <v>167438.19999999998</v>
      </c>
      <c r="Z1572" s="189"/>
    </row>
    <row r="1573" spans="1:27" s="6" customFormat="1" x14ac:dyDescent="0.25">
      <c r="A1573" s="22" t="s">
        <v>602</v>
      </c>
      <c r="B1573" s="23" t="s">
        <v>428</v>
      </c>
      <c r="C1573" s="23" t="s">
        <v>429</v>
      </c>
      <c r="D1573" s="23" t="s">
        <v>2</v>
      </c>
      <c r="E1573" s="24">
        <f>E1574+E1587+E1612+E1622</f>
        <v>152608.59999999998</v>
      </c>
      <c r="F1573" s="24">
        <f>F1574+F1587+F1612+F1622</f>
        <v>1633</v>
      </c>
      <c r="G1573" s="24">
        <f t="shared" si="390"/>
        <v>154241.59999999998</v>
      </c>
      <c r="H1573" s="24">
        <f>H1574+H1587+H1612+H1622</f>
        <v>0</v>
      </c>
      <c r="I1573" s="24">
        <f t="shared" si="384"/>
        <v>154241.59999999998</v>
      </c>
      <c r="J1573" s="24">
        <f>J1574+J1587+J1612+J1622</f>
        <v>245.8</v>
      </c>
      <c r="K1573" s="24">
        <f t="shared" si="385"/>
        <v>154487.39999999997</v>
      </c>
      <c r="L1573" s="24">
        <f>L1574+L1587+L1612+L1622+L1625+L1628</f>
        <v>8924</v>
      </c>
      <c r="M1573" s="24">
        <f t="shared" si="386"/>
        <v>163411.39999999997</v>
      </c>
      <c r="N1573" s="24">
        <f>N1574+N1587+N1612+N1622+N1625+N1628</f>
        <v>852.59999999999991</v>
      </c>
      <c r="O1573" s="24">
        <f t="shared" si="387"/>
        <v>164263.99999999997</v>
      </c>
      <c r="P1573" s="24">
        <f>P1574+P1587+P1612+P1622+P1625+P1628</f>
        <v>-1069</v>
      </c>
      <c r="Q1573" s="24">
        <f t="shared" si="373"/>
        <v>163194.99999999997</v>
      </c>
      <c r="R1573" s="24">
        <f>R1574+R1587+R1612+R1622+R1625+R1628</f>
        <v>1335.3</v>
      </c>
      <c r="S1573" s="24">
        <f t="shared" si="388"/>
        <v>164530.29999999996</v>
      </c>
      <c r="T1573" s="24">
        <f>T1574+T1587+T1612+T1622+T1625+T1628</f>
        <v>4836.1000000000004</v>
      </c>
      <c r="U1573" s="24">
        <f t="shared" si="406"/>
        <v>169366.39999999997</v>
      </c>
      <c r="V1573" s="24">
        <f>V1574+V1587+V1612+V1622+V1625+V1628</f>
        <v>-3988.8999999999987</v>
      </c>
      <c r="W1573" s="24">
        <f t="shared" si="369"/>
        <v>165377.49999999997</v>
      </c>
      <c r="X1573" s="24">
        <f>X1574+X1587+X1612+X1622+X1625+X1628</f>
        <v>-1210</v>
      </c>
      <c r="Y1573" s="24">
        <f t="shared" si="399"/>
        <v>164167.49999999997</v>
      </c>
      <c r="Z1573" s="189"/>
    </row>
    <row r="1574" spans="1:27" x14ac:dyDescent="0.25">
      <c r="A1574" s="22" t="s">
        <v>430</v>
      </c>
      <c r="B1574" s="23" t="s">
        <v>428</v>
      </c>
      <c r="C1574" s="23" t="s">
        <v>431</v>
      </c>
      <c r="D1574" s="23" t="s">
        <v>2</v>
      </c>
      <c r="E1574" s="24">
        <f>E1581+E1579</f>
        <v>27267.9</v>
      </c>
      <c r="F1574" s="24">
        <f>F1581+F1579+F1577</f>
        <v>120</v>
      </c>
      <c r="G1574" s="24">
        <f t="shared" si="390"/>
        <v>27387.9</v>
      </c>
      <c r="H1574" s="24">
        <f>H1581+H1579+H1577</f>
        <v>0</v>
      </c>
      <c r="I1574" s="24">
        <f t="shared" si="384"/>
        <v>27387.9</v>
      </c>
      <c r="J1574" s="24">
        <f>J1581+J1579+J1577+J1584</f>
        <v>329.8</v>
      </c>
      <c r="K1574" s="24">
        <f t="shared" si="385"/>
        <v>27717.7</v>
      </c>
      <c r="L1574" s="24">
        <f>L1581+L1579+L1577+L1584</f>
        <v>0</v>
      </c>
      <c r="M1574" s="24">
        <f t="shared" si="386"/>
        <v>27717.7</v>
      </c>
      <c r="N1574" s="24">
        <f>N1581+N1579+N1577+N1584</f>
        <v>0</v>
      </c>
      <c r="O1574" s="24">
        <f t="shared" si="387"/>
        <v>27717.7</v>
      </c>
      <c r="P1574" s="24">
        <f>P1581+P1579+P1577+P1584</f>
        <v>0</v>
      </c>
      <c r="Q1574" s="24">
        <f t="shared" si="373"/>
        <v>27717.7</v>
      </c>
      <c r="R1574" s="24">
        <f>R1581+R1579+R1577+R1584</f>
        <v>0</v>
      </c>
      <c r="S1574" s="24">
        <f t="shared" si="388"/>
        <v>27717.7</v>
      </c>
      <c r="T1574" s="24">
        <f>T1581+T1579+T1577+T1584</f>
        <v>4723.1000000000004</v>
      </c>
      <c r="U1574" s="24">
        <f t="shared" si="406"/>
        <v>32440.800000000003</v>
      </c>
      <c r="V1574" s="24">
        <f>V1581+V1579+V1577+V1584+V1575</f>
        <v>-8868.1</v>
      </c>
      <c r="W1574" s="24">
        <f t="shared" si="369"/>
        <v>23572.700000000004</v>
      </c>
      <c r="X1574" s="24">
        <f>X1581+X1579+X1577+X1584+X1575</f>
        <v>1215</v>
      </c>
      <c r="Y1574" s="24">
        <f t="shared" si="399"/>
        <v>24787.700000000004</v>
      </c>
    </row>
    <row r="1575" spans="1:27" ht="24.75" x14ac:dyDescent="0.25">
      <c r="A1575" s="16" t="s">
        <v>234</v>
      </c>
      <c r="B1575" s="20" t="s">
        <v>428</v>
      </c>
      <c r="C1575" s="20" t="s">
        <v>1415</v>
      </c>
      <c r="D1575" s="20" t="s">
        <v>2</v>
      </c>
      <c r="E1575" s="24"/>
      <c r="F1575" s="24"/>
      <c r="G1575" s="24"/>
      <c r="H1575" s="24"/>
      <c r="I1575" s="24"/>
      <c r="J1575" s="24"/>
      <c r="K1575" s="24"/>
      <c r="L1575" s="24"/>
      <c r="M1575" s="24"/>
      <c r="N1575" s="24"/>
      <c r="O1575" s="24"/>
      <c r="P1575" s="24"/>
      <c r="Q1575" s="24"/>
      <c r="R1575" s="24"/>
      <c r="S1575" s="24"/>
      <c r="T1575" s="24"/>
      <c r="U1575" s="24"/>
      <c r="V1575" s="24">
        <f>V1576</f>
        <v>593.9</v>
      </c>
      <c r="W1575" s="24">
        <f t="shared" si="369"/>
        <v>593.9</v>
      </c>
      <c r="X1575" s="24">
        <f>X1576</f>
        <v>0</v>
      </c>
      <c r="Y1575" s="24">
        <f t="shared" si="399"/>
        <v>593.9</v>
      </c>
    </row>
    <row r="1576" spans="1:27" x14ac:dyDescent="0.25">
      <c r="A1576" s="17" t="s">
        <v>574</v>
      </c>
      <c r="B1576" s="21" t="s">
        <v>428</v>
      </c>
      <c r="C1576" s="21" t="s">
        <v>1415</v>
      </c>
      <c r="D1576" s="21" t="s">
        <v>81</v>
      </c>
      <c r="E1576" s="24"/>
      <c r="F1576" s="24"/>
      <c r="G1576" s="24"/>
      <c r="H1576" s="24"/>
      <c r="I1576" s="24"/>
      <c r="J1576" s="24"/>
      <c r="K1576" s="24"/>
      <c r="L1576" s="24"/>
      <c r="M1576" s="24"/>
      <c r="N1576" s="24"/>
      <c r="O1576" s="24"/>
      <c r="P1576" s="24"/>
      <c r="Q1576" s="24"/>
      <c r="R1576" s="24"/>
      <c r="S1576" s="24"/>
      <c r="T1576" s="24"/>
      <c r="U1576" s="24"/>
      <c r="V1576" s="94">
        <v>593.9</v>
      </c>
      <c r="W1576" s="24">
        <f t="shared" si="369"/>
        <v>593.9</v>
      </c>
      <c r="X1576" s="69"/>
      <c r="Y1576" s="24">
        <f t="shared" si="399"/>
        <v>593.9</v>
      </c>
      <c r="AA1576" s="189">
        <f>Y1576+Z1576</f>
        <v>593.9</v>
      </c>
    </row>
    <row r="1577" spans="1:27" s="6" customFormat="1" x14ac:dyDescent="0.25">
      <c r="A1577" s="16" t="s">
        <v>245</v>
      </c>
      <c r="B1577" s="20" t="s">
        <v>428</v>
      </c>
      <c r="C1577" s="20" t="s">
        <v>657</v>
      </c>
      <c r="D1577" s="20" t="s">
        <v>2</v>
      </c>
      <c r="E1577" s="24"/>
      <c r="F1577" s="18">
        <f>F1578</f>
        <v>120</v>
      </c>
      <c r="G1577" s="24">
        <f t="shared" si="390"/>
        <v>120</v>
      </c>
      <c r="H1577" s="18">
        <f>H1578</f>
        <v>0</v>
      </c>
      <c r="I1577" s="24">
        <f t="shared" si="384"/>
        <v>120</v>
      </c>
      <c r="J1577" s="18">
        <f>J1578</f>
        <v>0</v>
      </c>
      <c r="K1577" s="24">
        <f t="shared" si="385"/>
        <v>120</v>
      </c>
      <c r="L1577" s="18">
        <f>L1578</f>
        <v>0</v>
      </c>
      <c r="M1577" s="24">
        <f t="shared" si="386"/>
        <v>120</v>
      </c>
      <c r="N1577" s="18">
        <f>N1578</f>
        <v>0</v>
      </c>
      <c r="O1577" s="24">
        <f t="shared" si="387"/>
        <v>120</v>
      </c>
      <c r="P1577" s="18">
        <f>P1578</f>
        <v>0</v>
      </c>
      <c r="Q1577" s="24">
        <f t="shared" si="373"/>
        <v>120</v>
      </c>
      <c r="R1577" s="18">
        <f>R1578</f>
        <v>0</v>
      </c>
      <c r="S1577" s="24">
        <f t="shared" si="388"/>
        <v>120</v>
      </c>
      <c r="T1577" s="18">
        <f>T1578</f>
        <v>0</v>
      </c>
      <c r="U1577" s="24">
        <f t="shared" si="406"/>
        <v>120</v>
      </c>
      <c r="V1577" s="18">
        <f>V1578</f>
        <v>0</v>
      </c>
      <c r="W1577" s="24">
        <f t="shared" si="369"/>
        <v>120</v>
      </c>
      <c r="X1577" s="18">
        <f>X1578</f>
        <v>0</v>
      </c>
      <c r="Y1577" s="24">
        <f t="shared" si="399"/>
        <v>120</v>
      </c>
      <c r="Z1577" s="189"/>
    </row>
    <row r="1578" spans="1:27" s="6" customFormat="1" x14ac:dyDescent="0.25">
      <c r="A1578" s="17" t="s">
        <v>574</v>
      </c>
      <c r="B1578" s="21" t="s">
        <v>428</v>
      </c>
      <c r="C1578" s="21" t="s">
        <v>657</v>
      </c>
      <c r="D1578" s="21" t="s">
        <v>81</v>
      </c>
      <c r="E1578" s="24"/>
      <c r="F1578" s="39">
        <v>120</v>
      </c>
      <c r="G1578" s="24">
        <f t="shared" si="390"/>
        <v>120</v>
      </c>
      <c r="H1578" s="69"/>
      <c r="I1578" s="24">
        <f t="shared" si="384"/>
        <v>120</v>
      </c>
      <c r="J1578" s="69"/>
      <c r="K1578" s="24">
        <f t="shared" si="385"/>
        <v>120</v>
      </c>
      <c r="L1578" s="69"/>
      <c r="M1578" s="24">
        <f t="shared" si="386"/>
        <v>120</v>
      </c>
      <c r="N1578" s="69"/>
      <c r="O1578" s="24">
        <f t="shared" si="387"/>
        <v>120</v>
      </c>
      <c r="P1578" s="69"/>
      <c r="Q1578" s="24">
        <f t="shared" si="373"/>
        <v>120</v>
      </c>
      <c r="R1578" s="69"/>
      <c r="S1578" s="24">
        <f t="shared" si="388"/>
        <v>120</v>
      </c>
      <c r="T1578" s="69"/>
      <c r="U1578" s="24">
        <f t="shared" si="406"/>
        <v>120</v>
      </c>
      <c r="V1578" s="69"/>
      <c r="W1578" s="24">
        <f t="shared" si="369"/>
        <v>120</v>
      </c>
      <c r="X1578" s="69"/>
      <c r="Y1578" s="24">
        <f t="shared" si="399"/>
        <v>120</v>
      </c>
      <c r="Z1578" s="189"/>
      <c r="AA1578" s="189">
        <f>Y1578+Z1578</f>
        <v>120</v>
      </c>
    </row>
    <row r="1579" spans="1:27" s="6" customFormat="1" ht="36.75" x14ac:dyDescent="0.25">
      <c r="A1579" s="22" t="s">
        <v>619</v>
      </c>
      <c r="B1579" s="23" t="s">
        <v>428</v>
      </c>
      <c r="C1579" s="23" t="s">
        <v>640</v>
      </c>
      <c r="D1579" s="23" t="s">
        <v>2</v>
      </c>
      <c r="E1579" s="24">
        <f>E1580</f>
        <v>50</v>
      </c>
      <c r="F1579" s="24">
        <f>F1580</f>
        <v>0</v>
      </c>
      <c r="G1579" s="24">
        <f t="shared" si="390"/>
        <v>50</v>
      </c>
      <c r="H1579" s="24">
        <f>H1580</f>
        <v>0</v>
      </c>
      <c r="I1579" s="24">
        <f t="shared" si="384"/>
        <v>50</v>
      </c>
      <c r="J1579" s="24">
        <f>J1580</f>
        <v>0</v>
      </c>
      <c r="K1579" s="24">
        <f t="shared" si="385"/>
        <v>50</v>
      </c>
      <c r="L1579" s="24">
        <f>L1580</f>
        <v>0</v>
      </c>
      <c r="M1579" s="24">
        <f t="shared" si="386"/>
        <v>50</v>
      </c>
      <c r="N1579" s="24">
        <f>N1580</f>
        <v>0</v>
      </c>
      <c r="O1579" s="24">
        <f t="shared" si="387"/>
        <v>50</v>
      </c>
      <c r="P1579" s="24">
        <f>P1580</f>
        <v>0</v>
      </c>
      <c r="Q1579" s="24">
        <f t="shared" si="373"/>
        <v>50</v>
      </c>
      <c r="R1579" s="24">
        <f>R1580</f>
        <v>0</v>
      </c>
      <c r="S1579" s="24">
        <f t="shared" si="388"/>
        <v>50</v>
      </c>
      <c r="T1579" s="24">
        <f>T1580</f>
        <v>0</v>
      </c>
      <c r="U1579" s="24">
        <f t="shared" si="406"/>
        <v>50</v>
      </c>
      <c r="V1579" s="24">
        <f>V1580</f>
        <v>0</v>
      </c>
      <c r="W1579" s="24">
        <f t="shared" si="369"/>
        <v>50</v>
      </c>
      <c r="X1579" s="24">
        <f>X1580</f>
        <v>0</v>
      </c>
      <c r="Y1579" s="24">
        <f t="shared" si="399"/>
        <v>50</v>
      </c>
      <c r="Z1579" s="189"/>
    </row>
    <row r="1580" spans="1:27" s="6" customFormat="1" x14ac:dyDescent="0.25">
      <c r="A1580" s="25" t="s">
        <v>574</v>
      </c>
      <c r="B1580" s="26" t="s">
        <v>428</v>
      </c>
      <c r="C1580" s="26" t="s">
        <v>640</v>
      </c>
      <c r="D1580" s="26" t="s">
        <v>81</v>
      </c>
      <c r="E1580" s="27">
        <v>50</v>
      </c>
      <c r="F1580" s="27"/>
      <c r="G1580" s="24">
        <f t="shared" si="390"/>
        <v>50</v>
      </c>
      <c r="H1580" s="27"/>
      <c r="I1580" s="24">
        <f t="shared" si="384"/>
        <v>50</v>
      </c>
      <c r="J1580" s="27"/>
      <c r="K1580" s="24">
        <f t="shared" si="385"/>
        <v>50</v>
      </c>
      <c r="L1580" s="27"/>
      <c r="M1580" s="24">
        <f t="shared" si="386"/>
        <v>50</v>
      </c>
      <c r="N1580" s="27"/>
      <c r="O1580" s="24">
        <f t="shared" si="387"/>
        <v>50</v>
      </c>
      <c r="P1580" s="27"/>
      <c r="Q1580" s="24">
        <f t="shared" ref="Q1580:Q1682" si="408">O1580+P1580</f>
        <v>50</v>
      </c>
      <c r="R1580" s="27"/>
      <c r="S1580" s="24">
        <f t="shared" si="388"/>
        <v>50</v>
      </c>
      <c r="T1580" s="69"/>
      <c r="U1580" s="24">
        <f t="shared" si="406"/>
        <v>50</v>
      </c>
      <c r="V1580" s="69"/>
      <c r="W1580" s="24">
        <f t="shared" si="369"/>
        <v>50</v>
      </c>
      <c r="X1580" s="69"/>
      <c r="Y1580" s="24">
        <f t="shared" si="399"/>
        <v>50</v>
      </c>
      <c r="Z1580" s="189"/>
      <c r="AA1580" s="189">
        <f>Y1580+Z1580</f>
        <v>50</v>
      </c>
    </row>
    <row r="1581" spans="1:27" s="6" customFormat="1" ht="36.75" x14ac:dyDescent="0.25">
      <c r="A1581" s="22" t="s">
        <v>37</v>
      </c>
      <c r="B1581" s="23" t="s">
        <v>428</v>
      </c>
      <c r="C1581" s="23" t="s">
        <v>432</v>
      </c>
      <c r="D1581" s="23" t="s">
        <v>2</v>
      </c>
      <c r="E1581" s="24">
        <f>E1582+E1583</f>
        <v>27217.9</v>
      </c>
      <c r="F1581" s="24">
        <f>F1582+F1583</f>
        <v>0</v>
      </c>
      <c r="G1581" s="24">
        <f t="shared" si="390"/>
        <v>27217.9</v>
      </c>
      <c r="H1581" s="24">
        <f>H1582+H1583</f>
        <v>0</v>
      </c>
      <c r="I1581" s="24">
        <f t="shared" si="384"/>
        <v>27217.9</v>
      </c>
      <c r="J1581" s="24">
        <f>J1582+J1583</f>
        <v>-3.3</v>
      </c>
      <c r="K1581" s="24">
        <f t="shared" si="385"/>
        <v>27214.600000000002</v>
      </c>
      <c r="L1581" s="24">
        <f>L1582+L1583</f>
        <v>0</v>
      </c>
      <c r="M1581" s="24">
        <f t="shared" si="386"/>
        <v>27214.600000000002</v>
      </c>
      <c r="N1581" s="24">
        <f>N1582+N1583</f>
        <v>0</v>
      </c>
      <c r="O1581" s="24">
        <f t="shared" si="387"/>
        <v>27214.600000000002</v>
      </c>
      <c r="P1581" s="24">
        <f>P1582+P1583</f>
        <v>0</v>
      </c>
      <c r="Q1581" s="24">
        <f t="shared" si="408"/>
        <v>27214.600000000002</v>
      </c>
      <c r="R1581" s="24">
        <f>R1582+R1583</f>
        <v>0</v>
      </c>
      <c r="S1581" s="24">
        <f t="shared" si="388"/>
        <v>27214.600000000002</v>
      </c>
      <c r="T1581" s="24">
        <f>T1582+T1583</f>
        <v>4723.1000000000004</v>
      </c>
      <c r="U1581" s="24">
        <f t="shared" si="406"/>
        <v>31937.700000000004</v>
      </c>
      <c r="V1581" s="24">
        <f>V1582+V1583</f>
        <v>-9462</v>
      </c>
      <c r="W1581" s="24">
        <f t="shared" si="369"/>
        <v>22475.700000000004</v>
      </c>
      <c r="X1581" s="24">
        <f>X1582+X1583</f>
        <v>1215</v>
      </c>
      <c r="Y1581" s="24">
        <f t="shared" si="399"/>
        <v>23690.700000000004</v>
      </c>
      <c r="Z1581" s="189"/>
    </row>
    <row r="1582" spans="1:27" s="6" customFormat="1" ht="36.75" x14ac:dyDescent="0.25">
      <c r="A1582" s="25" t="s">
        <v>573</v>
      </c>
      <c r="B1582" s="26" t="s">
        <v>428</v>
      </c>
      <c r="C1582" s="26" t="s">
        <v>432</v>
      </c>
      <c r="D1582" s="26" t="s">
        <v>83</v>
      </c>
      <c r="E1582" s="27">
        <f>27096.9+121-500</f>
        <v>26717.9</v>
      </c>
      <c r="F1582" s="27"/>
      <c r="G1582" s="24">
        <f t="shared" si="390"/>
        <v>26717.9</v>
      </c>
      <c r="H1582" s="27"/>
      <c r="I1582" s="24">
        <f t="shared" si="384"/>
        <v>26717.9</v>
      </c>
      <c r="J1582" s="39">
        <v>-3.3</v>
      </c>
      <c r="K1582" s="24">
        <f t="shared" si="385"/>
        <v>26714.600000000002</v>
      </c>
      <c r="L1582" s="69"/>
      <c r="M1582" s="24">
        <f t="shared" si="386"/>
        <v>26714.600000000002</v>
      </c>
      <c r="N1582" s="69"/>
      <c r="O1582" s="24">
        <f t="shared" si="387"/>
        <v>26714.600000000002</v>
      </c>
      <c r="P1582" s="69"/>
      <c r="Q1582" s="24">
        <f t="shared" si="408"/>
        <v>26714.600000000002</v>
      </c>
      <c r="R1582" s="69"/>
      <c r="S1582" s="24">
        <f t="shared" si="388"/>
        <v>26714.600000000002</v>
      </c>
      <c r="T1582" s="39">
        <v>4723.1000000000004</v>
      </c>
      <c r="U1582" s="24">
        <f t="shared" si="406"/>
        <v>31437.700000000004</v>
      </c>
      <c r="V1582" s="94">
        <f>-2800-1939-4723</f>
        <v>-9462</v>
      </c>
      <c r="W1582" s="24">
        <f t="shared" si="369"/>
        <v>21975.700000000004</v>
      </c>
      <c r="X1582" s="39">
        <v>1215</v>
      </c>
      <c r="Y1582" s="24">
        <f t="shared" si="399"/>
        <v>23190.700000000004</v>
      </c>
      <c r="Z1582" s="189">
        <v>1215</v>
      </c>
      <c r="AA1582" s="189">
        <f t="shared" ref="AA1582:AA1583" si="409">Y1582+Z1582</f>
        <v>24405.700000000004</v>
      </c>
    </row>
    <row r="1583" spans="1:27" s="6" customFormat="1" x14ac:dyDescent="0.25">
      <c r="A1583" s="25" t="s">
        <v>574</v>
      </c>
      <c r="B1583" s="26" t="s">
        <v>428</v>
      </c>
      <c r="C1583" s="26" t="s">
        <v>432</v>
      </c>
      <c r="D1583" s="26" t="s">
        <v>81</v>
      </c>
      <c r="E1583" s="27">
        <v>500</v>
      </c>
      <c r="F1583" s="27"/>
      <c r="G1583" s="24">
        <f t="shared" si="390"/>
        <v>500</v>
      </c>
      <c r="H1583" s="27"/>
      <c r="I1583" s="24">
        <f t="shared" si="384"/>
        <v>500</v>
      </c>
      <c r="J1583" s="69"/>
      <c r="K1583" s="24">
        <f t="shared" si="385"/>
        <v>500</v>
      </c>
      <c r="L1583" s="69"/>
      <c r="M1583" s="24">
        <f t="shared" si="386"/>
        <v>500</v>
      </c>
      <c r="N1583" s="69"/>
      <c r="O1583" s="24">
        <f t="shared" si="387"/>
        <v>500</v>
      </c>
      <c r="P1583" s="69"/>
      <c r="Q1583" s="24">
        <f t="shared" si="408"/>
        <v>500</v>
      </c>
      <c r="R1583" s="69"/>
      <c r="S1583" s="24">
        <f t="shared" si="388"/>
        <v>500</v>
      </c>
      <c r="T1583" s="69"/>
      <c r="U1583" s="24">
        <f t="shared" si="406"/>
        <v>500</v>
      </c>
      <c r="V1583" s="69"/>
      <c r="W1583" s="24">
        <f t="shared" si="369"/>
        <v>500</v>
      </c>
      <c r="X1583" s="69"/>
      <c r="Y1583" s="24">
        <f t="shared" si="399"/>
        <v>500</v>
      </c>
      <c r="Z1583" s="189"/>
      <c r="AA1583" s="189">
        <f t="shared" si="409"/>
        <v>500</v>
      </c>
    </row>
    <row r="1584" spans="1:27" s="6" customFormat="1" ht="36.75" x14ac:dyDescent="0.25">
      <c r="A1584" s="16" t="s">
        <v>767</v>
      </c>
      <c r="B1584" s="20" t="s">
        <v>428</v>
      </c>
      <c r="C1584" s="20" t="s">
        <v>768</v>
      </c>
      <c r="D1584" s="21"/>
      <c r="E1584" s="27"/>
      <c r="F1584" s="27"/>
      <c r="G1584" s="24"/>
      <c r="H1584" s="27"/>
      <c r="I1584" s="24"/>
      <c r="J1584" s="18">
        <f>J1585+J1586</f>
        <v>333.1</v>
      </c>
      <c r="K1584" s="24">
        <f t="shared" si="385"/>
        <v>333.1</v>
      </c>
      <c r="L1584" s="18">
        <f>L1585+L1586</f>
        <v>0</v>
      </c>
      <c r="M1584" s="24">
        <f t="shared" si="386"/>
        <v>333.1</v>
      </c>
      <c r="N1584" s="18">
        <f>N1585+N1586</f>
        <v>0</v>
      </c>
      <c r="O1584" s="24">
        <f t="shared" si="387"/>
        <v>333.1</v>
      </c>
      <c r="P1584" s="18">
        <f>P1585+P1586</f>
        <v>0</v>
      </c>
      <c r="Q1584" s="24">
        <f t="shared" si="408"/>
        <v>333.1</v>
      </c>
      <c r="R1584" s="18">
        <f>R1585+R1586</f>
        <v>0</v>
      </c>
      <c r="S1584" s="24">
        <f t="shared" si="388"/>
        <v>333.1</v>
      </c>
      <c r="T1584" s="18">
        <f>T1585+T1586</f>
        <v>0</v>
      </c>
      <c r="U1584" s="24">
        <f t="shared" si="406"/>
        <v>333.1</v>
      </c>
      <c r="V1584" s="18">
        <f>V1585+V1586</f>
        <v>0</v>
      </c>
      <c r="W1584" s="24">
        <f t="shared" si="369"/>
        <v>333.1</v>
      </c>
      <c r="X1584" s="18">
        <f>X1585+X1586</f>
        <v>0</v>
      </c>
      <c r="Y1584" s="24">
        <f t="shared" si="399"/>
        <v>333.1</v>
      </c>
      <c r="Z1584" s="189"/>
    </row>
    <row r="1585" spans="1:27" s="6" customFormat="1" x14ac:dyDescent="0.25">
      <c r="A1585" s="17" t="s">
        <v>574</v>
      </c>
      <c r="B1585" s="21" t="s">
        <v>428</v>
      </c>
      <c r="C1585" s="21" t="s">
        <v>768</v>
      </c>
      <c r="D1585" s="21" t="s">
        <v>81</v>
      </c>
      <c r="E1585" s="27"/>
      <c r="F1585" s="27"/>
      <c r="G1585" s="24"/>
      <c r="H1585" s="27"/>
      <c r="I1585" s="24"/>
      <c r="J1585" s="43">
        <v>329.8</v>
      </c>
      <c r="K1585" s="24">
        <f t="shared" si="385"/>
        <v>329.8</v>
      </c>
      <c r="L1585" s="69"/>
      <c r="M1585" s="24">
        <f t="shared" si="386"/>
        <v>329.8</v>
      </c>
      <c r="N1585" s="69"/>
      <c r="O1585" s="24">
        <f t="shared" si="387"/>
        <v>329.8</v>
      </c>
      <c r="P1585" s="69"/>
      <c r="Q1585" s="24">
        <f t="shared" si="408"/>
        <v>329.8</v>
      </c>
      <c r="R1585" s="69"/>
      <c r="S1585" s="24">
        <f t="shared" si="388"/>
        <v>329.8</v>
      </c>
      <c r="T1585" s="69"/>
      <c r="U1585" s="24">
        <f t="shared" si="406"/>
        <v>329.8</v>
      </c>
      <c r="V1585" s="69"/>
      <c r="W1585" s="24">
        <f t="shared" si="369"/>
        <v>329.8</v>
      </c>
      <c r="X1585" s="69"/>
      <c r="Y1585" s="24">
        <f t="shared" si="399"/>
        <v>329.8</v>
      </c>
      <c r="Z1585" s="189"/>
      <c r="AA1585" s="189">
        <f t="shared" ref="AA1585:AA1586" si="410">Y1585+Z1585</f>
        <v>329.8</v>
      </c>
    </row>
    <row r="1586" spans="1:27" x14ac:dyDescent="0.25">
      <c r="A1586" s="17" t="s">
        <v>574</v>
      </c>
      <c r="B1586" s="21" t="s">
        <v>428</v>
      </c>
      <c r="C1586" s="21" t="s">
        <v>768</v>
      </c>
      <c r="D1586" s="21" t="s">
        <v>81</v>
      </c>
      <c r="E1586" s="27"/>
      <c r="F1586" s="27"/>
      <c r="G1586" s="24"/>
      <c r="H1586" s="27"/>
      <c r="I1586" s="87"/>
      <c r="J1586" s="39">
        <v>3.3</v>
      </c>
      <c r="K1586" s="87">
        <f t="shared" si="385"/>
        <v>3.3</v>
      </c>
      <c r="L1586" s="39"/>
      <c r="M1586" s="87">
        <f t="shared" si="386"/>
        <v>3.3</v>
      </c>
      <c r="N1586" s="39"/>
      <c r="O1586" s="87">
        <f t="shared" si="387"/>
        <v>3.3</v>
      </c>
      <c r="P1586" s="39"/>
      <c r="Q1586" s="87">
        <f t="shared" si="408"/>
        <v>3.3</v>
      </c>
      <c r="R1586" s="39"/>
      <c r="S1586" s="87">
        <f t="shared" si="388"/>
        <v>3.3</v>
      </c>
      <c r="T1586" s="69"/>
      <c r="U1586" s="87">
        <f t="shared" si="406"/>
        <v>3.3</v>
      </c>
      <c r="V1586" s="69"/>
      <c r="W1586" s="87">
        <f t="shared" si="369"/>
        <v>3.3</v>
      </c>
      <c r="X1586" s="69"/>
      <c r="Y1586" s="87">
        <f t="shared" si="399"/>
        <v>3.3</v>
      </c>
      <c r="AA1586" s="189">
        <f t="shared" si="410"/>
        <v>3.3</v>
      </c>
    </row>
    <row r="1587" spans="1:27" x14ac:dyDescent="0.25">
      <c r="A1587" s="22" t="s">
        <v>433</v>
      </c>
      <c r="B1587" s="23" t="s">
        <v>428</v>
      </c>
      <c r="C1587" s="23" t="s">
        <v>434</v>
      </c>
      <c r="D1587" s="23" t="s">
        <v>2</v>
      </c>
      <c r="E1587" s="24">
        <f>E1596+E1600+E1602+E1605+E1607+E1598</f>
        <v>116849.9</v>
      </c>
      <c r="F1587" s="24">
        <f>F1596+F1600+F1602+F1605+F1607+F1598+F1609</f>
        <v>1500</v>
      </c>
      <c r="G1587" s="24">
        <f t="shared" si="390"/>
        <v>118349.9</v>
      </c>
      <c r="H1587" s="24">
        <f>H1596+H1600+H1602+H1605+H1607+H1598+H1609</f>
        <v>0</v>
      </c>
      <c r="I1587" s="24">
        <f t="shared" si="384"/>
        <v>118349.9</v>
      </c>
      <c r="J1587" s="24">
        <f>J1596+J1600+J1602+J1605+J1607+J1598+J1609+J1588+J1592</f>
        <v>-84</v>
      </c>
      <c r="K1587" s="24">
        <f t="shared" si="385"/>
        <v>118265.9</v>
      </c>
      <c r="L1587" s="24">
        <f>L1588+L1592+L1596+L1598+L1600+L1602+L1605+L1607+L1594+L1590</f>
        <v>7354.9</v>
      </c>
      <c r="M1587" s="24">
        <f t="shared" si="386"/>
        <v>125620.79999999999</v>
      </c>
      <c r="N1587" s="24">
        <f>N1588+N1592+N1596+N1598+N1600+N1602+N1605+N1607+N1594+N1590</f>
        <v>852.59999999999991</v>
      </c>
      <c r="O1587" s="24">
        <f t="shared" si="387"/>
        <v>126473.4</v>
      </c>
      <c r="P1587" s="24">
        <f>P1588+P1592+P1596+P1598+P1600+P1602+P1605+P1607+P1594+P1590</f>
        <v>-1069</v>
      </c>
      <c r="Q1587" s="24">
        <f t="shared" si="408"/>
        <v>125404.4</v>
      </c>
      <c r="R1587" s="24">
        <f>R1588+R1592+R1596+R1598+R1600+R1602+R1605+R1607+R1594+R1590</f>
        <v>1335.3</v>
      </c>
      <c r="S1587" s="24">
        <f t="shared" si="388"/>
        <v>126739.7</v>
      </c>
      <c r="T1587" s="24">
        <f>T1588+T1592+T1596+T1598+T1600+T1602+T1605+T1607+T1594+T1590</f>
        <v>106.5</v>
      </c>
      <c r="U1587" s="24">
        <f t="shared" si="406"/>
        <v>126846.2</v>
      </c>
      <c r="V1587" s="24">
        <f>V1588+V1592+V1596+V1598+V1600+V1602+V1605+V1607+V1594+V1590</f>
        <v>5377.4000000000015</v>
      </c>
      <c r="W1587" s="24">
        <f t="shared" si="369"/>
        <v>132223.6</v>
      </c>
      <c r="X1587" s="24">
        <f>X1588+X1592+X1596+X1598+X1600+X1602+X1605+X1607+X1594+X1590</f>
        <v>-2365</v>
      </c>
      <c r="Y1587" s="24">
        <f t="shared" si="399"/>
        <v>129858.6</v>
      </c>
    </row>
    <row r="1588" spans="1:27" x14ac:dyDescent="0.25">
      <c r="A1588" s="16" t="s">
        <v>769</v>
      </c>
      <c r="B1588" s="20" t="s">
        <v>428</v>
      </c>
      <c r="C1588" s="20" t="s">
        <v>770</v>
      </c>
      <c r="D1588" s="20"/>
      <c r="E1588" s="24"/>
      <c r="F1588" s="24"/>
      <c r="G1588" s="24"/>
      <c r="H1588" s="24"/>
      <c r="I1588" s="24"/>
      <c r="J1588" s="18">
        <f>J1589</f>
        <v>41</v>
      </c>
      <c r="K1588" s="24">
        <f t="shared" si="385"/>
        <v>41</v>
      </c>
      <c r="L1588" s="18">
        <f>L1589</f>
        <v>0</v>
      </c>
      <c r="M1588" s="24">
        <f t="shared" si="386"/>
        <v>41</v>
      </c>
      <c r="N1588" s="18">
        <f>N1589</f>
        <v>0</v>
      </c>
      <c r="O1588" s="24">
        <f t="shared" si="387"/>
        <v>41</v>
      </c>
      <c r="P1588" s="18">
        <f>P1589</f>
        <v>300</v>
      </c>
      <c r="Q1588" s="24">
        <f t="shared" si="408"/>
        <v>341</v>
      </c>
      <c r="R1588" s="18">
        <f>R1589</f>
        <v>0</v>
      </c>
      <c r="S1588" s="24">
        <f t="shared" si="388"/>
        <v>341</v>
      </c>
      <c r="T1588" s="18">
        <f>T1589</f>
        <v>0</v>
      </c>
      <c r="U1588" s="24">
        <f t="shared" si="406"/>
        <v>341</v>
      </c>
      <c r="V1588" s="18">
        <f>V1589</f>
        <v>0</v>
      </c>
      <c r="W1588" s="24">
        <f t="shared" si="369"/>
        <v>341</v>
      </c>
      <c r="X1588" s="18">
        <f>X1589</f>
        <v>0</v>
      </c>
      <c r="Y1588" s="24">
        <f t="shared" si="399"/>
        <v>341</v>
      </c>
    </row>
    <row r="1589" spans="1:27" x14ac:dyDescent="0.25">
      <c r="A1589" s="17" t="s">
        <v>574</v>
      </c>
      <c r="B1589" s="21" t="s">
        <v>428</v>
      </c>
      <c r="C1589" s="21" t="s">
        <v>770</v>
      </c>
      <c r="D1589" s="21" t="s">
        <v>81</v>
      </c>
      <c r="E1589" s="24"/>
      <c r="F1589" s="24"/>
      <c r="G1589" s="24"/>
      <c r="H1589" s="24"/>
      <c r="I1589" s="24"/>
      <c r="J1589" s="43">
        <v>41</v>
      </c>
      <c r="K1589" s="24">
        <f t="shared" si="385"/>
        <v>41</v>
      </c>
      <c r="L1589" s="69"/>
      <c r="M1589" s="24">
        <f t="shared" si="386"/>
        <v>41</v>
      </c>
      <c r="N1589" s="69"/>
      <c r="O1589" s="24">
        <f t="shared" si="387"/>
        <v>41</v>
      </c>
      <c r="P1589" s="125">
        <v>300</v>
      </c>
      <c r="Q1589" s="24">
        <f t="shared" si="408"/>
        <v>341</v>
      </c>
      <c r="R1589" s="69"/>
      <c r="S1589" s="24">
        <f t="shared" si="388"/>
        <v>341</v>
      </c>
      <c r="T1589" s="69"/>
      <c r="U1589" s="24">
        <f t="shared" si="406"/>
        <v>341</v>
      </c>
      <c r="V1589" s="69"/>
      <c r="W1589" s="24">
        <f t="shared" si="369"/>
        <v>341</v>
      </c>
      <c r="X1589" s="69"/>
      <c r="Y1589" s="24">
        <f t="shared" si="399"/>
        <v>341</v>
      </c>
      <c r="AA1589" s="189">
        <f>Y1589+Z1589</f>
        <v>341</v>
      </c>
    </row>
    <row r="1590" spans="1:27" ht="24.75" x14ac:dyDescent="0.25">
      <c r="A1590" s="16" t="s">
        <v>234</v>
      </c>
      <c r="B1590" s="20" t="s">
        <v>428</v>
      </c>
      <c r="C1590" s="20" t="s">
        <v>817</v>
      </c>
      <c r="D1590" s="76"/>
      <c r="E1590" s="24"/>
      <c r="F1590" s="24"/>
      <c r="G1590" s="24"/>
      <c r="H1590" s="24"/>
      <c r="I1590" s="24"/>
      <c r="J1590" s="43"/>
      <c r="K1590" s="24"/>
      <c r="L1590" s="47">
        <f>L1591</f>
        <v>1467.9</v>
      </c>
      <c r="M1590" s="24">
        <f t="shared" si="386"/>
        <v>1467.9</v>
      </c>
      <c r="N1590" s="47">
        <f>N1591</f>
        <v>0</v>
      </c>
      <c r="O1590" s="24">
        <f t="shared" si="387"/>
        <v>1467.9</v>
      </c>
      <c r="P1590" s="47">
        <f>P1591</f>
        <v>0</v>
      </c>
      <c r="Q1590" s="24">
        <f t="shared" si="408"/>
        <v>1467.9</v>
      </c>
      <c r="R1590" s="47">
        <f>R1591</f>
        <v>160.30000000000001</v>
      </c>
      <c r="S1590" s="24">
        <f t="shared" si="388"/>
        <v>1628.2</v>
      </c>
      <c r="T1590" s="47">
        <f>T1591</f>
        <v>0</v>
      </c>
      <c r="U1590" s="24">
        <f t="shared" si="406"/>
        <v>1628.2</v>
      </c>
      <c r="V1590" s="47">
        <f>V1591</f>
        <v>851.1</v>
      </c>
      <c r="W1590" s="24">
        <f t="shared" si="369"/>
        <v>2479.3000000000002</v>
      </c>
      <c r="X1590" s="47">
        <f>X1591</f>
        <v>0</v>
      </c>
      <c r="Y1590" s="24">
        <f t="shared" si="399"/>
        <v>2479.3000000000002</v>
      </c>
    </row>
    <row r="1591" spans="1:27" s="6" customFormat="1" x14ac:dyDescent="0.25">
      <c r="A1591" s="17" t="s">
        <v>574</v>
      </c>
      <c r="B1591" s="21" t="s">
        <v>428</v>
      </c>
      <c r="C1591" s="21" t="s">
        <v>817</v>
      </c>
      <c r="D1591" s="76" t="s">
        <v>81</v>
      </c>
      <c r="E1591" s="24"/>
      <c r="F1591" s="24"/>
      <c r="G1591" s="24"/>
      <c r="H1591" s="24"/>
      <c r="I1591" s="24"/>
      <c r="J1591" s="43"/>
      <c r="K1591" s="24"/>
      <c r="L1591" s="96">
        <f>1020+447.9</f>
        <v>1467.9</v>
      </c>
      <c r="M1591" s="24">
        <f t="shared" si="386"/>
        <v>1467.9</v>
      </c>
      <c r="N1591" s="69"/>
      <c r="O1591" s="24">
        <f t="shared" si="387"/>
        <v>1467.9</v>
      </c>
      <c r="P1591" s="69"/>
      <c r="Q1591" s="24">
        <f t="shared" si="408"/>
        <v>1467.9</v>
      </c>
      <c r="R1591" s="39">
        <v>160.30000000000001</v>
      </c>
      <c r="S1591" s="24">
        <f t="shared" si="388"/>
        <v>1628.2</v>
      </c>
      <c r="T1591" s="69"/>
      <c r="U1591" s="24">
        <f t="shared" si="406"/>
        <v>1628.2</v>
      </c>
      <c r="V1591" s="94">
        <v>851.1</v>
      </c>
      <c r="W1591" s="24">
        <f t="shared" si="369"/>
        <v>2479.3000000000002</v>
      </c>
      <c r="X1591" s="69"/>
      <c r="Y1591" s="24">
        <f t="shared" si="399"/>
        <v>2479.3000000000002</v>
      </c>
      <c r="Z1591" s="189"/>
      <c r="AA1591" s="189">
        <f>Y1591+Z1591</f>
        <v>2479.3000000000002</v>
      </c>
    </row>
    <row r="1592" spans="1:27" s="6" customFormat="1" x14ac:dyDescent="0.25">
      <c r="A1592" s="92" t="s">
        <v>245</v>
      </c>
      <c r="B1592" s="20" t="s">
        <v>428</v>
      </c>
      <c r="C1592" s="20" t="s">
        <v>795</v>
      </c>
      <c r="D1592" s="76"/>
      <c r="E1592" s="24"/>
      <c r="F1592" s="24"/>
      <c r="G1592" s="24"/>
      <c r="H1592" s="24"/>
      <c r="I1592" s="24"/>
      <c r="J1592" s="47">
        <f>J1593</f>
        <v>3075</v>
      </c>
      <c r="K1592" s="24">
        <f t="shared" si="385"/>
        <v>3075</v>
      </c>
      <c r="L1592" s="47">
        <f>L1593</f>
        <v>874.90000000000009</v>
      </c>
      <c r="M1592" s="24">
        <f t="shared" si="386"/>
        <v>3949.9</v>
      </c>
      <c r="N1592" s="47">
        <f>N1593</f>
        <v>0</v>
      </c>
      <c r="O1592" s="24">
        <f t="shared" si="387"/>
        <v>3949.9</v>
      </c>
      <c r="P1592" s="47">
        <f>P1593</f>
        <v>-1150</v>
      </c>
      <c r="Q1592" s="24">
        <f t="shared" si="408"/>
        <v>2799.9</v>
      </c>
      <c r="R1592" s="47">
        <f>R1593</f>
        <v>1</v>
      </c>
      <c r="S1592" s="24">
        <f t="shared" si="388"/>
        <v>2800.9</v>
      </c>
      <c r="T1592" s="47">
        <f>T1593</f>
        <v>100</v>
      </c>
      <c r="U1592" s="24">
        <f t="shared" si="406"/>
        <v>2900.9</v>
      </c>
      <c r="V1592" s="47">
        <f>V1593</f>
        <v>-0.9</v>
      </c>
      <c r="W1592" s="24">
        <f t="shared" si="369"/>
        <v>2900</v>
      </c>
      <c r="X1592" s="47">
        <f>X1593</f>
        <v>0</v>
      </c>
      <c r="Y1592" s="24">
        <f t="shared" si="399"/>
        <v>2900</v>
      </c>
      <c r="Z1592" s="189"/>
    </row>
    <row r="1593" spans="1:27" s="6" customFormat="1" x14ac:dyDescent="0.25">
      <c r="A1593" s="17" t="s">
        <v>574</v>
      </c>
      <c r="B1593" s="21" t="s">
        <v>428</v>
      </c>
      <c r="C1593" s="21" t="s">
        <v>795</v>
      </c>
      <c r="D1593" s="76" t="s">
        <v>81</v>
      </c>
      <c r="E1593" s="24"/>
      <c r="F1593" s="24"/>
      <c r="G1593" s="24"/>
      <c r="H1593" s="24"/>
      <c r="I1593" s="24"/>
      <c r="J1593" s="63">
        <f>3200-125</f>
        <v>3075</v>
      </c>
      <c r="K1593" s="24">
        <f t="shared" si="385"/>
        <v>3075</v>
      </c>
      <c r="L1593" s="96">
        <f>2500+300-1925.1</f>
        <v>874.90000000000009</v>
      </c>
      <c r="M1593" s="24">
        <f t="shared" si="386"/>
        <v>3949.9</v>
      </c>
      <c r="N1593" s="69"/>
      <c r="O1593" s="24">
        <f t="shared" si="387"/>
        <v>3949.9</v>
      </c>
      <c r="P1593" s="94">
        <v>-1150</v>
      </c>
      <c r="Q1593" s="24">
        <f t="shared" si="408"/>
        <v>2799.9</v>
      </c>
      <c r="R1593" s="39">
        <v>1</v>
      </c>
      <c r="S1593" s="24">
        <f t="shared" si="388"/>
        <v>2800.9</v>
      </c>
      <c r="T1593" s="39">
        <v>100</v>
      </c>
      <c r="U1593" s="24">
        <f t="shared" si="406"/>
        <v>2900.9</v>
      </c>
      <c r="V1593" s="94">
        <v>-0.9</v>
      </c>
      <c r="W1593" s="24">
        <f t="shared" si="369"/>
        <v>2900</v>
      </c>
      <c r="X1593" s="69"/>
      <c r="Y1593" s="24">
        <f t="shared" si="399"/>
        <v>2900</v>
      </c>
      <c r="Z1593" s="189"/>
      <c r="AA1593" s="189">
        <f>Y1593+Z1593</f>
        <v>2900</v>
      </c>
    </row>
    <row r="1594" spans="1:27" s="6" customFormat="1" x14ac:dyDescent="0.25">
      <c r="A1594" s="92" t="s">
        <v>811</v>
      </c>
      <c r="B1594" s="20" t="s">
        <v>428</v>
      </c>
      <c r="C1594" s="20" t="s">
        <v>813</v>
      </c>
      <c r="D1594" s="76"/>
      <c r="E1594" s="24"/>
      <c r="F1594" s="24"/>
      <c r="G1594" s="24"/>
      <c r="H1594" s="24"/>
      <c r="I1594" s="24"/>
      <c r="J1594" s="63"/>
      <c r="K1594" s="24"/>
      <c r="L1594" s="47">
        <f>L1595</f>
        <v>7351.5</v>
      </c>
      <c r="M1594" s="24">
        <f t="shared" si="386"/>
        <v>7351.5</v>
      </c>
      <c r="N1594" s="47">
        <f>N1595</f>
        <v>-559</v>
      </c>
      <c r="O1594" s="24">
        <f t="shared" si="387"/>
        <v>6792.5</v>
      </c>
      <c r="P1594" s="47">
        <f>P1595</f>
        <v>0</v>
      </c>
      <c r="Q1594" s="24">
        <f t="shared" si="408"/>
        <v>6792.5</v>
      </c>
      <c r="R1594" s="47">
        <f>R1595</f>
        <v>-630</v>
      </c>
      <c r="S1594" s="24">
        <f t="shared" si="388"/>
        <v>6162.5</v>
      </c>
      <c r="T1594" s="47">
        <f>T1595</f>
        <v>0</v>
      </c>
      <c r="U1594" s="24">
        <f t="shared" si="406"/>
        <v>6162.5</v>
      </c>
      <c r="V1594" s="47">
        <f>V1595</f>
        <v>-1142.9000000000001</v>
      </c>
      <c r="W1594" s="24">
        <f t="shared" si="369"/>
        <v>5019.6000000000004</v>
      </c>
      <c r="X1594" s="47">
        <f>X1595</f>
        <v>0</v>
      </c>
      <c r="Y1594" s="24">
        <f t="shared" si="399"/>
        <v>5019.6000000000004</v>
      </c>
      <c r="Z1594" s="189"/>
    </row>
    <row r="1595" spans="1:27" s="6" customFormat="1" x14ac:dyDescent="0.25">
      <c r="A1595" s="17" t="s">
        <v>574</v>
      </c>
      <c r="B1595" s="21" t="s">
        <v>428</v>
      </c>
      <c r="C1595" s="21" t="s">
        <v>813</v>
      </c>
      <c r="D1595" s="76" t="s">
        <v>81</v>
      </c>
      <c r="E1595" s="24"/>
      <c r="F1595" s="24"/>
      <c r="G1595" s="24"/>
      <c r="H1595" s="24"/>
      <c r="I1595" s="24"/>
      <c r="J1595" s="63"/>
      <c r="K1595" s="24"/>
      <c r="L1595" s="96">
        <f>5691.9+1659.6</f>
        <v>7351.5</v>
      </c>
      <c r="M1595" s="24">
        <f t="shared" si="386"/>
        <v>7351.5</v>
      </c>
      <c r="N1595" s="109">
        <f>630-1189</f>
        <v>-559</v>
      </c>
      <c r="O1595" s="24">
        <f t="shared" si="387"/>
        <v>6792.5</v>
      </c>
      <c r="P1595" s="69"/>
      <c r="Q1595" s="24">
        <f t="shared" si="408"/>
        <v>6792.5</v>
      </c>
      <c r="R1595" s="39">
        <v>-630</v>
      </c>
      <c r="S1595" s="24">
        <f t="shared" si="388"/>
        <v>6162.5</v>
      </c>
      <c r="T1595" s="69"/>
      <c r="U1595" s="24">
        <f t="shared" si="406"/>
        <v>6162.5</v>
      </c>
      <c r="V1595" s="94">
        <v>-1142.9000000000001</v>
      </c>
      <c r="W1595" s="24">
        <f t="shared" si="369"/>
        <v>5019.6000000000004</v>
      </c>
      <c r="X1595" s="69"/>
      <c r="Y1595" s="24">
        <f t="shared" si="399"/>
        <v>5019.6000000000004</v>
      </c>
      <c r="Z1595" s="189"/>
      <c r="AA1595" s="189">
        <f>Y1595+Z1595</f>
        <v>5019.6000000000004</v>
      </c>
    </row>
    <row r="1596" spans="1:27" s="6" customFormat="1" ht="24.75" x14ac:dyDescent="0.25">
      <c r="A1596" s="22" t="s">
        <v>618</v>
      </c>
      <c r="B1596" s="23" t="s">
        <v>428</v>
      </c>
      <c r="C1596" s="23" t="s">
        <v>617</v>
      </c>
      <c r="D1596" s="23" t="s">
        <v>2</v>
      </c>
      <c r="E1596" s="24">
        <f>E1597</f>
        <v>600</v>
      </c>
      <c r="F1596" s="24">
        <f>F1597</f>
        <v>0</v>
      </c>
      <c r="G1596" s="24">
        <f t="shared" si="390"/>
        <v>600</v>
      </c>
      <c r="H1596" s="24">
        <f>H1597</f>
        <v>0</v>
      </c>
      <c r="I1596" s="24">
        <f t="shared" si="384"/>
        <v>600</v>
      </c>
      <c r="J1596" s="24">
        <f>J1597</f>
        <v>0</v>
      </c>
      <c r="K1596" s="24">
        <f t="shared" si="385"/>
        <v>600</v>
      </c>
      <c r="L1596" s="47">
        <f>L1597</f>
        <v>0</v>
      </c>
      <c r="M1596" s="24">
        <f t="shared" si="386"/>
        <v>600</v>
      </c>
      <c r="N1596" s="47">
        <f>N1597</f>
        <v>0</v>
      </c>
      <c r="O1596" s="24">
        <f t="shared" si="387"/>
        <v>600</v>
      </c>
      <c r="P1596" s="47">
        <f>P1597</f>
        <v>0</v>
      </c>
      <c r="Q1596" s="24">
        <f t="shared" si="408"/>
        <v>600</v>
      </c>
      <c r="R1596" s="47">
        <f>R1597</f>
        <v>-300</v>
      </c>
      <c r="S1596" s="24">
        <f t="shared" si="388"/>
        <v>300</v>
      </c>
      <c r="T1596" s="47">
        <f>T1597</f>
        <v>0</v>
      </c>
      <c r="U1596" s="24">
        <f t="shared" si="406"/>
        <v>300</v>
      </c>
      <c r="V1596" s="47">
        <f>V1597</f>
        <v>0</v>
      </c>
      <c r="W1596" s="24">
        <f t="shared" si="369"/>
        <v>300</v>
      </c>
      <c r="X1596" s="47">
        <f>X1597</f>
        <v>0</v>
      </c>
      <c r="Y1596" s="24">
        <f t="shared" si="399"/>
        <v>300</v>
      </c>
      <c r="Z1596" s="189"/>
    </row>
    <row r="1597" spans="1:27" s="6" customFormat="1" x14ac:dyDescent="0.25">
      <c r="A1597" s="25" t="s">
        <v>574</v>
      </c>
      <c r="B1597" s="26" t="s">
        <v>428</v>
      </c>
      <c r="C1597" s="26" t="s">
        <v>617</v>
      </c>
      <c r="D1597" s="26" t="s">
        <v>81</v>
      </c>
      <c r="E1597" s="27">
        <v>600</v>
      </c>
      <c r="F1597" s="27"/>
      <c r="G1597" s="24">
        <f t="shared" si="390"/>
        <v>600</v>
      </c>
      <c r="H1597" s="27"/>
      <c r="I1597" s="24">
        <f t="shared" ref="I1597:I1701" si="411">G1597+H1597</f>
        <v>600</v>
      </c>
      <c r="J1597" s="27"/>
      <c r="K1597" s="24">
        <f t="shared" ref="K1597:K1701" si="412">I1597+J1597</f>
        <v>600</v>
      </c>
      <c r="L1597" s="27"/>
      <c r="M1597" s="24">
        <f t="shared" ref="M1597:M1701" si="413">K1597+L1597</f>
        <v>600</v>
      </c>
      <c r="N1597" s="27"/>
      <c r="O1597" s="24">
        <f t="shared" ref="O1597:O1701" si="414">M1597+N1597</f>
        <v>600</v>
      </c>
      <c r="P1597" s="39"/>
      <c r="Q1597" s="24">
        <f t="shared" si="408"/>
        <v>600</v>
      </c>
      <c r="R1597" s="39">
        <v>-300</v>
      </c>
      <c r="S1597" s="24">
        <f t="shared" si="388"/>
        <v>300</v>
      </c>
      <c r="T1597" s="69"/>
      <c r="U1597" s="24">
        <f t="shared" si="406"/>
        <v>300</v>
      </c>
      <c r="V1597" s="69"/>
      <c r="W1597" s="24">
        <f t="shared" si="369"/>
        <v>300</v>
      </c>
      <c r="X1597" s="69"/>
      <c r="Y1597" s="24">
        <f t="shared" si="399"/>
        <v>300</v>
      </c>
      <c r="Z1597" s="189"/>
      <c r="AA1597" s="189">
        <f>Y1597+Z1597</f>
        <v>300</v>
      </c>
    </row>
    <row r="1598" spans="1:27" s="6" customFormat="1" ht="36.75" x14ac:dyDescent="0.25">
      <c r="A1598" s="22" t="s">
        <v>619</v>
      </c>
      <c r="B1598" s="23" t="s">
        <v>428</v>
      </c>
      <c r="C1598" s="23" t="s">
        <v>637</v>
      </c>
      <c r="D1598" s="23" t="s">
        <v>2</v>
      </c>
      <c r="E1598" s="24">
        <f>E1599</f>
        <v>483</v>
      </c>
      <c r="F1598" s="24">
        <f>F1599</f>
        <v>0</v>
      </c>
      <c r="G1598" s="24">
        <f t="shared" si="390"/>
        <v>483</v>
      </c>
      <c r="H1598" s="24">
        <f>H1599</f>
        <v>0</v>
      </c>
      <c r="I1598" s="24">
        <f t="shared" si="411"/>
        <v>483</v>
      </c>
      <c r="J1598" s="24">
        <f>J1599</f>
        <v>0</v>
      </c>
      <c r="K1598" s="24">
        <f t="shared" si="412"/>
        <v>483</v>
      </c>
      <c r="L1598" s="24">
        <f>L1599</f>
        <v>-300</v>
      </c>
      <c r="M1598" s="24">
        <f t="shared" si="413"/>
        <v>183</v>
      </c>
      <c r="N1598" s="24">
        <f>N1599</f>
        <v>0</v>
      </c>
      <c r="O1598" s="24">
        <f t="shared" si="414"/>
        <v>183</v>
      </c>
      <c r="P1598" s="24">
        <f>P1599</f>
        <v>0</v>
      </c>
      <c r="Q1598" s="24">
        <f t="shared" si="408"/>
        <v>183</v>
      </c>
      <c r="R1598" s="24">
        <f>R1599</f>
        <v>0</v>
      </c>
      <c r="S1598" s="24">
        <f t="shared" si="388"/>
        <v>183</v>
      </c>
      <c r="T1598" s="24">
        <f>T1599</f>
        <v>0</v>
      </c>
      <c r="U1598" s="24">
        <f t="shared" si="406"/>
        <v>183</v>
      </c>
      <c r="V1598" s="24">
        <f>V1599</f>
        <v>0</v>
      </c>
      <c r="W1598" s="24">
        <f t="shared" si="369"/>
        <v>183</v>
      </c>
      <c r="X1598" s="24">
        <f>X1599</f>
        <v>-50</v>
      </c>
      <c r="Y1598" s="24">
        <f t="shared" si="399"/>
        <v>133</v>
      </c>
      <c r="Z1598" s="189"/>
    </row>
    <row r="1599" spans="1:27" s="6" customFormat="1" x14ac:dyDescent="0.25">
      <c r="A1599" s="25" t="s">
        <v>574</v>
      </c>
      <c r="B1599" s="26" t="s">
        <v>428</v>
      </c>
      <c r="C1599" s="26" t="s">
        <v>637</v>
      </c>
      <c r="D1599" s="26" t="s">
        <v>81</v>
      </c>
      <c r="E1599" s="27">
        <v>483</v>
      </c>
      <c r="F1599" s="27"/>
      <c r="G1599" s="24">
        <f t="shared" si="390"/>
        <v>483</v>
      </c>
      <c r="H1599" s="27"/>
      <c r="I1599" s="24">
        <f t="shared" si="411"/>
        <v>483</v>
      </c>
      <c r="J1599" s="27"/>
      <c r="K1599" s="24">
        <f t="shared" si="412"/>
        <v>483</v>
      </c>
      <c r="L1599" s="39">
        <v>-300</v>
      </c>
      <c r="M1599" s="24">
        <f t="shared" si="413"/>
        <v>183</v>
      </c>
      <c r="N1599" s="69"/>
      <c r="O1599" s="24">
        <f t="shared" si="414"/>
        <v>183</v>
      </c>
      <c r="P1599" s="69"/>
      <c r="Q1599" s="24">
        <f t="shared" si="408"/>
        <v>183</v>
      </c>
      <c r="R1599" s="69"/>
      <c r="S1599" s="24">
        <f t="shared" si="388"/>
        <v>183</v>
      </c>
      <c r="T1599" s="69"/>
      <c r="U1599" s="24">
        <f t="shared" si="406"/>
        <v>183</v>
      </c>
      <c r="V1599" s="69"/>
      <c r="W1599" s="24">
        <f t="shared" si="369"/>
        <v>183</v>
      </c>
      <c r="X1599" s="39">
        <v>-50</v>
      </c>
      <c r="Y1599" s="24">
        <f t="shared" si="399"/>
        <v>133</v>
      </c>
      <c r="Z1599" s="189"/>
      <c r="AA1599" s="189">
        <f>Y1599+Z1599</f>
        <v>133</v>
      </c>
    </row>
    <row r="1600" spans="1:27" s="6" customFormat="1" x14ac:dyDescent="0.25">
      <c r="A1600" s="22" t="s">
        <v>49</v>
      </c>
      <c r="B1600" s="23" t="s">
        <v>428</v>
      </c>
      <c r="C1600" s="23" t="s">
        <v>436</v>
      </c>
      <c r="D1600" s="23" t="s">
        <v>2</v>
      </c>
      <c r="E1600" s="24">
        <f>E1601</f>
        <v>229</v>
      </c>
      <c r="F1600" s="24">
        <f>F1601</f>
        <v>0</v>
      </c>
      <c r="G1600" s="24">
        <f t="shared" si="390"/>
        <v>229</v>
      </c>
      <c r="H1600" s="24">
        <f>H1601</f>
        <v>0</v>
      </c>
      <c r="I1600" s="24">
        <f t="shared" si="411"/>
        <v>229</v>
      </c>
      <c r="J1600" s="24">
        <f>J1601</f>
        <v>0</v>
      </c>
      <c r="K1600" s="24">
        <f t="shared" si="412"/>
        <v>229</v>
      </c>
      <c r="L1600" s="24">
        <f>L1601</f>
        <v>0</v>
      </c>
      <c r="M1600" s="24">
        <f t="shared" si="413"/>
        <v>229</v>
      </c>
      <c r="N1600" s="24">
        <f>N1601</f>
        <v>0</v>
      </c>
      <c r="O1600" s="24">
        <f t="shared" si="414"/>
        <v>229</v>
      </c>
      <c r="P1600" s="24">
        <f>P1601</f>
        <v>0</v>
      </c>
      <c r="Q1600" s="24">
        <f t="shared" si="408"/>
        <v>229</v>
      </c>
      <c r="R1600" s="24">
        <f>R1601</f>
        <v>0</v>
      </c>
      <c r="S1600" s="24">
        <f t="shared" si="388"/>
        <v>229</v>
      </c>
      <c r="T1600" s="24">
        <f>T1601</f>
        <v>0</v>
      </c>
      <c r="U1600" s="24">
        <f t="shared" si="406"/>
        <v>229</v>
      </c>
      <c r="V1600" s="24">
        <f>V1601</f>
        <v>0</v>
      </c>
      <c r="W1600" s="24">
        <f t="shared" si="369"/>
        <v>229</v>
      </c>
      <c r="X1600" s="24">
        <f>X1601</f>
        <v>0</v>
      </c>
      <c r="Y1600" s="24">
        <f t="shared" si="399"/>
        <v>229</v>
      </c>
      <c r="Z1600" s="189"/>
    </row>
    <row r="1601" spans="1:27" x14ac:dyDescent="0.25">
      <c r="A1601" s="25" t="s">
        <v>574</v>
      </c>
      <c r="B1601" s="26" t="s">
        <v>428</v>
      </c>
      <c r="C1601" s="26" t="s">
        <v>436</v>
      </c>
      <c r="D1601" s="26" t="s">
        <v>81</v>
      </c>
      <c r="E1601" s="27">
        <v>229</v>
      </c>
      <c r="F1601" s="27"/>
      <c r="G1601" s="24">
        <f t="shared" ref="G1601:G1707" si="415">E1601+F1601</f>
        <v>229</v>
      </c>
      <c r="H1601" s="27"/>
      <c r="I1601" s="24">
        <f t="shared" si="411"/>
        <v>229</v>
      </c>
      <c r="J1601" s="27"/>
      <c r="K1601" s="24">
        <f t="shared" si="412"/>
        <v>229</v>
      </c>
      <c r="L1601" s="27"/>
      <c r="M1601" s="24">
        <f t="shared" si="413"/>
        <v>229</v>
      </c>
      <c r="N1601" s="27"/>
      <c r="O1601" s="24">
        <f t="shared" si="414"/>
        <v>229</v>
      </c>
      <c r="P1601" s="27"/>
      <c r="Q1601" s="24">
        <f t="shared" si="408"/>
        <v>229</v>
      </c>
      <c r="R1601" s="27"/>
      <c r="S1601" s="24">
        <f t="shared" si="388"/>
        <v>229</v>
      </c>
      <c r="T1601" s="69"/>
      <c r="U1601" s="24">
        <f t="shared" si="406"/>
        <v>229</v>
      </c>
      <c r="V1601" s="69"/>
      <c r="W1601" s="24">
        <f t="shared" si="369"/>
        <v>229</v>
      </c>
      <c r="X1601" s="69"/>
      <c r="Y1601" s="24">
        <f t="shared" si="399"/>
        <v>229</v>
      </c>
      <c r="AA1601" s="189">
        <f>Y1601+Z1601</f>
        <v>229</v>
      </c>
    </row>
    <row r="1602" spans="1:27" ht="36.75" x14ac:dyDescent="0.25">
      <c r="A1602" s="22" t="s">
        <v>37</v>
      </c>
      <c r="B1602" s="23" t="s">
        <v>428</v>
      </c>
      <c r="C1602" s="23" t="s">
        <v>435</v>
      </c>
      <c r="D1602" s="23" t="s">
        <v>2</v>
      </c>
      <c r="E1602" s="24">
        <f>E1603+E1604</f>
        <v>104018.9</v>
      </c>
      <c r="F1602" s="24">
        <f>F1603+F1604</f>
        <v>0</v>
      </c>
      <c r="G1602" s="24">
        <f t="shared" si="415"/>
        <v>104018.9</v>
      </c>
      <c r="H1602" s="24">
        <f>H1603+H1604</f>
        <v>0</v>
      </c>
      <c r="I1602" s="24">
        <f t="shared" si="411"/>
        <v>104018.9</v>
      </c>
      <c r="J1602" s="24">
        <f>J1603+J1604</f>
        <v>-3215.2</v>
      </c>
      <c r="K1602" s="24">
        <f t="shared" si="412"/>
        <v>100803.7</v>
      </c>
      <c r="L1602" s="24">
        <f>L1603+L1604</f>
        <v>-3710.5000000000009</v>
      </c>
      <c r="M1602" s="24">
        <f t="shared" si="413"/>
        <v>97093.2</v>
      </c>
      <c r="N1602" s="24">
        <f>N1603+N1604</f>
        <v>3082.7</v>
      </c>
      <c r="O1602" s="24">
        <f t="shared" si="414"/>
        <v>100175.9</v>
      </c>
      <c r="P1602" s="24">
        <f>P1603+P1604</f>
        <v>-219</v>
      </c>
      <c r="Q1602" s="24">
        <f t="shared" si="408"/>
        <v>99956.9</v>
      </c>
      <c r="R1602" s="24">
        <f>R1603+R1604</f>
        <v>2104</v>
      </c>
      <c r="S1602" s="24">
        <f t="shared" si="388"/>
        <v>102060.9</v>
      </c>
      <c r="T1602" s="24">
        <f>T1603+T1604</f>
        <v>6.5</v>
      </c>
      <c r="U1602" s="24">
        <f t="shared" si="406"/>
        <v>102067.4</v>
      </c>
      <c r="V1602" s="24">
        <f>V1603+V1604</f>
        <v>4625</v>
      </c>
      <c r="W1602" s="24">
        <f t="shared" si="369"/>
        <v>106692.4</v>
      </c>
      <c r="X1602" s="24">
        <f>X1603+X1604</f>
        <v>-3354.1</v>
      </c>
      <c r="Y1602" s="24">
        <f t="shared" si="399"/>
        <v>103338.29999999999</v>
      </c>
    </row>
    <row r="1603" spans="1:27" ht="36.75" x14ac:dyDescent="0.25">
      <c r="A1603" s="25" t="s">
        <v>573</v>
      </c>
      <c r="B1603" s="26" t="s">
        <v>428</v>
      </c>
      <c r="C1603" s="26" t="s">
        <v>435</v>
      </c>
      <c r="D1603" s="26" t="s">
        <v>83</v>
      </c>
      <c r="E1603" s="27">
        <f>101808.9-30-3080.8</f>
        <v>98698.099999999991</v>
      </c>
      <c r="F1603" s="27"/>
      <c r="G1603" s="24">
        <f t="shared" si="415"/>
        <v>98698.099999999991</v>
      </c>
      <c r="H1603" s="27"/>
      <c r="I1603" s="24">
        <f t="shared" si="411"/>
        <v>98698.099999999991</v>
      </c>
      <c r="J1603" s="63">
        <v>-1215.2</v>
      </c>
      <c r="K1603" s="24">
        <f t="shared" si="412"/>
        <v>97482.9</v>
      </c>
      <c r="L1603" s="39">
        <f>-1.1-5186.6</f>
        <v>-5187.7000000000007</v>
      </c>
      <c r="M1603" s="24">
        <f t="shared" si="413"/>
        <v>92295.2</v>
      </c>
      <c r="N1603" s="63">
        <v>3082.7</v>
      </c>
      <c r="O1603" s="24">
        <f t="shared" si="414"/>
        <v>95377.9</v>
      </c>
      <c r="P1603" s="94">
        <v>-219</v>
      </c>
      <c r="Q1603" s="24">
        <f t="shared" si="408"/>
        <v>95158.9</v>
      </c>
      <c r="R1603" s="39">
        <v>2104</v>
      </c>
      <c r="S1603" s="24">
        <f t="shared" si="388"/>
        <v>97262.9</v>
      </c>
      <c r="T1603" s="69"/>
      <c r="U1603" s="24">
        <f t="shared" si="406"/>
        <v>97262.9</v>
      </c>
      <c r="V1603" s="94">
        <v>4723.1000000000004</v>
      </c>
      <c r="W1603" s="24">
        <f t="shared" si="369"/>
        <v>101986</v>
      </c>
      <c r="X1603" s="39">
        <v>-3354.1</v>
      </c>
      <c r="Y1603" s="24">
        <f t="shared" si="399"/>
        <v>98631.9</v>
      </c>
      <c r="Z1603" s="61">
        <v>-3354.1</v>
      </c>
      <c r="AA1603" s="189">
        <f t="shared" ref="AA1603:AA1604" si="416">Y1603+Z1603</f>
        <v>95277.799999999988</v>
      </c>
    </row>
    <row r="1604" spans="1:27" s="6" customFormat="1" x14ac:dyDescent="0.25">
      <c r="A1604" s="25" t="s">
        <v>574</v>
      </c>
      <c r="B1604" s="26" t="s">
        <v>428</v>
      </c>
      <c r="C1604" s="26" t="s">
        <v>435</v>
      </c>
      <c r="D1604" s="26" t="s">
        <v>81</v>
      </c>
      <c r="E1604" s="27">
        <f>2240+3080.8</f>
        <v>5320.8</v>
      </c>
      <c r="F1604" s="68"/>
      <c r="G1604" s="24">
        <f t="shared" si="415"/>
        <v>5320.8</v>
      </c>
      <c r="H1604" s="68"/>
      <c r="I1604" s="24">
        <f t="shared" si="411"/>
        <v>5320.8</v>
      </c>
      <c r="J1604" s="90">
        <v>-2000</v>
      </c>
      <c r="K1604" s="24">
        <f t="shared" si="412"/>
        <v>3320.8</v>
      </c>
      <c r="L1604" s="108">
        <v>1477.2</v>
      </c>
      <c r="M1604" s="24">
        <f t="shared" si="413"/>
        <v>4798</v>
      </c>
      <c r="N1604" s="84"/>
      <c r="O1604" s="24">
        <f t="shared" si="414"/>
        <v>4798</v>
      </c>
      <c r="P1604" s="84"/>
      <c r="Q1604" s="24">
        <f t="shared" si="408"/>
        <v>4798</v>
      </c>
      <c r="R1604" s="84"/>
      <c r="S1604" s="24">
        <f t="shared" si="388"/>
        <v>4798</v>
      </c>
      <c r="T1604" s="91">
        <v>6.5</v>
      </c>
      <c r="U1604" s="24">
        <f t="shared" si="406"/>
        <v>4804.5</v>
      </c>
      <c r="V1604" s="102">
        <v>-98.1</v>
      </c>
      <c r="W1604" s="24">
        <f t="shared" si="369"/>
        <v>4706.3999999999996</v>
      </c>
      <c r="X1604" s="84"/>
      <c r="Y1604" s="24">
        <f t="shared" si="399"/>
        <v>4706.3999999999996</v>
      </c>
      <c r="Z1604" s="189"/>
      <c r="AA1604" s="189">
        <f t="shared" si="416"/>
        <v>4706.3999999999996</v>
      </c>
    </row>
    <row r="1605" spans="1:27" ht="36.75" x14ac:dyDescent="0.25">
      <c r="A1605" s="22" t="s">
        <v>437</v>
      </c>
      <c r="B1605" s="23" t="s">
        <v>428</v>
      </c>
      <c r="C1605" s="23" t="s">
        <v>438</v>
      </c>
      <c r="D1605" s="23" t="s">
        <v>2</v>
      </c>
      <c r="E1605" s="24">
        <f>E1606</f>
        <v>11129</v>
      </c>
      <c r="F1605" s="24">
        <f>F1606</f>
        <v>0</v>
      </c>
      <c r="G1605" s="24">
        <f t="shared" si="415"/>
        <v>11129</v>
      </c>
      <c r="H1605" s="24">
        <f>H1606</f>
        <v>0</v>
      </c>
      <c r="I1605" s="24">
        <f t="shared" si="411"/>
        <v>11129</v>
      </c>
      <c r="J1605" s="24">
        <f>J1606</f>
        <v>0</v>
      </c>
      <c r="K1605" s="24">
        <f t="shared" si="412"/>
        <v>11129</v>
      </c>
      <c r="L1605" s="24">
        <f>L1606</f>
        <v>1841.1</v>
      </c>
      <c r="M1605" s="24">
        <f t="shared" si="413"/>
        <v>12970.1</v>
      </c>
      <c r="N1605" s="24">
        <f>N1606</f>
        <v>-1841.1</v>
      </c>
      <c r="O1605" s="24">
        <f t="shared" si="414"/>
        <v>11129</v>
      </c>
      <c r="P1605" s="24">
        <f>P1606</f>
        <v>0</v>
      </c>
      <c r="Q1605" s="24">
        <f t="shared" si="408"/>
        <v>11129</v>
      </c>
      <c r="R1605" s="24">
        <f>R1606</f>
        <v>0</v>
      </c>
      <c r="S1605" s="24">
        <f t="shared" si="388"/>
        <v>11129</v>
      </c>
      <c r="T1605" s="24">
        <f>T1606</f>
        <v>0</v>
      </c>
      <c r="U1605" s="24">
        <f t="shared" si="406"/>
        <v>11129</v>
      </c>
      <c r="V1605" s="24">
        <f>V1606</f>
        <v>1045.0999999999999</v>
      </c>
      <c r="W1605" s="24">
        <f t="shared" si="369"/>
        <v>12174.1</v>
      </c>
      <c r="X1605" s="24">
        <f>X1606</f>
        <v>1039.0999999999999</v>
      </c>
      <c r="Y1605" s="24">
        <f t="shared" si="399"/>
        <v>13213.2</v>
      </c>
    </row>
    <row r="1606" spans="1:27" s="6" customFormat="1" ht="36.75" x14ac:dyDescent="0.25">
      <c r="A1606" s="25" t="s">
        <v>573</v>
      </c>
      <c r="B1606" s="26" t="s">
        <v>428</v>
      </c>
      <c r="C1606" s="26" t="s">
        <v>438</v>
      </c>
      <c r="D1606" s="26" t="s">
        <v>83</v>
      </c>
      <c r="E1606" s="27">
        <v>11129</v>
      </c>
      <c r="F1606" s="27"/>
      <c r="G1606" s="24">
        <f t="shared" si="415"/>
        <v>11129</v>
      </c>
      <c r="H1606" s="27"/>
      <c r="I1606" s="24">
        <f t="shared" si="411"/>
        <v>11129</v>
      </c>
      <c r="J1606" s="27"/>
      <c r="K1606" s="24">
        <f t="shared" si="412"/>
        <v>11129</v>
      </c>
      <c r="L1606" s="39">
        <v>1841.1</v>
      </c>
      <c r="M1606" s="24">
        <f t="shared" si="413"/>
        <v>12970.1</v>
      </c>
      <c r="N1606" s="63">
        <v>-1841.1</v>
      </c>
      <c r="O1606" s="24">
        <f t="shared" si="414"/>
        <v>11129</v>
      </c>
      <c r="P1606" s="69"/>
      <c r="Q1606" s="24">
        <f t="shared" si="408"/>
        <v>11129</v>
      </c>
      <c r="R1606" s="69"/>
      <c r="S1606" s="24">
        <f t="shared" si="388"/>
        <v>11129</v>
      </c>
      <c r="T1606" s="69"/>
      <c r="U1606" s="24">
        <f t="shared" si="406"/>
        <v>11129</v>
      </c>
      <c r="V1606" s="39">
        <v>1045.0999999999999</v>
      </c>
      <c r="W1606" s="24">
        <f t="shared" si="369"/>
        <v>12174.1</v>
      </c>
      <c r="X1606" s="39">
        <v>1039.0999999999999</v>
      </c>
      <c r="Y1606" s="24">
        <f t="shared" si="399"/>
        <v>13213.2</v>
      </c>
      <c r="Z1606" s="189">
        <v>1039.0999999999999</v>
      </c>
      <c r="AA1606" s="189">
        <f>Y1606+Z1606</f>
        <v>14252.300000000001</v>
      </c>
    </row>
    <row r="1607" spans="1:27" ht="36.75" x14ac:dyDescent="0.25">
      <c r="A1607" s="22" t="s">
        <v>439</v>
      </c>
      <c r="B1607" s="23" t="s">
        <v>428</v>
      </c>
      <c r="C1607" s="23" t="s">
        <v>440</v>
      </c>
      <c r="D1607" s="23" t="s">
        <v>2</v>
      </c>
      <c r="E1607" s="24">
        <f>E1608</f>
        <v>390</v>
      </c>
      <c r="F1607" s="24">
        <f>F1608</f>
        <v>0</v>
      </c>
      <c r="G1607" s="24">
        <f t="shared" si="415"/>
        <v>390</v>
      </c>
      <c r="H1607" s="24">
        <f>H1608</f>
        <v>0</v>
      </c>
      <c r="I1607" s="24">
        <f t="shared" si="411"/>
        <v>390</v>
      </c>
      <c r="J1607" s="24">
        <f>J1608</f>
        <v>0</v>
      </c>
      <c r="K1607" s="24">
        <f t="shared" si="412"/>
        <v>390</v>
      </c>
      <c r="L1607" s="24">
        <f>L1608</f>
        <v>-170</v>
      </c>
      <c r="M1607" s="24">
        <f t="shared" si="413"/>
        <v>220</v>
      </c>
      <c r="N1607" s="24">
        <f>N1608</f>
        <v>170</v>
      </c>
      <c r="O1607" s="24">
        <f t="shared" si="414"/>
        <v>390</v>
      </c>
      <c r="P1607" s="24">
        <f>P1608</f>
        <v>0</v>
      </c>
      <c r="Q1607" s="24">
        <f t="shared" si="408"/>
        <v>390</v>
      </c>
      <c r="R1607" s="24">
        <f>R1608</f>
        <v>0</v>
      </c>
      <c r="S1607" s="24">
        <f t="shared" si="388"/>
        <v>390</v>
      </c>
      <c r="T1607" s="24">
        <f>T1608</f>
        <v>0</v>
      </c>
      <c r="U1607" s="24">
        <f t="shared" si="406"/>
        <v>390</v>
      </c>
      <c r="V1607" s="24">
        <f>V1608</f>
        <v>0</v>
      </c>
      <c r="W1607" s="24">
        <f t="shared" si="369"/>
        <v>390</v>
      </c>
      <c r="X1607" s="24">
        <f>X1608</f>
        <v>0</v>
      </c>
      <c r="Y1607" s="24">
        <f t="shared" si="399"/>
        <v>390</v>
      </c>
    </row>
    <row r="1608" spans="1:27" ht="36.75" x14ac:dyDescent="0.25">
      <c r="A1608" s="25" t="s">
        <v>573</v>
      </c>
      <c r="B1608" s="26" t="s">
        <v>428</v>
      </c>
      <c r="C1608" s="26" t="s">
        <v>440</v>
      </c>
      <c r="D1608" s="26" t="s">
        <v>83</v>
      </c>
      <c r="E1608" s="27">
        <v>390</v>
      </c>
      <c r="F1608" s="27"/>
      <c r="G1608" s="24">
        <f t="shared" si="415"/>
        <v>390</v>
      </c>
      <c r="H1608" s="27"/>
      <c r="I1608" s="24">
        <f t="shared" si="411"/>
        <v>390</v>
      </c>
      <c r="J1608" s="27"/>
      <c r="K1608" s="24">
        <f t="shared" si="412"/>
        <v>390</v>
      </c>
      <c r="L1608" s="39">
        <v>-170</v>
      </c>
      <c r="M1608" s="24">
        <f t="shared" si="413"/>
        <v>220</v>
      </c>
      <c r="N1608" s="63">
        <v>170</v>
      </c>
      <c r="O1608" s="24">
        <f t="shared" si="414"/>
        <v>390</v>
      </c>
      <c r="P1608" s="69"/>
      <c r="Q1608" s="24">
        <f t="shared" si="408"/>
        <v>390</v>
      </c>
      <c r="R1608" s="69"/>
      <c r="S1608" s="24">
        <f t="shared" si="388"/>
        <v>390</v>
      </c>
      <c r="T1608" s="69"/>
      <c r="U1608" s="24">
        <f t="shared" si="406"/>
        <v>390</v>
      </c>
      <c r="V1608" s="69"/>
      <c r="W1608" s="24">
        <f t="shared" si="369"/>
        <v>390</v>
      </c>
      <c r="X1608" s="69"/>
      <c r="Y1608" s="24">
        <f t="shared" si="399"/>
        <v>390</v>
      </c>
      <c r="AA1608" s="189">
        <f>Y1608+Z1608</f>
        <v>390</v>
      </c>
    </row>
    <row r="1609" spans="1:27" s="6" customFormat="1" ht="28.5" customHeight="1" x14ac:dyDescent="0.25">
      <c r="A1609" s="44" t="s">
        <v>675</v>
      </c>
      <c r="B1609" s="20" t="s">
        <v>428</v>
      </c>
      <c r="C1609" s="41" t="s">
        <v>676</v>
      </c>
      <c r="D1609" s="42" t="s">
        <v>2</v>
      </c>
      <c r="E1609" s="27"/>
      <c r="F1609" s="18">
        <f>F1610</f>
        <v>1500</v>
      </c>
      <c r="G1609" s="24">
        <f t="shared" si="415"/>
        <v>1500</v>
      </c>
      <c r="H1609" s="18">
        <f>H1610</f>
        <v>0</v>
      </c>
      <c r="I1609" s="24">
        <f t="shared" si="411"/>
        <v>1500</v>
      </c>
      <c r="J1609" s="18">
        <f>J1610+J1611</f>
        <v>15.2</v>
      </c>
      <c r="K1609" s="24">
        <f t="shared" si="412"/>
        <v>1515.2</v>
      </c>
      <c r="L1609" s="18">
        <f>L1610+L1611</f>
        <v>0</v>
      </c>
      <c r="M1609" s="24">
        <f t="shared" si="413"/>
        <v>1515.2</v>
      </c>
      <c r="N1609" s="18">
        <f>N1610+N1611</f>
        <v>0</v>
      </c>
      <c r="O1609" s="24">
        <f t="shared" si="414"/>
        <v>1515.2</v>
      </c>
      <c r="P1609" s="18">
        <f>P1610+P1611</f>
        <v>0</v>
      </c>
      <c r="Q1609" s="24">
        <f t="shared" si="408"/>
        <v>1515.2</v>
      </c>
      <c r="R1609" s="18">
        <f>R1610+R1611</f>
        <v>0</v>
      </c>
      <c r="S1609" s="24">
        <f t="shared" si="388"/>
        <v>1515.2</v>
      </c>
      <c r="T1609" s="18">
        <f>T1610+T1611</f>
        <v>0</v>
      </c>
      <c r="U1609" s="24">
        <f t="shared" si="406"/>
        <v>1515.2</v>
      </c>
      <c r="V1609" s="18">
        <f>V1610+V1611</f>
        <v>0</v>
      </c>
      <c r="W1609" s="24">
        <f t="shared" si="369"/>
        <v>1515.2</v>
      </c>
      <c r="X1609" s="18">
        <f>X1610+X1611</f>
        <v>0</v>
      </c>
      <c r="Y1609" s="24">
        <f t="shared" si="399"/>
        <v>1515.2</v>
      </c>
      <c r="Z1609" s="189"/>
    </row>
    <row r="1610" spans="1:27" x14ac:dyDescent="0.25">
      <c r="A1610" s="60" t="s">
        <v>574</v>
      </c>
      <c r="B1610" s="21" t="s">
        <v>428</v>
      </c>
      <c r="C1610" s="42" t="s">
        <v>676</v>
      </c>
      <c r="D1610" s="42" t="s">
        <v>81</v>
      </c>
      <c r="E1610" s="27"/>
      <c r="F1610" s="43">
        <v>1500</v>
      </c>
      <c r="G1610" s="24">
        <f t="shared" si="415"/>
        <v>1500</v>
      </c>
      <c r="H1610" s="69"/>
      <c r="I1610" s="24">
        <f t="shared" si="411"/>
        <v>1500</v>
      </c>
      <c r="J1610" s="69"/>
      <c r="K1610" s="24">
        <f t="shared" si="412"/>
        <v>1500</v>
      </c>
      <c r="L1610" s="69"/>
      <c r="M1610" s="24">
        <f t="shared" si="413"/>
        <v>1500</v>
      </c>
      <c r="N1610" s="69"/>
      <c r="O1610" s="24">
        <f t="shared" si="414"/>
        <v>1500</v>
      </c>
      <c r="P1610" s="69"/>
      <c r="Q1610" s="24">
        <f t="shared" si="408"/>
        <v>1500</v>
      </c>
      <c r="R1610" s="69"/>
      <c r="S1610" s="24">
        <f t="shared" si="388"/>
        <v>1500</v>
      </c>
      <c r="T1610" s="69"/>
      <c r="U1610" s="24">
        <f t="shared" si="406"/>
        <v>1500</v>
      </c>
      <c r="V1610" s="69"/>
      <c r="W1610" s="24">
        <f t="shared" si="369"/>
        <v>1500</v>
      </c>
      <c r="X1610" s="69"/>
      <c r="Y1610" s="24">
        <f t="shared" si="399"/>
        <v>1500</v>
      </c>
      <c r="AA1610" s="189">
        <f t="shared" ref="AA1610:AA1611" si="417">Y1610+Z1610</f>
        <v>1500</v>
      </c>
    </row>
    <row r="1611" spans="1:27" s="6" customFormat="1" x14ac:dyDescent="0.25">
      <c r="A1611" s="60" t="s">
        <v>574</v>
      </c>
      <c r="B1611" s="21" t="s">
        <v>428</v>
      </c>
      <c r="C1611" s="42" t="s">
        <v>676</v>
      </c>
      <c r="D1611" s="42" t="s">
        <v>81</v>
      </c>
      <c r="E1611" s="27"/>
      <c r="F1611" s="43"/>
      <c r="G1611" s="24"/>
      <c r="H1611" s="69"/>
      <c r="I1611" s="24"/>
      <c r="J1611" s="39">
        <v>15.2</v>
      </c>
      <c r="K1611" s="87">
        <f t="shared" si="412"/>
        <v>15.2</v>
      </c>
      <c r="L1611" s="39"/>
      <c r="M1611" s="87">
        <f t="shared" si="413"/>
        <v>15.2</v>
      </c>
      <c r="N1611" s="39"/>
      <c r="O1611" s="87">
        <f t="shared" si="414"/>
        <v>15.2</v>
      </c>
      <c r="P1611" s="39"/>
      <c r="Q1611" s="87">
        <f t="shared" si="408"/>
        <v>15.2</v>
      </c>
      <c r="R1611" s="39"/>
      <c r="S1611" s="87">
        <f t="shared" si="388"/>
        <v>15.2</v>
      </c>
      <c r="T1611" s="69"/>
      <c r="U1611" s="87">
        <f t="shared" si="406"/>
        <v>15.2</v>
      </c>
      <c r="V1611" s="69"/>
      <c r="W1611" s="87">
        <f t="shared" si="369"/>
        <v>15.2</v>
      </c>
      <c r="X1611" s="69"/>
      <c r="Y1611" s="87">
        <f t="shared" si="399"/>
        <v>15.2</v>
      </c>
      <c r="Z1611" s="189"/>
      <c r="AA1611" s="189">
        <f t="shared" si="417"/>
        <v>15.2</v>
      </c>
    </row>
    <row r="1612" spans="1:27" x14ac:dyDescent="0.25">
      <c r="A1612" s="22" t="s">
        <v>441</v>
      </c>
      <c r="B1612" s="23" t="s">
        <v>428</v>
      </c>
      <c r="C1612" s="23" t="s">
        <v>442</v>
      </c>
      <c r="D1612" s="23" t="s">
        <v>2</v>
      </c>
      <c r="E1612" s="24">
        <f>E1617+E1619</f>
        <v>8119.9</v>
      </c>
      <c r="F1612" s="24">
        <f>F1617+F1619+F1613</f>
        <v>13</v>
      </c>
      <c r="G1612" s="24">
        <f t="shared" si="415"/>
        <v>8132.9</v>
      </c>
      <c r="H1612" s="24">
        <f>H1617+H1619+H1613</f>
        <v>0</v>
      </c>
      <c r="I1612" s="24">
        <f t="shared" si="411"/>
        <v>8132.9</v>
      </c>
      <c r="J1612" s="24">
        <f>J1617+J1619+J1613</f>
        <v>0</v>
      </c>
      <c r="K1612" s="24">
        <f t="shared" si="412"/>
        <v>8132.9</v>
      </c>
      <c r="L1612" s="24">
        <f>L1617+L1619+L1613+L1615</f>
        <v>145.9</v>
      </c>
      <c r="M1612" s="24">
        <f t="shared" si="413"/>
        <v>8278.7999999999993</v>
      </c>
      <c r="N1612" s="24">
        <f>N1617+N1619+N1613+N1615</f>
        <v>0</v>
      </c>
      <c r="O1612" s="24">
        <f t="shared" si="414"/>
        <v>8278.7999999999993</v>
      </c>
      <c r="P1612" s="24">
        <f>P1617+P1619+P1613+P1615</f>
        <v>0</v>
      </c>
      <c r="Q1612" s="24">
        <f t="shared" si="408"/>
        <v>8278.7999999999993</v>
      </c>
      <c r="R1612" s="24">
        <f>R1617+R1619+R1613+R1615</f>
        <v>0</v>
      </c>
      <c r="S1612" s="24">
        <f t="shared" si="388"/>
        <v>8278.7999999999993</v>
      </c>
      <c r="T1612" s="24">
        <f>T1617+T1619+T1613+T1615</f>
        <v>6.5</v>
      </c>
      <c r="U1612" s="24">
        <f t="shared" si="406"/>
        <v>8285.2999999999993</v>
      </c>
      <c r="V1612" s="24">
        <f>V1617+V1619+V1613+V1615</f>
        <v>-498.2</v>
      </c>
      <c r="W1612" s="24">
        <f t="shared" si="369"/>
        <v>7787.0999999999995</v>
      </c>
      <c r="X1612" s="24">
        <f>X1617+X1619+X1613+X1615</f>
        <v>0</v>
      </c>
      <c r="Y1612" s="24">
        <f t="shared" si="399"/>
        <v>7787.0999999999995</v>
      </c>
    </row>
    <row r="1613" spans="1:27" hidden="1" x14ac:dyDescent="0.25">
      <c r="A1613" s="16" t="s">
        <v>658</v>
      </c>
      <c r="B1613" s="20" t="s">
        <v>428</v>
      </c>
      <c r="C1613" s="20" t="s">
        <v>659</v>
      </c>
      <c r="D1613" s="20" t="s">
        <v>2</v>
      </c>
      <c r="E1613" s="24"/>
      <c r="F1613" s="18">
        <f>F1614</f>
        <v>13</v>
      </c>
      <c r="G1613" s="24">
        <f t="shared" si="415"/>
        <v>13</v>
      </c>
      <c r="H1613" s="18">
        <f>H1614</f>
        <v>0</v>
      </c>
      <c r="I1613" s="24">
        <f t="shared" si="411"/>
        <v>13</v>
      </c>
      <c r="J1613" s="18">
        <f>J1614</f>
        <v>0</v>
      </c>
      <c r="K1613" s="24">
        <f t="shared" si="412"/>
        <v>13</v>
      </c>
      <c r="L1613" s="18">
        <f>L1614</f>
        <v>-13</v>
      </c>
      <c r="M1613" s="24">
        <f t="shared" si="413"/>
        <v>0</v>
      </c>
      <c r="N1613" s="18">
        <f>N1614</f>
        <v>0</v>
      </c>
      <c r="O1613" s="24">
        <f t="shared" si="414"/>
        <v>0</v>
      </c>
      <c r="P1613" s="18">
        <f>P1614</f>
        <v>0</v>
      </c>
      <c r="Q1613" s="24">
        <f t="shared" si="408"/>
        <v>0</v>
      </c>
      <c r="R1613" s="18">
        <f>R1614</f>
        <v>0</v>
      </c>
      <c r="S1613" s="24">
        <f t="shared" si="388"/>
        <v>0</v>
      </c>
      <c r="T1613" s="18">
        <f>T1614</f>
        <v>0</v>
      </c>
      <c r="U1613" s="24">
        <f t="shared" si="406"/>
        <v>0</v>
      </c>
      <c r="V1613" s="18">
        <f>V1614</f>
        <v>0</v>
      </c>
      <c r="W1613" s="24">
        <f t="shared" si="369"/>
        <v>0</v>
      </c>
      <c r="X1613" s="18">
        <f>X1614</f>
        <v>0</v>
      </c>
      <c r="Y1613" s="24">
        <f t="shared" si="399"/>
        <v>0</v>
      </c>
    </row>
    <row r="1614" spans="1:27" hidden="1" x14ac:dyDescent="0.25">
      <c r="A1614" s="17" t="s">
        <v>574</v>
      </c>
      <c r="B1614" s="21" t="s">
        <v>428</v>
      </c>
      <c r="C1614" s="21" t="s">
        <v>659</v>
      </c>
      <c r="D1614" s="21" t="s">
        <v>81</v>
      </c>
      <c r="E1614" s="24"/>
      <c r="F1614" s="39">
        <v>13</v>
      </c>
      <c r="G1614" s="24">
        <f t="shared" si="415"/>
        <v>13</v>
      </c>
      <c r="H1614" s="69"/>
      <c r="I1614" s="24">
        <f t="shared" si="411"/>
        <v>13</v>
      </c>
      <c r="J1614" s="69"/>
      <c r="K1614" s="24">
        <f t="shared" si="412"/>
        <v>13</v>
      </c>
      <c r="L1614" s="39">
        <v>-13</v>
      </c>
      <c r="M1614" s="24">
        <f t="shared" si="413"/>
        <v>0</v>
      </c>
      <c r="N1614" s="69"/>
      <c r="O1614" s="24">
        <f t="shared" si="414"/>
        <v>0</v>
      </c>
      <c r="P1614" s="69"/>
      <c r="Q1614" s="24">
        <f t="shared" si="408"/>
        <v>0</v>
      </c>
      <c r="R1614" s="69"/>
      <c r="S1614" s="24">
        <f t="shared" si="388"/>
        <v>0</v>
      </c>
      <c r="T1614" s="69"/>
      <c r="U1614" s="24">
        <f t="shared" si="406"/>
        <v>0</v>
      </c>
      <c r="V1614" s="69"/>
      <c r="W1614" s="24">
        <f t="shared" si="369"/>
        <v>0</v>
      </c>
      <c r="X1614" s="69"/>
      <c r="Y1614" s="24">
        <f t="shared" si="399"/>
        <v>0</v>
      </c>
      <c r="AA1614" s="189">
        <f>Y1614+Z1614</f>
        <v>0</v>
      </c>
    </row>
    <row r="1615" spans="1:27" x14ac:dyDescent="0.25">
      <c r="A1615" s="16" t="s">
        <v>811</v>
      </c>
      <c r="B1615" s="20" t="s">
        <v>428</v>
      </c>
      <c r="C1615" s="20" t="s">
        <v>845</v>
      </c>
      <c r="D1615" s="20" t="s">
        <v>2</v>
      </c>
      <c r="E1615" s="24"/>
      <c r="F1615" s="39"/>
      <c r="G1615" s="24"/>
      <c r="H1615" s="69"/>
      <c r="I1615" s="24"/>
      <c r="J1615" s="69"/>
      <c r="K1615" s="24"/>
      <c r="L1615" s="85">
        <f>L1616</f>
        <v>159</v>
      </c>
      <c r="M1615" s="24">
        <f t="shared" si="413"/>
        <v>159</v>
      </c>
      <c r="N1615" s="85">
        <f>N1616</f>
        <v>0</v>
      </c>
      <c r="O1615" s="24">
        <f t="shared" si="414"/>
        <v>159</v>
      </c>
      <c r="P1615" s="85">
        <f>P1616</f>
        <v>0</v>
      </c>
      <c r="Q1615" s="24">
        <f t="shared" si="408"/>
        <v>159</v>
      </c>
      <c r="R1615" s="85">
        <f>R1616</f>
        <v>0</v>
      </c>
      <c r="S1615" s="24">
        <f t="shared" si="388"/>
        <v>159</v>
      </c>
      <c r="T1615" s="85">
        <f>T1616</f>
        <v>0</v>
      </c>
      <c r="U1615" s="24">
        <f t="shared" si="406"/>
        <v>159</v>
      </c>
      <c r="V1615" s="85">
        <f>V1616</f>
        <v>-52.9</v>
      </c>
      <c r="W1615" s="24">
        <f t="shared" si="369"/>
        <v>106.1</v>
      </c>
      <c r="X1615" s="85">
        <f>X1616</f>
        <v>0</v>
      </c>
      <c r="Y1615" s="24">
        <f t="shared" si="399"/>
        <v>106.1</v>
      </c>
    </row>
    <row r="1616" spans="1:27" s="6" customFormat="1" x14ac:dyDescent="0.25">
      <c r="A1616" s="17" t="s">
        <v>574</v>
      </c>
      <c r="B1616" s="21" t="s">
        <v>428</v>
      </c>
      <c r="C1616" s="21" t="s">
        <v>845</v>
      </c>
      <c r="D1616" s="21" t="s">
        <v>81</v>
      </c>
      <c r="E1616" s="24"/>
      <c r="F1616" s="39"/>
      <c r="G1616" s="24"/>
      <c r="H1616" s="69"/>
      <c r="I1616" s="24"/>
      <c r="J1616" s="69"/>
      <c r="K1616" s="24"/>
      <c r="L1616" s="91">
        <v>159</v>
      </c>
      <c r="M1616" s="24">
        <f t="shared" si="413"/>
        <v>159</v>
      </c>
      <c r="N1616" s="84"/>
      <c r="O1616" s="24">
        <f t="shared" si="414"/>
        <v>159</v>
      </c>
      <c r="P1616" s="84"/>
      <c r="Q1616" s="24">
        <f t="shared" si="408"/>
        <v>159</v>
      </c>
      <c r="R1616" s="84"/>
      <c r="S1616" s="24">
        <f t="shared" si="388"/>
        <v>159</v>
      </c>
      <c r="T1616" s="84"/>
      <c r="U1616" s="24">
        <f t="shared" si="406"/>
        <v>159</v>
      </c>
      <c r="V1616" s="102">
        <v>-52.9</v>
      </c>
      <c r="W1616" s="24">
        <f t="shared" si="369"/>
        <v>106.1</v>
      </c>
      <c r="X1616" s="84"/>
      <c r="Y1616" s="24">
        <f t="shared" si="399"/>
        <v>106.1</v>
      </c>
      <c r="Z1616" s="189"/>
      <c r="AA1616" s="189">
        <f>Y1616+Z1616</f>
        <v>106.1</v>
      </c>
    </row>
    <row r="1617" spans="1:27" s="6" customFormat="1" x14ac:dyDescent="0.25">
      <c r="A1617" s="22" t="s">
        <v>49</v>
      </c>
      <c r="B1617" s="23" t="s">
        <v>428</v>
      </c>
      <c r="C1617" s="23" t="s">
        <v>444</v>
      </c>
      <c r="D1617" s="23" t="s">
        <v>2</v>
      </c>
      <c r="E1617" s="24">
        <f>E1618</f>
        <v>22.5</v>
      </c>
      <c r="F1617" s="24">
        <f>F1618</f>
        <v>0</v>
      </c>
      <c r="G1617" s="24">
        <f t="shared" si="415"/>
        <v>22.5</v>
      </c>
      <c r="H1617" s="24">
        <f>H1618</f>
        <v>0</v>
      </c>
      <c r="I1617" s="24">
        <f t="shared" si="411"/>
        <v>22.5</v>
      </c>
      <c r="J1617" s="24">
        <f>J1618</f>
        <v>0</v>
      </c>
      <c r="K1617" s="24">
        <f t="shared" si="412"/>
        <v>22.5</v>
      </c>
      <c r="L1617" s="24">
        <f>L1618</f>
        <v>0</v>
      </c>
      <c r="M1617" s="24">
        <f t="shared" si="413"/>
        <v>22.5</v>
      </c>
      <c r="N1617" s="24">
        <f>N1618</f>
        <v>0</v>
      </c>
      <c r="O1617" s="24">
        <f t="shared" si="414"/>
        <v>22.5</v>
      </c>
      <c r="P1617" s="24">
        <f>P1618</f>
        <v>0</v>
      </c>
      <c r="Q1617" s="24">
        <f t="shared" si="408"/>
        <v>22.5</v>
      </c>
      <c r="R1617" s="24">
        <f>R1618</f>
        <v>0</v>
      </c>
      <c r="S1617" s="24">
        <f t="shared" si="388"/>
        <v>22.5</v>
      </c>
      <c r="T1617" s="24">
        <f>T1618</f>
        <v>0</v>
      </c>
      <c r="U1617" s="24">
        <f t="shared" si="406"/>
        <v>22.5</v>
      </c>
      <c r="V1617" s="24">
        <f>V1618</f>
        <v>0</v>
      </c>
      <c r="W1617" s="24">
        <f t="shared" si="369"/>
        <v>22.5</v>
      </c>
      <c r="X1617" s="24">
        <f>X1618</f>
        <v>0</v>
      </c>
      <c r="Y1617" s="24">
        <f t="shared" si="399"/>
        <v>22.5</v>
      </c>
      <c r="Z1617" s="189"/>
    </row>
    <row r="1618" spans="1:27" s="6" customFormat="1" x14ac:dyDescent="0.25">
      <c r="A1618" s="25" t="s">
        <v>574</v>
      </c>
      <c r="B1618" s="26" t="s">
        <v>428</v>
      </c>
      <c r="C1618" s="26" t="s">
        <v>444</v>
      </c>
      <c r="D1618" s="26" t="s">
        <v>81</v>
      </c>
      <c r="E1618" s="27">
        <v>22.5</v>
      </c>
      <c r="F1618" s="27"/>
      <c r="G1618" s="24">
        <f t="shared" si="415"/>
        <v>22.5</v>
      </c>
      <c r="H1618" s="27"/>
      <c r="I1618" s="24">
        <f t="shared" si="411"/>
        <v>22.5</v>
      </c>
      <c r="J1618" s="27"/>
      <c r="K1618" s="24">
        <f t="shared" si="412"/>
        <v>22.5</v>
      </c>
      <c r="L1618" s="27"/>
      <c r="M1618" s="24">
        <f t="shared" si="413"/>
        <v>22.5</v>
      </c>
      <c r="N1618" s="27"/>
      <c r="O1618" s="24">
        <f t="shared" si="414"/>
        <v>22.5</v>
      </c>
      <c r="P1618" s="27"/>
      <c r="Q1618" s="24">
        <f t="shared" si="408"/>
        <v>22.5</v>
      </c>
      <c r="R1618" s="27"/>
      <c r="S1618" s="24">
        <f t="shared" si="388"/>
        <v>22.5</v>
      </c>
      <c r="T1618" s="69"/>
      <c r="U1618" s="24">
        <f t="shared" si="406"/>
        <v>22.5</v>
      </c>
      <c r="V1618" s="69"/>
      <c r="W1618" s="24">
        <f t="shared" si="369"/>
        <v>22.5</v>
      </c>
      <c r="X1618" s="69"/>
      <c r="Y1618" s="24">
        <f t="shared" si="399"/>
        <v>22.5</v>
      </c>
      <c r="Z1618" s="189"/>
      <c r="AA1618" s="189">
        <f>Y1618+Z1618</f>
        <v>22.5</v>
      </c>
    </row>
    <row r="1619" spans="1:27" s="6" customFormat="1" ht="36.75" x14ac:dyDescent="0.25">
      <c r="A1619" s="22" t="s">
        <v>37</v>
      </c>
      <c r="B1619" s="23" t="s">
        <v>428</v>
      </c>
      <c r="C1619" s="23" t="s">
        <v>443</v>
      </c>
      <c r="D1619" s="23" t="s">
        <v>2</v>
      </c>
      <c r="E1619" s="24">
        <f>E1620</f>
        <v>8097.4</v>
      </c>
      <c r="F1619" s="24">
        <f>F1620</f>
        <v>0</v>
      </c>
      <c r="G1619" s="24">
        <f t="shared" si="415"/>
        <v>8097.4</v>
      </c>
      <c r="H1619" s="24">
        <f>H1620</f>
        <v>0</v>
      </c>
      <c r="I1619" s="24">
        <f t="shared" si="411"/>
        <v>8097.4</v>
      </c>
      <c r="J1619" s="24">
        <f>J1620</f>
        <v>0</v>
      </c>
      <c r="K1619" s="24">
        <f t="shared" si="412"/>
        <v>8097.4</v>
      </c>
      <c r="L1619" s="24">
        <f>L1620</f>
        <v>-0.1</v>
      </c>
      <c r="M1619" s="24">
        <f t="shared" si="413"/>
        <v>8097.2999999999993</v>
      </c>
      <c r="N1619" s="24">
        <f>N1620</f>
        <v>0</v>
      </c>
      <c r="O1619" s="24">
        <f t="shared" si="414"/>
        <v>8097.2999999999993</v>
      </c>
      <c r="P1619" s="24">
        <f>P1620</f>
        <v>0</v>
      </c>
      <c r="Q1619" s="24">
        <f t="shared" si="408"/>
        <v>8097.2999999999993</v>
      </c>
      <c r="R1619" s="24">
        <f>R1620</f>
        <v>0</v>
      </c>
      <c r="S1619" s="24">
        <f t="shared" si="388"/>
        <v>8097.2999999999993</v>
      </c>
      <c r="T1619" s="24">
        <f>T1620+T1621</f>
        <v>6.5</v>
      </c>
      <c r="U1619" s="24">
        <f t="shared" si="406"/>
        <v>8103.7999999999993</v>
      </c>
      <c r="V1619" s="24">
        <f>V1620+V1621</f>
        <v>-445.3</v>
      </c>
      <c r="W1619" s="24">
        <f t="shared" si="369"/>
        <v>7658.4999999999991</v>
      </c>
      <c r="X1619" s="24">
        <f>X1620+X1621</f>
        <v>0</v>
      </c>
      <c r="Y1619" s="24">
        <f t="shared" si="399"/>
        <v>7658.4999999999991</v>
      </c>
      <c r="Z1619" s="189"/>
    </row>
    <row r="1620" spans="1:27" s="6" customFormat="1" ht="36.75" x14ac:dyDescent="0.25">
      <c r="A1620" s="25" t="s">
        <v>573</v>
      </c>
      <c r="B1620" s="26" t="s">
        <v>428</v>
      </c>
      <c r="C1620" s="26" t="s">
        <v>443</v>
      </c>
      <c r="D1620" s="26" t="s">
        <v>83</v>
      </c>
      <c r="E1620" s="27">
        <v>8097.4</v>
      </c>
      <c r="F1620" s="27"/>
      <c r="G1620" s="24">
        <f t="shared" si="415"/>
        <v>8097.4</v>
      </c>
      <c r="H1620" s="27"/>
      <c r="I1620" s="24">
        <f t="shared" si="411"/>
        <v>8097.4</v>
      </c>
      <c r="J1620" s="27"/>
      <c r="K1620" s="24">
        <f t="shared" si="412"/>
        <v>8097.4</v>
      </c>
      <c r="L1620" s="39">
        <f>-0.1</f>
        <v>-0.1</v>
      </c>
      <c r="M1620" s="24">
        <f t="shared" si="413"/>
        <v>8097.2999999999993</v>
      </c>
      <c r="N1620" s="69"/>
      <c r="O1620" s="24">
        <f t="shared" si="414"/>
        <v>8097.2999999999993</v>
      </c>
      <c r="P1620" s="69"/>
      <c r="Q1620" s="24">
        <f t="shared" si="408"/>
        <v>8097.2999999999993</v>
      </c>
      <c r="R1620" s="69"/>
      <c r="S1620" s="24">
        <f t="shared" si="388"/>
        <v>8097.2999999999993</v>
      </c>
      <c r="T1620" s="69"/>
      <c r="U1620" s="24">
        <f t="shared" si="406"/>
        <v>8097.2999999999993</v>
      </c>
      <c r="V1620" s="94">
        <v>-445.3</v>
      </c>
      <c r="W1620" s="24">
        <f t="shared" si="369"/>
        <v>7651.9999999999991</v>
      </c>
      <c r="X1620" s="69"/>
      <c r="Y1620" s="24">
        <f t="shared" si="399"/>
        <v>7651.9999999999991</v>
      </c>
      <c r="Z1620" s="189"/>
      <c r="AA1620" s="189">
        <f t="shared" ref="AA1620:AA1621" si="418">Y1620+Z1620</f>
        <v>7651.9999999999991</v>
      </c>
    </row>
    <row r="1621" spans="1:27" s="6" customFormat="1" x14ac:dyDescent="0.25">
      <c r="A1621" s="25" t="s">
        <v>574</v>
      </c>
      <c r="B1621" s="26" t="s">
        <v>428</v>
      </c>
      <c r="C1621" s="26" t="s">
        <v>443</v>
      </c>
      <c r="D1621" s="26" t="s">
        <v>81</v>
      </c>
      <c r="E1621" s="27"/>
      <c r="F1621" s="27"/>
      <c r="G1621" s="24"/>
      <c r="H1621" s="27"/>
      <c r="I1621" s="24"/>
      <c r="J1621" s="27"/>
      <c r="K1621" s="24"/>
      <c r="L1621" s="39"/>
      <c r="M1621" s="24"/>
      <c r="N1621" s="69"/>
      <c r="O1621" s="24"/>
      <c r="P1621" s="69"/>
      <c r="Q1621" s="24"/>
      <c r="R1621" s="69"/>
      <c r="S1621" s="24"/>
      <c r="T1621" s="39">
        <v>6.5</v>
      </c>
      <c r="U1621" s="24">
        <f t="shared" si="406"/>
        <v>6.5</v>
      </c>
      <c r="V1621" s="69"/>
      <c r="W1621" s="24">
        <f t="shared" si="369"/>
        <v>6.5</v>
      </c>
      <c r="X1621" s="69"/>
      <c r="Y1621" s="24">
        <f t="shared" si="399"/>
        <v>6.5</v>
      </c>
      <c r="Z1621" s="189"/>
      <c r="AA1621" s="189">
        <f t="shared" si="418"/>
        <v>6.5</v>
      </c>
    </row>
    <row r="1622" spans="1:27" s="6" customFormat="1" ht="24.75" x14ac:dyDescent="0.25">
      <c r="A1622" s="22" t="s">
        <v>445</v>
      </c>
      <c r="B1622" s="23" t="s">
        <v>428</v>
      </c>
      <c r="C1622" s="23" t="s">
        <v>446</v>
      </c>
      <c r="D1622" s="23" t="s">
        <v>2</v>
      </c>
      <c r="E1622" s="24">
        <f>E1623</f>
        <v>370.9</v>
      </c>
      <c r="F1622" s="24">
        <f>F1623</f>
        <v>0</v>
      </c>
      <c r="G1622" s="24">
        <f t="shared" si="415"/>
        <v>370.9</v>
      </c>
      <c r="H1622" s="24">
        <f>H1623</f>
        <v>0</v>
      </c>
      <c r="I1622" s="24">
        <f t="shared" si="411"/>
        <v>370.9</v>
      </c>
      <c r="J1622" s="24">
        <f>J1623</f>
        <v>0</v>
      </c>
      <c r="K1622" s="24">
        <f t="shared" si="412"/>
        <v>370.9</v>
      </c>
      <c r="L1622" s="24">
        <f>L1623</f>
        <v>0</v>
      </c>
      <c r="M1622" s="24">
        <f t="shared" si="413"/>
        <v>370.9</v>
      </c>
      <c r="N1622" s="24">
        <f>N1623</f>
        <v>0</v>
      </c>
      <c r="O1622" s="24">
        <f t="shared" si="414"/>
        <v>370.9</v>
      </c>
      <c r="P1622" s="24">
        <f>P1623</f>
        <v>0</v>
      </c>
      <c r="Q1622" s="24">
        <f t="shared" si="408"/>
        <v>370.9</v>
      </c>
      <c r="R1622" s="24">
        <f>R1623</f>
        <v>0</v>
      </c>
      <c r="S1622" s="24">
        <f t="shared" si="388"/>
        <v>370.9</v>
      </c>
      <c r="T1622" s="24">
        <f>T1623</f>
        <v>0</v>
      </c>
      <c r="U1622" s="24">
        <f t="shared" si="406"/>
        <v>370.9</v>
      </c>
      <c r="V1622" s="24">
        <f>V1623</f>
        <v>0</v>
      </c>
      <c r="W1622" s="24">
        <f t="shared" si="369"/>
        <v>370.9</v>
      </c>
      <c r="X1622" s="24">
        <f>X1623</f>
        <v>-60</v>
      </c>
      <c r="Y1622" s="24">
        <f t="shared" si="399"/>
        <v>310.89999999999998</v>
      </c>
      <c r="Z1622" s="189"/>
    </row>
    <row r="1623" spans="1:27" ht="24.75" x14ac:dyDescent="0.25">
      <c r="A1623" s="22" t="s">
        <v>313</v>
      </c>
      <c r="B1623" s="23" t="s">
        <v>428</v>
      </c>
      <c r="C1623" s="23" t="s">
        <v>447</v>
      </c>
      <c r="D1623" s="23" t="s">
        <v>2</v>
      </c>
      <c r="E1623" s="24">
        <f>E1624</f>
        <v>370.9</v>
      </c>
      <c r="F1623" s="24">
        <f>F1624</f>
        <v>0</v>
      </c>
      <c r="G1623" s="24">
        <f t="shared" si="415"/>
        <v>370.9</v>
      </c>
      <c r="H1623" s="24">
        <f>H1624</f>
        <v>0</v>
      </c>
      <c r="I1623" s="24">
        <f t="shared" si="411"/>
        <v>370.9</v>
      </c>
      <c r="J1623" s="24">
        <f>J1624</f>
        <v>0</v>
      </c>
      <c r="K1623" s="24">
        <f t="shared" si="412"/>
        <v>370.9</v>
      </c>
      <c r="L1623" s="24">
        <f>L1624</f>
        <v>0</v>
      </c>
      <c r="M1623" s="24">
        <f t="shared" si="413"/>
        <v>370.9</v>
      </c>
      <c r="N1623" s="24">
        <f>N1624</f>
        <v>0</v>
      </c>
      <c r="O1623" s="24">
        <f t="shared" si="414"/>
        <v>370.9</v>
      </c>
      <c r="P1623" s="24">
        <f>P1624</f>
        <v>0</v>
      </c>
      <c r="Q1623" s="24">
        <f t="shared" si="408"/>
        <v>370.9</v>
      </c>
      <c r="R1623" s="24">
        <f>R1624</f>
        <v>0</v>
      </c>
      <c r="S1623" s="24">
        <f t="shared" si="388"/>
        <v>370.9</v>
      </c>
      <c r="T1623" s="24">
        <f>T1624</f>
        <v>0</v>
      </c>
      <c r="U1623" s="24">
        <f t="shared" si="406"/>
        <v>370.9</v>
      </c>
      <c r="V1623" s="24">
        <f>V1624</f>
        <v>0</v>
      </c>
      <c r="W1623" s="24">
        <f t="shared" si="369"/>
        <v>370.9</v>
      </c>
      <c r="X1623" s="24">
        <f>X1624</f>
        <v>-60</v>
      </c>
      <c r="Y1623" s="24">
        <f t="shared" si="399"/>
        <v>310.89999999999998</v>
      </c>
    </row>
    <row r="1624" spans="1:27" s="6" customFormat="1" ht="24.75" x14ac:dyDescent="0.25">
      <c r="A1624" s="25" t="s">
        <v>563</v>
      </c>
      <c r="B1624" s="26" t="s">
        <v>428</v>
      </c>
      <c r="C1624" s="26" t="s">
        <v>447</v>
      </c>
      <c r="D1624" s="26" t="s">
        <v>315</v>
      </c>
      <c r="E1624" s="27">
        <v>370.9</v>
      </c>
      <c r="F1624" s="27"/>
      <c r="G1624" s="24">
        <f t="shared" si="415"/>
        <v>370.9</v>
      </c>
      <c r="H1624" s="27"/>
      <c r="I1624" s="24">
        <f t="shared" si="411"/>
        <v>370.9</v>
      </c>
      <c r="J1624" s="27"/>
      <c r="K1624" s="24">
        <f t="shared" si="412"/>
        <v>370.9</v>
      </c>
      <c r="L1624" s="27"/>
      <c r="M1624" s="24">
        <f t="shared" si="413"/>
        <v>370.9</v>
      </c>
      <c r="N1624" s="27"/>
      <c r="O1624" s="24">
        <f t="shared" si="414"/>
        <v>370.9</v>
      </c>
      <c r="P1624" s="27"/>
      <c r="Q1624" s="24">
        <f t="shared" si="408"/>
        <v>370.9</v>
      </c>
      <c r="R1624" s="27"/>
      <c r="S1624" s="24">
        <f t="shared" si="388"/>
        <v>370.9</v>
      </c>
      <c r="T1624" s="69"/>
      <c r="U1624" s="24">
        <f t="shared" si="406"/>
        <v>370.9</v>
      </c>
      <c r="V1624" s="69"/>
      <c r="W1624" s="24">
        <f t="shared" si="369"/>
        <v>370.9</v>
      </c>
      <c r="X1624" s="39">
        <v>-60</v>
      </c>
      <c r="Y1624" s="24">
        <f t="shared" si="399"/>
        <v>310.89999999999998</v>
      </c>
      <c r="Z1624" s="189"/>
      <c r="AA1624" s="189">
        <f>Y1624+Z1624</f>
        <v>310.89999999999998</v>
      </c>
    </row>
    <row r="1625" spans="1:27" x14ac:dyDescent="0.25">
      <c r="A1625" s="16" t="s">
        <v>798</v>
      </c>
      <c r="B1625" s="20" t="s">
        <v>428</v>
      </c>
      <c r="C1625" s="20" t="s">
        <v>799</v>
      </c>
      <c r="D1625" s="21"/>
      <c r="E1625" s="27"/>
      <c r="F1625" s="27"/>
      <c r="G1625" s="24"/>
      <c r="H1625" s="27"/>
      <c r="I1625" s="24"/>
      <c r="J1625" s="27"/>
      <c r="K1625" s="24"/>
      <c r="L1625" s="18">
        <f>L1626+L1627</f>
        <v>1317.1</v>
      </c>
      <c r="M1625" s="24">
        <f t="shared" si="413"/>
        <v>1317.1</v>
      </c>
      <c r="N1625" s="18">
        <f>N1626+N1627</f>
        <v>0</v>
      </c>
      <c r="O1625" s="24">
        <f t="shared" si="414"/>
        <v>1317.1</v>
      </c>
      <c r="P1625" s="18">
        <f>P1626+P1627</f>
        <v>0</v>
      </c>
      <c r="Q1625" s="24">
        <f t="shared" si="408"/>
        <v>1317.1</v>
      </c>
      <c r="R1625" s="18">
        <f>R1626+R1627</f>
        <v>0</v>
      </c>
      <c r="S1625" s="24">
        <f t="shared" si="388"/>
        <v>1317.1</v>
      </c>
      <c r="T1625" s="18">
        <f>T1626+T1627</f>
        <v>0</v>
      </c>
      <c r="U1625" s="24">
        <f t="shared" si="406"/>
        <v>1317.1</v>
      </c>
      <c r="V1625" s="18">
        <f>V1626+V1627</f>
        <v>0</v>
      </c>
      <c r="W1625" s="24">
        <f t="shared" si="369"/>
        <v>1317.1</v>
      </c>
      <c r="X1625" s="18">
        <f>X1626+X1627</f>
        <v>0</v>
      </c>
      <c r="Y1625" s="24">
        <f t="shared" si="399"/>
        <v>1317.1</v>
      </c>
    </row>
    <row r="1626" spans="1:27" s="6" customFormat="1" x14ac:dyDescent="0.25">
      <c r="A1626" s="17" t="s">
        <v>574</v>
      </c>
      <c r="B1626" s="21" t="s">
        <v>428</v>
      </c>
      <c r="C1626" s="21" t="s">
        <v>799</v>
      </c>
      <c r="D1626" s="21" t="s">
        <v>81</v>
      </c>
      <c r="E1626" s="27"/>
      <c r="F1626" s="27"/>
      <c r="G1626" s="24"/>
      <c r="H1626" s="27"/>
      <c r="I1626" s="24"/>
      <c r="J1626" s="27"/>
      <c r="K1626" s="24"/>
      <c r="L1626" s="43">
        <v>1304</v>
      </c>
      <c r="M1626" s="24">
        <f t="shared" si="413"/>
        <v>1304</v>
      </c>
      <c r="N1626" s="69"/>
      <c r="O1626" s="24">
        <f t="shared" si="414"/>
        <v>1304</v>
      </c>
      <c r="P1626" s="69"/>
      <c r="Q1626" s="24">
        <f t="shared" si="408"/>
        <v>1304</v>
      </c>
      <c r="R1626" s="69"/>
      <c r="S1626" s="24">
        <f t="shared" si="388"/>
        <v>1304</v>
      </c>
      <c r="T1626" s="69"/>
      <c r="U1626" s="24">
        <f t="shared" si="406"/>
        <v>1304</v>
      </c>
      <c r="V1626" s="69"/>
      <c r="W1626" s="24">
        <f t="shared" si="369"/>
        <v>1304</v>
      </c>
      <c r="X1626" s="69"/>
      <c r="Y1626" s="24">
        <f t="shared" si="399"/>
        <v>1304</v>
      </c>
      <c r="Z1626" s="189"/>
      <c r="AA1626" s="189">
        <f t="shared" ref="AA1626:AA1627" si="419">Y1626+Z1626</f>
        <v>1304</v>
      </c>
    </row>
    <row r="1627" spans="1:27" s="6" customFormat="1" x14ac:dyDescent="0.25">
      <c r="A1627" s="17" t="s">
        <v>574</v>
      </c>
      <c r="B1627" s="21" t="s">
        <v>428</v>
      </c>
      <c r="C1627" s="21" t="s">
        <v>799</v>
      </c>
      <c r="D1627" s="21" t="s">
        <v>81</v>
      </c>
      <c r="E1627" s="27"/>
      <c r="F1627" s="27"/>
      <c r="G1627" s="24"/>
      <c r="H1627" s="27"/>
      <c r="I1627" s="24"/>
      <c r="J1627" s="27"/>
      <c r="K1627" s="87"/>
      <c r="L1627" s="39">
        <v>13.1</v>
      </c>
      <c r="M1627" s="87">
        <f t="shared" si="413"/>
        <v>13.1</v>
      </c>
      <c r="N1627" s="69"/>
      <c r="O1627" s="87">
        <f t="shared" si="414"/>
        <v>13.1</v>
      </c>
      <c r="P1627" s="69"/>
      <c r="Q1627" s="87">
        <f t="shared" si="408"/>
        <v>13.1</v>
      </c>
      <c r="R1627" s="69"/>
      <c r="S1627" s="87">
        <f t="shared" si="388"/>
        <v>13.1</v>
      </c>
      <c r="T1627" s="69"/>
      <c r="U1627" s="87">
        <f t="shared" si="406"/>
        <v>13.1</v>
      </c>
      <c r="V1627" s="69"/>
      <c r="W1627" s="87">
        <f t="shared" si="369"/>
        <v>13.1</v>
      </c>
      <c r="X1627" s="69"/>
      <c r="Y1627" s="87">
        <f t="shared" si="399"/>
        <v>13.1</v>
      </c>
      <c r="Z1627" s="189"/>
      <c r="AA1627" s="189">
        <f t="shared" si="419"/>
        <v>13.1</v>
      </c>
    </row>
    <row r="1628" spans="1:27" x14ac:dyDescent="0.25">
      <c r="A1628" s="16" t="s">
        <v>809</v>
      </c>
      <c r="B1628" s="20" t="s">
        <v>428</v>
      </c>
      <c r="C1628" s="20" t="s">
        <v>810</v>
      </c>
      <c r="D1628" s="21"/>
      <c r="E1628" s="27"/>
      <c r="F1628" s="27"/>
      <c r="G1628" s="24"/>
      <c r="H1628" s="27"/>
      <c r="I1628" s="24"/>
      <c r="J1628" s="27"/>
      <c r="K1628" s="47"/>
      <c r="L1628" s="47">
        <f>L1629+L1630</f>
        <v>106.1</v>
      </c>
      <c r="M1628" s="47">
        <f t="shared" si="413"/>
        <v>106.1</v>
      </c>
      <c r="N1628" s="47">
        <f>N1629+N1630</f>
        <v>0</v>
      </c>
      <c r="O1628" s="47">
        <f t="shared" si="414"/>
        <v>106.1</v>
      </c>
      <c r="P1628" s="47">
        <f>P1629+P1630</f>
        <v>0</v>
      </c>
      <c r="Q1628" s="47">
        <f t="shared" si="408"/>
        <v>106.1</v>
      </c>
      <c r="R1628" s="47">
        <f>R1629+R1630</f>
        <v>0</v>
      </c>
      <c r="S1628" s="47">
        <f t="shared" si="388"/>
        <v>106.1</v>
      </c>
      <c r="T1628" s="47">
        <f>T1629+T1630</f>
        <v>0</v>
      </c>
      <c r="U1628" s="47">
        <f t="shared" si="406"/>
        <v>106.1</v>
      </c>
      <c r="V1628" s="47">
        <f>V1629+V1630</f>
        <v>0</v>
      </c>
      <c r="W1628" s="47">
        <f t="shared" si="369"/>
        <v>106.1</v>
      </c>
      <c r="X1628" s="47">
        <f>X1629+X1630</f>
        <v>0</v>
      </c>
      <c r="Y1628" s="47">
        <f t="shared" si="399"/>
        <v>106.1</v>
      </c>
    </row>
    <row r="1629" spans="1:27" x14ac:dyDescent="0.25">
      <c r="A1629" s="17" t="s">
        <v>574</v>
      </c>
      <c r="B1629" s="21" t="s">
        <v>428</v>
      </c>
      <c r="C1629" s="21" t="s">
        <v>810</v>
      </c>
      <c r="D1629" s="21" t="s">
        <v>81</v>
      </c>
      <c r="E1629" s="27"/>
      <c r="F1629" s="27"/>
      <c r="G1629" s="24"/>
      <c r="H1629" s="27"/>
      <c r="I1629" s="24"/>
      <c r="J1629" s="27"/>
      <c r="K1629" s="47"/>
      <c r="L1629" s="43">
        <v>105</v>
      </c>
      <c r="M1629" s="47">
        <f t="shared" si="413"/>
        <v>105</v>
      </c>
      <c r="N1629" s="69"/>
      <c r="O1629" s="47">
        <f t="shared" si="414"/>
        <v>105</v>
      </c>
      <c r="P1629" s="69"/>
      <c r="Q1629" s="47">
        <f t="shared" si="408"/>
        <v>105</v>
      </c>
      <c r="R1629" s="69"/>
      <c r="S1629" s="47">
        <f t="shared" si="388"/>
        <v>105</v>
      </c>
      <c r="T1629" s="69"/>
      <c r="U1629" s="47">
        <f t="shared" si="406"/>
        <v>105</v>
      </c>
      <c r="V1629" s="69"/>
      <c r="W1629" s="47">
        <f t="shared" si="369"/>
        <v>105</v>
      </c>
      <c r="X1629" s="69"/>
      <c r="Y1629" s="47">
        <f t="shared" si="399"/>
        <v>105</v>
      </c>
      <c r="AA1629" s="189">
        <f t="shared" ref="AA1629:AA1630" si="420">Y1629+Z1629</f>
        <v>105</v>
      </c>
    </row>
    <row r="1630" spans="1:27" x14ac:dyDescent="0.25">
      <c r="A1630" s="17" t="s">
        <v>574</v>
      </c>
      <c r="B1630" s="21" t="s">
        <v>428</v>
      </c>
      <c r="C1630" s="21" t="s">
        <v>810</v>
      </c>
      <c r="D1630" s="21" t="s">
        <v>81</v>
      </c>
      <c r="E1630" s="27"/>
      <c r="F1630" s="27"/>
      <c r="G1630" s="24"/>
      <c r="H1630" s="27"/>
      <c r="I1630" s="24"/>
      <c r="J1630" s="27"/>
      <c r="K1630" s="47"/>
      <c r="L1630" s="39">
        <v>1.1000000000000001</v>
      </c>
      <c r="M1630" s="47">
        <f t="shared" si="413"/>
        <v>1.1000000000000001</v>
      </c>
      <c r="N1630" s="69"/>
      <c r="O1630" s="47">
        <f t="shared" si="414"/>
        <v>1.1000000000000001</v>
      </c>
      <c r="P1630" s="69"/>
      <c r="Q1630" s="47">
        <f t="shared" si="408"/>
        <v>1.1000000000000001</v>
      </c>
      <c r="R1630" s="69"/>
      <c r="S1630" s="47">
        <f t="shared" si="388"/>
        <v>1.1000000000000001</v>
      </c>
      <c r="T1630" s="69"/>
      <c r="U1630" s="47">
        <f t="shared" si="406"/>
        <v>1.1000000000000001</v>
      </c>
      <c r="V1630" s="69"/>
      <c r="W1630" s="47">
        <f t="shared" si="369"/>
        <v>1.1000000000000001</v>
      </c>
      <c r="X1630" s="69"/>
      <c r="Y1630" s="47">
        <f t="shared" si="399"/>
        <v>1.1000000000000001</v>
      </c>
      <c r="AA1630" s="189">
        <f t="shared" si="420"/>
        <v>1.1000000000000001</v>
      </c>
    </row>
    <row r="1631" spans="1:27" ht="24.75" x14ac:dyDescent="0.25">
      <c r="A1631" s="45" t="s">
        <v>621</v>
      </c>
      <c r="B1631" s="55" t="s">
        <v>428</v>
      </c>
      <c r="C1631" s="54" t="s">
        <v>60</v>
      </c>
      <c r="D1631" s="21"/>
      <c r="E1631" s="27"/>
      <c r="F1631" s="27"/>
      <c r="G1631" s="24"/>
      <c r="H1631" s="27"/>
      <c r="I1631" s="24"/>
      <c r="J1631" s="27"/>
      <c r="K1631" s="47"/>
      <c r="L1631" s="39"/>
      <c r="M1631" s="47"/>
      <c r="N1631" s="69"/>
      <c r="O1631" s="47"/>
      <c r="P1631" s="69"/>
      <c r="Q1631" s="47">
        <f>Q1632+Q1634+Q1641</f>
        <v>681.9</v>
      </c>
      <c r="R1631" s="47">
        <f>R1632+R1634+R1641</f>
        <v>757.3</v>
      </c>
      <c r="S1631" s="47">
        <f t="shared" si="388"/>
        <v>1439.1999999999998</v>
      </c>
      <c r="T1631" s="47">
        <f>T1632+T1634+T1641</f>
        <v>590.6</v>
      </c>
      <c r="U1631" s="47">
        <f t="shared" si="406"/>
        <v>2029.7999999999997</v>
      </c>
      <c r="V1631" s="47">
        <f>V1632+V1634+V1641</f>
        <v>890.5</v>
      </c>
      <c r="W1631" s="47">
        <f t="shared" si="369"/>
        <v>2920.2999999999997</v>
      </c>
      <c r="X1631" s="47">
        <f>X1632+X1634+X1641</f>
        <v>0</v>
      </c>
      <c r="Y1631" s="47">
        <f t="shared" si="399"/>
        <v>2920.2999999999997</v>
      </c>
    </row>
    <row r="1632" spans="1:27" ht="36.75" x14ac:dyDescent="0.25">
      <c r="A1632" s="40" t="s">
        <v>857</v>
      </c>
      <c r="B1632" s="20" t="s">
        <v>428</v>
      </c>
      <c r="C1632" s="146" t="s">
        <v>858</v>
      </c>
      <c r="D1632" s="21"/>
      <c r="E1632" s="27"/>
      <c r="F1632" s="27"/>
      <c r="G1632" s="24"/>
      <c r="H1632" s="27"/>
      <c r="I1632" s="24"/>
      <c r="J1632" s="27"/>
      <c r="K1632" s="47"/>
      <c r="L1632" s="39"/>
      <c r="M1632" s="47"/>
      <c r="N1632" s="69"/>
      <c r="O1632" s="47"/>
      <c r="P1632" s="69"/>
      <c r="Q1632" s="47"/>
      <c r="R1632" s="47">
        <f>R1633</f>
        <v>592.4</v>
      </c>
      <c r="S1632" s="47">
        <f t="shared" si="388"/>
        <v>592.4</v>
      </c>
      <c r="T1632" s="47">
        <f>T1633</f>
        <v>0</v>
      </c>
      <c r="U1632" s="47">
        <f t="shared" si="406"/>
        <v>592.4</v>
      </c>
      <c r="V1632" s="47">
        <f>V1633</f>
        <v>0</v>
      </c>
      <c r="W1632" s="47">
        <f t="shared" si="369"/>
        <v>592.4</v>
      </c>
      <c r="X1632" s="47">
        <f>X1633</f>
        <v>534.29999999999995</v>
      </c>
      <c r="Y1632" s="47">
        <f t="shared" si="399"/>
        <v>1126.6999999999998</v>
      </c>
    </row>
    <row r="1633" spans="1:27" x14ac:dyDescent="0.25">
      <c r="A1633" s="30" t="s">
        <v>66</v>
      </c>
      <c r="B1633" s="21" t="s">
        <v>428</v>
      </c>
      <c r="C1633" s="145" t="s">
        <v>858</v>
      </c>
      <c r="D1633" s="21" t="s">
        <v>81</v>
      </c>
      <c r="E1633" s="27"/>
      <c r="F1633" s="27"/>
      <c r="G1633" s="24"/>
      <c r="H1633" s="27"/>
      <c r="I1633" s="24"/>
      <c r="J1633" s="27"/>
      <c r="K1633" s="47"/>
      <c r="L1633" s="39"/>
      <c r="M1633" s="47"/>
      <c r="N1633" s="69"/>
      <c r="O1633" s="47"/>
      <c r="P1633" s="69"/>
      <c r="Q1633" s="47"/>
      <c r="R1633" s="43">
        <v>592.4</v>
      </c>
      <c r="S1633" s="47">
        <f t="shared" si="388"/>
        <v>592.4</v>
      </c>
      <c r="T1633" s="69"/>
      <c r="U1633" s="47">
        <f t="shared" si="406"/>
        <v>592.4</v>
      </c>
      <c r="V1633" s="69"/>
      <c r="W1633" s="47">
        <f t="shared" si="369"/>
        <v>592.4</v>
      </c>
      <c r="X1633" s="43">
        <v>534.29999999999995</v>
      </c>
      <c r="Y1633" s="47">
        <f t="shared" si="399"/>
        <v>1126.6999999999998</v>
      </c>
      <c r="AA1633" s="189">
        <f>Y1633+Z1633</f>
        <v>1126.6999999999998</v>
      </c>
    </row>
    <row r="1634" spans="1:27" ht="24.75" x14ac:dyDescent="0.25">
      <c r="A1634" s="40" t="s">
        <v>826</v>
      </c>
      <c r="B1634" s="20" t="s">
        <v>428</v>
      </c>
      <c r="C1634" s="77" t="s">
        <v>825</v>
      </c>
      <c r="D1634" s="26"/>
      <c r="E1634" s="27"/>
      <c r="F1634" s="27"/>
      <c r="G1634" s="24"/>
      <c r="H1634" s="27"/>
      <c r="I1634" s="24"/>
      <c r="J1634" s="27"/>
      <c r="K1634" s="47"/>
      <c r="L1634" s="47">
        <f>L1635+L1637+L1639</f>
        <v>156.6</v>
      </c>
      <c r="M1634" s="47">
        <f t="shared" si="413"/>
        <v>156.6</v>
      </c>
      <c r="N1634" s="47">
        <f>N1635+N1637+N1639</f>
        <v>295.3</v>
      </c>
      <c r="O1634" s="47">
        <f t="shared" si="414"/>
        <v>451.9</v>
      </c>
      <c r="P1634" s="47">
        <f>P1635+P1637+P1639</f>
        <v>0</v>
      </c>
      <c r="Q1634" s="47">
        <f t="shared" si="408"/>
        <v>451.9</v>
      </c>
      <c r="R1634" s="47">
        <f>R1635+R1637+R1639</f>
        <v>0</v>
      </c>
      <c r="S1634" s="47">
        <f t="shared" si="388"/>
        <v>451.9</v>
      </c>
      <c r="T1634" s="47">
        <f>T1635+T1637+T1639</f>
        <v>590.6</v>
      </c>
      <c r="U1634" s="47">
        <f t="shared" si="406"/>
        <v>1042.5</v>
      </c>
      <c r="V1634" s="47">
        <f>V1635+V1637+V1639</f>
        <v>0</v>
      </c>
      <c r="W1634" s="47">
        <f t="shared" si="369"/>
        <v>1042.5</v>
      </c>
      <c r="X1634" s="47">
        <f>X1635+X1637+X1639</f>
        <v>0</v>
      </c>
      <c r="Y1634" s="47">
        <f t="shared" si="399"/>
        <v>1042.5</v>
      </c>
    </row>
    <row r="1635" spans="1:27" x14ac:dyDescent="0.25">
      <c r="A1635" s="140" t="s">
        <v>830</v>
      </c>
      <c r="B1635" s="20" t="s">
        <v>428</v>
      </c>
      <c r="C1635" s="54" t="s">
        <v>1230</v>
      </c>
      <c r="D1635" s="26"/>
      <c r="E1635" s="27"/>
      <c r="F1635" s="27"/>
      <c r="G1635" s="24"/>
      <c r="H1635" s="27"/>
      <c r="I1635" s="24"/>
      <c r="J1635" s="27"/>
      <c r="K1635" s="47"/>
      <c r="L1635" s="47">
        <f>L1636</f>
        <v>52.5</v>
      </c>
      <c r="M1635" s="47">
        <f t="shared" si="413"/>
        <v>52.5</v>
      </c>
      <c r="N1635" s="47">
        <f>N1636</f>
        <v>295.3</v>
      </c>
      <c r="O1635" s="47">
        <f t="shared" si="414"/>
        <v>347.8</v>
      </c>
      <c r="P1635" s="47">
        <f>P1636</f>
        <v>0</v>
      </c>
      <c r="Q1635" s="47">
        <f t="shared" si="408"/>
        <v>347.8</v>
      </c>
      <c r="R1635" s="47">
        <f>R1636</f>
        <v>0</v>
      </c>
      <c r="S1635" s="47">
        <f t="shared" si="388"/>
        <v>347.8</v>
      </c>
      <c r="T1635" s="47">
        <f>T1636</f>
        <v>1.3999999999999773</v>
      </c>
      <c r="U1635" s="47">
        <f t="shared" si="406"/>
        <v>349.2</v>
      </c>
      <c r="V1635" s="47">
        <f>V1636</f>
        <v>0</v>
      </c>
      <c r="W1635" s="47">
        <f t="shared" si="369"/>
        <v>349.2</v>
      </c>
      <c r="X1635" s="47">
        <f>X1636</f>
        <v>0</v>
      </c>
      <c r="Y1635" s="47">
        <f t="shared" si="399"/>
        <v>349.2</v>
      </c>
    </row>
    <row r="1636" spans="1:27" x14ac:dyDescent="0.25">
      <c r="A1636" s="62" t="s">
        <v>574</v>
      </c>
      <c r="B1636" s="21" t="s">
        <v>428</v>
      </c>
      <c r="C1636" s="76" t="s">
        <v>1230</v>
      </c>
      <c r="D1636" s="26" t="s">
        <v>81</v>
      </c>
      <c r="E1636" s="27"/>
      <c r="F1636" s="27"/>
      <c r="G1636" s="24"/>
      <c r="H1636" s="27"/>
      <c r="I1636" s="24"/>
      <c r="J1636" s="27"/>
      <c r="K1636" s="47"/>
      <c r="L1636" s="94">
        <f>52.5</f>
        <v>52.5</v>
      </c>
      <c r="M1636" s="47">
        <f t="shared" si="413"/>
        <v>52.5</v>
      </c>
      <c r="N1636" s="63">
        <v>295.3</v>
      </c>
      <c r="O1636" s="47">
        <f t="shared" si="414"/>
        <v>347.8</v>
      </c>
      <c r="P1636" s="69"/>
      <c r="Q1636" s="47">
        <f t="shared" si="408"/>
        <v>347.8</v>
      </c>
      <c r="R1636" s="69"/>
      <c r="S1636" s="47">
        <f t="shared" si="388"/>
        <v>347.8</v>
      </c>
      <c r="T1636" s="125">
        <f>296.7-295.3</f>
        <v>1.3999999999999773</v>
      </c>
      <c r="U1636" s="47">
        <f t="shared" si="406"/>
        <v>349.2</v>
      </c>
      <c r="V1636" s="69"/>
      <c r="W1636" s="47">
        <f t="shared" si="369"/>
        <v>349.2</v>
      </c>
      <c r="X1636" s="69"/>
      <c r="Y1636" s="47">
        <f t="shared" si="399"/>
        <v>349.2</v>
      </c>
      <c r="AA1636" s="189">
        <f>Y1636+Z1636</f>
        <v>349.2</v>
      </c>
    </row>
    <row r="1637" spans="1:27" x14ac:dyDescent="0.25">
      <c r="A1637" s="144" t="s">
        <v>831</v>
      </c>
      <c r="B1637" s="20" t="s">
        <v>428</v>
      </c>
      <c r="C1637" s="54" t="s">
        <v>1227</v>
      </c>
      <c r="D1637" s="26"/>
      <c r="E1637" s="27"/>
      <c r="F1637" s="27"/>
      <c r="G1637" s="24"/>
      <c r="H1637" s="27"/>
      <c r="I1637" s="24"/>
      <c r="J1637" s="27"/>
      <c r="K1637" s="47"/>
      <c r="L1637" s="47">
        <f>L1638</f>
        <v>51.6</v>
      </c>
      <c r="M1637" s="47">
        <f t="shared" si="413"/>
        <v>51.6</v>
      </c>
      <c r="N1637" s="47">
        <f>N1638</f>
        <v>0</v>
      </c>
      <c r="O1637" s="47">
        <f t="shared" si="414"/>
        <v>51.6</v>
      </c>
      <c r="P1637" s="47">
        <f>P1638</f>
        <v>0</v>
      </c>
      <c r="Q1637" s="47">
        <f t="shared" si="408"/>
        <v>51.6</v>
      </c>
      <c r="R1637" s="47">
        <f>R1638</f>
        <v>0</v>
      </c>
      <c r="S1637" s="47">
        <f t="shared" si="388"/>
        <v>51.6</v>
      </c>
      <c r="T1637" s="47">
        <f>T1638</f>
        <v>292.10000000000002</v>
      </c>
      <c r="U1637" s="47">
        <f t="shared" si="406"/>
        <v>343.70000000000005</v>
      </c>
      <c r="V1637" s="47">
        <f>V1638</f>
        <v>0</v>
      </c>
      <c r="W1637" s="47">
        <f t="shared" si="369"/>
        <v>343.70000000000005</v>
      </c>
      <c r="X1637" s="47">
        <f>X1638</f>
        <v>0</v>
      </c>
      <c r="Y1637" s="47">
        <f t="shared" si="399"/>
        <v>343.70000000000005</v>
      </c>
    </row>
    <row r="1638" spans="1:27" x14ac:dyDescent="0.25">
      <c r="A1638" s="62" t="s">
        <v>574</v>
      </c>
      <c r="B1638" s="21" t="s">
        <v>428</v>
      </c>
      <c r="C1638" s="76" t="s">
        <v>1227</v>
      </c>
      <c r="D1638" s="26" t="s">
        <v>81</v>
      </c>
      <c r="E1638" s="27"/>
      <c r="F1638" s="27"/>
      <c r="G1638" s="24"/>
      <c r="H1638" s="27"/>
      <c r="I1638" s="24"/>
      <c r="J1638" s="27"/>
      <c r="K1638" s="47"/>
      <c r="L1638" s="94">
        <f>51.6</f>
        <v>51.6</v>
      </c>
      <c r="M1638" s="47">
        <f t="shared" si="413"/>
        <v>51.6</v>
      </c>
      <c r="N1638" s="69"/>
      <c r="O1638" s="47">
        <f t="shared" si="414"/>
        <v>51.6</v>
      </c>
      <c r="P1638" s="69"/>
      <c r="Q1638" s="47">
        <f t="shared" si="408"/>
        <v>51.6</v>
      </c>
      <c r="R1638" s="69"/>
      <c r="S1638" s="47">
        <f t="shared" si="388"/>
        <v>51.6</v>
      </c>
      <c r="T1638" s="125">
        <v>292.10000000000002</v>
      </c>
      <c r="U1638" s="47">
        <f t="shared" si="406"/>
        <v>343.70000000000005</v>
      </c>
      <c r="V1638" s="69"/>
      <c r="W1638" s="47">
        <f t="shared" si="369"/>
        <v>343.70000000000005</v>
      </c>
      <c r="X1638" s="69"/>
      <c r="Y1638" s="47">
        <f t="shared" si="399"/>
        <v>343.70000000000005</v>
      </c>
      <c r="AA1638" s="189">
        <f>Y1638+Z1638</f>
        <v>343.70000000000005</v>
      </c>
    </row>
    <row r="1639" spans="1:27" x14ac:dyDescent="0.25">
      <c r="A1639" s="140" t="s">
        <v>832</v>
      </c>
      <c r="B1639" s="20" t="s">
        <v>428</v>
      </c>
      <c r="C1639" s="54" t="s">
        <v>1231</v>
      </c>
      <c r="D1639" s="26"/>
      <c r="E1639" s="27"/>
      <c r="F1639" s="27"/>
      <c r="G1639" s="24"/>
      <c r="H1639" s="27"/>
      <c r="I1639" s="24"/>
      <c r="J1639" s="27"/>
      <c r="K1639" s="47"/>
      <c r="L1639" s="47">
        <f>L1640</f>
        <v>52.5</v>
      </c>
      <c r="M1639" s="47">
        <f t="shared" si="413"/>
        <v>52.5</v>
      </c>
      <c r="N1639" s="47">
        <f>N1640</f>
        <v>0</v>
      </c>
      <c r="O1639" s="47">
        <f t="shared" si="414"/>
        <v>52.5</v>
      </c>
      <c r="P1639" s="47">
        <f>P1640</f>
        <v>0</v>
      </c>
      <c r="Q1639" s="47">
        <f t="shared" si="408"/>
        <v>52.5</v>
      </c>
      <c r="R1639" s="47">
        <f>R1640</f>
        <v>0</v>
      </c>
      <c r="S1639" s="47">
        <f t="shared" si="388"/>
        <v>52.5</v>
      </c>
      <c r="T1639" s="47">
        <f>T1640</f>
        <v>297.10000000000002</v>
      </c>
      <c r="U1639" s="47">
        <f t="shared" si="406"/>
        <v>349.6</v>
      </c>
      <c r="V1639" s="47">
        <f>V1640</f>
        <v>0</v>
      </c>
      <c r="W1639" s="47">
        <f t="shared" si="369"/>
        <v>349.6</v>
      </c>
      <c r="X1639" s="47">
        <f>X1640</f>
        <v>0</v>
      </c>
      <c r="Y1639" s="47">
        <f t="shared" si="399"/>
        <v>349.6</v>
      </c>
    </row>
    <row r="1640" spans="1:27" x14ac:dyDescent="0.25">
      <c r="A1640" s="62" t="s">
        <v>574</v>
      </c>
      <c r="B1640" s="21" t="s">
        <v>428</v>
      </c>
      <c r="C1640" s="76" t="s">
        <v>1231</v>
      </c>
      <c r="D1640" s="26" t="s">
        <v>81</v>
      </c>
      <c r="E1640" s="27"/>
      <c r="F1640" s="27"/>
      <c r="G1640" s="24"/>
      <c r="H1640" s="27"/>
      <c r="I1640" s="24"/>
      <c r="J1640" s="27"/>
      <c r="K1640" s="47"/>
      <c r="L1640" s="94">
        <f>52.5</f>
        <v>52.5</v>
      </c>
      <c r="M1640" s="47">
        <f t="shared" si="413"/>
        <v>52.5</v>
      </c>
      <c r="N1640" s="69"/>
      <c r="O1640" s="47">
        <f t="shared" si="414"/>
        <v>52.5</v>
      </c>
      <c r="P1640" s="69"/>
      <c r="Q1640" s="47">
        <f t="shared" si="408"/>
        <v>52.5</v>
      </c>
      <c r="R1640" s="69"/>
      <c r="S1640" s="47">
        <f t="shared" si="388"/>
        <v>52.5</v>
      </c>
      <c r="T1640" s="125">
        <v>297.10000000000002</v>
      </c>
      <c r="U1640" s="47">
        <f t="shared" si="406"/>
        <v>349.6</v>
      </c>
      <c r="V1640" s="69"/>
      <c r="W1640" s="47">
        <f t="shared" si="369"/>
        <v>349.6</v>
      </c>
      <c r="X1640" s="69"/>
      <c r="Y1640" s="47">
        <f t="shared" si="399"/>
        <v>349.6</v>
      </c>
      <c r="AA1640" s="189">
        <f>Y1640+Z1640</f>
        <v>349.6</v>
      </c>
    </row>
    <row r="1641" spans="1:27" x14ac:dyDescent="0.25">
      <c r="A1641" s="22" t="s">
        <v>1225</v>
      </c>
      <c r="B1641" s="75" t="s">
        <v>428</v>
      </c>
      <c r="C1641" s="41" t="s">
        <v>819</v>
      </c>
      <c r="D1641" s="26"/>
      <c r="E1641" s="27"/>
      <c r="F1641" s="27"/>
      <c r="G1641" s="24"/>
      <c r="H1641" s="139"/>
      <c r="I1641" s="24"/>
      <c r="J1641" s="139"/>
      <c r="K1641" s="47"/>
      <c r="L1641" s="95"/>
      <c r="M1641" s="47"/>
      <c r="N1641" s="83"/>
      <c r="O1641" s="47"/>
      <c r="P1641" s="79">
        <f>P1642+P1644</f>
        <v>230</v>
      </c>
      <c r="Q1641" s="47">
        <f t="shared" si="408"/>
        <v>230</v>
      </c>
      <c r="R1641" s="79">
        <f>R1642+R1644</f>
        <v>164.89999999999998</v>
      </c>
      <c r="S1641" s="47">
        <f t="shared" si="388"/>
        <v>394.9</v>
      </c>
      <c r="T1641" s="79">
        <f>T1642+T1644+T1646+T1648</f>
        <v>0</v>
      </c>
      <c r="U1641" s="47">
        <f t="shared" si="406"/>
        <v>394.9</v>
      </c>
      <c r="V1641" s="79">
        <f>V1642+V1644+V1646+V1648</f>
        <v>890.5</v>
      </c>
      <c r="W1641" s="47">
        <f t="shared" si="369"/>
        <v>1285.4000000000001</v>
      </c>
      <c r="X1641" s="79">
        <f>X1642+X1644+X1646+X1648</f>
        <v>-534.29999999999995</v>
      </c>
      <c r="Y1641" s="47">
        <f t="shared" si="399"/>
        <v>751.10000000000014</v>
      </c>
    </row>
    <row r="1642" spans="1:27" ht="36" x14ac:dyDescent="0.25">
      <c r="A1642" s="137" t="s">
        <v>916</v>
      </c>
      <c r="B1642" s="75" t="s">
        <v>428</v>
      </c>
      <c r="C1642" s="54" t="s">
        <v>1072</v>
      </c>
      <c r="D1642" s="76"/>
      <c r="E1642" s="47"/>
      <c r="F1642" s="47"/>
      <c r="G1642" s="47"/>
      <c r="H1642" s="83"/>
      <c r="I1642" s="47"/>
      <c r="J1642" s="83"/>
      <c r="K1642" s="47"/>
      <c r="L1642" s="83"/>
      <c r="M1642" s="47"/>
      <c r="N1642" s="83"/>
      <c r="O1642" s="47"/>
      <c r="P1642" s="79">
        <f t="shared" ref="P1642:X1642" si="421">P1643</f>
        <v>230</v>
      </c>
      <c r="Q1642" s="47">
        <f>O1642+P1642</f>
        <v>230</v>
      </c>
      <c r="R1642" s="79">
        <f t="shared" si="421"/>
        <v>-138</v>
      </c>
      <c r="S1642" s="47">
        <f>Q1642+R1642</f>
        <v>92</v>
      </c>
      <c r="T1642" s="79">
        <f t="shared" si="421"/>
        <v>0</v>
      </c>
      <c r="U1642" s="47">
        <f>S1642+T1642</f>
        <v>92</v>
      </c>
      <c r="V1642" s="79">
        <f t="shared" si="421"/>
        <v>0</v>
      </c>
      <c r="W1642" s="47">
        <f>U1642+V1642</f>
        <v>92</v>
      </c>
      <c r="X1642" s="79">
        <f t="shared" si="421"/>
        <v>0</v>
      </c>
      <c r="Y1642" s="47">
        <f>W1642+X1642</f>
        <v>92</v>
      </c>
    </row>
    <row r="1643" spans="1:27" x14ac:dyDescent="0.25">
      <c r="A1643" s="135" t="s">
        <v>66</v>
      </c>
      <c r="B1643" s="81" t="s">
        <v>428</v>
      </c>
      <c r="C1643" s="76" t="s">
        <v>1072</v>
      </c>
      <c r="D1643" s="81" t="s">
        <v>81</v>
      </c>
      <c r="E1643" s="47"/>
      <c r="F1643" s="47"/>
      <c r="G1643" s="47"/>
      <c r="H1643" s="83"/>
      <c r="I1643" s="47"/>
      <c r="J1643" s="83"/>
      <c r="K1643" s="47"/>
      <c r="L1643" s="83"/>
      <c r="M1643" s="47"/>
      <c r="N1643" s="83"/>
      <c r="O1643" s="47"/>
      <c r="P1643" s="95">
        <v>230</v>
      </c>
      <c r="Q1643" s="47">
        <f>O1643+P1643</f>
        <v>230</v>
      </c>
      <c r="R1643" s="80">
        <v>-138</v>
      </c>
      <c r="S1643" s="47">
        <f>Q1643+R1643</f>
        <v>92</v>
      </c>
      <c r="T1643" s="83"/>
      <c r="U1643" s="47">
        <f>S1643+T1643</f>
        <v>92</v>
      </c>
      <c r="V1643" s="83"/>
      <c r="W1643" s="47">
        <f>U1643+V1643</f>
        <v>92</v>
      </c>
      <c r="X1643" s="83"/>
      <c r="Y1643" s="47">
        <f>W1643+X1643</f>
        <v>92</v>
      </c>
      <c r="AA1643" s="189">
        <f>Y1643+Z1643</f>
        <v>92</v>
      </c>
    </row>
    <row r="1644" spans="1:27" ht="61.5" customHeight="1" x14ac:dyDescent="0.25">
      <c r="A1644" s="133" t="s">
        <v>943</v>
      </c>
      <c r="B1644" s="75" t="s">
        <v>428</v>
      </c>
      <c r="C1644" s="54" t="s">
        <v>1099</v>
      </c>
      <c r="D1644" s="81"/>
      <c r="E1644" s="47"/>
      <c r="F1644" s="47"/>
      <c r="G1644" s="47"/>
      <c r="H1644" s="83"/>
      <c r="I1644" s="47"/>
      <c r="J1644" s="83"/>
      <c r="K1644" s="47"/>
      <c r="L1644" s="83"/>
      <c r="M1644" s="47"/>
      <c r="N1644" s="83"/>
      <c r="O1644" s="47"/>
      <c r="P1644" s="79">
        <f t="shared" ref="P1644:X1644" si="422">P1645</f>
        <v>0</v>
      </c>
      <c r="Q1644" s="47">
        <f>O1644+P1644</f>
        <v>0</v>
      </c>
      <c r="R1644" s="79">
        <f t="shared" si="422"/>
        <v>302.89999999999998</v>
      </c>
      <c r="S1644" s="47">
        <f>Q1644+R1644</f>
        <v>302.89999999999998</v>
      </c>
      <c r="T1644" s="79">
        <f t="shared" si="422"/>
        <v>0</v>
      </c>
      <c r="U1644" s="47">
        <f>S1644+T1644</f>
        <v>302.89999999999998</v>
      </c>
      <c r="V1644" s="79">
        <f t="shared" si="422"/>
        <v>0</v>
      </c>
      <c r="W1644" s="47">
        <f>U1644+V1644</f>
        <v>302.89999999999998</v>
      </c>
      <c r="X1644" s="79">
        <f t="shared" si="422"/>
        <v>0</v>
      </c>
      <c r="Y1644" s="47">
        <f>W1644+X1644</f>
        <v>302.89999999999998</v>
      </c>
    </row>
    <row r="1645" spans="1:27" x14ac:dyDescent="0.25">
      <c r="A1645" s="135" t="s">
        <v>66</v>
      </c>
      <c r="B1645" s="81" t="s">
        <v>428</v>
      </c>
      <c r="C1645" s="136" t="s">
        <v>1099</v>
      </c>
      <c r="D1645" s="81" t="s">
        <v>81</v>
      </c>
      <c r="E1645" s="47"/>
      <c r="F1645" s="47"/>
      <c r="G1645" s="47"/>
      <c r="H1645" s="83"/>
      <c r="I1645" s="47"/>
      <c r="J1645" s="83"/>
      <c r="K1645" s="47"/>
      <c r="L1645" s="83"/>
      <c r="M1645" s="47"/>
      <c r="N1645" s="83"/>
      <c r="O1645" s="47"/>
      <c r="P1645" s="95"/>
      <c r="Q1645" s="47">
        <f>O1645+P1645</f>
        <v>0</v>
      </c>
      <c r="R1645" s="80">
        <v>302.89999999999998</v>
      </c>
      <c r="S1645" s="47">
        <f>Q1645+R1645</f>
        <v>302.89999999999998</v>
      </c>
      <c r="T1645" s="83"/>
      <c r="U1645" s="47">
        <f>S1645+T1645</f>
        <v>302.89999999999998</v>
      </c>
      <c r="V1645" s="83"/>
      <c r="W1645" s="47">
        <f>U1645+V1645</f>
        <v>302.89999999999998</v>
      </c>
      <c r="X1645" s="83"/>
      <c r="Y1645" s="47">
        <f>W1645+X1645</f>
        <v>302.89999999999998</v>
      </c>
      <c r="AA1645" s="189">
        <f>Y1645+Z1645</f>
        <v>302.89999999999998</v>
      </c>
    </row>
    <row r="1646" spans="1:27" ht="60" x14ac:dyDescent="0.25">
      <c r="A1646" s="160" t="s">
        <v>1384</v>
      </c>
      <c r="B1646" s="157" t="s">
        <v>428</v>
      </c>
      <c r="C1646" s="157" t="s">
        <v>1386</v>
      </c>
      <c r="D1646" s="158"/>
      <c r="E1646" s="47"/>
      <c r="F1646" s="47"/>
      <c r="G1646" s="47"/>
      <c r="H1646" s="83"/>
      <c r="I1646" s="47"/>
      <c r="J1646" s="83"/>
      <c r="K1646" s="47"/>
      <c r="L1646" s="83"/>
      <c r="M1646" s="47"/>
      <c r="N1646" s="83"/>
      <c r="O1646" s="47"/>
      <c r="P1646" s="95"/>
      <c r="Q1646" s="47"/>
      <c r="R1646" s="80"/>
      <c r="S1646" s="47"/>
      <c r="T1646" s="79">
        <f>T1647</f>
        <v>0</v>
      </c>
      <c r="U1646" s="47">
        <f t="shared" ref="U1646:U1649" si="423">S1646+T1646</f>
        <v>0</v>
      </c>
      <c r="V1646" s="79">
        <f>V1647</f>
        <v>775</v>
      </c>
      <c r="W1646" s="47">
        <f t="shared" ref="W1646:W1715" si="424">U1646+V1646</f>
        <v>775</v>
      </c>
      <c r="X1646" s="79">
        <f>X1647</f>
        <v>-465</v>
      </c>
      <c r="Y1646" s="47">
        <f t="shared" ref="Y1646:Y1715" si="425">W1646+X1646</f>
        <v>310</v>
      </c>
    </row>
    <row r="1647" spans="1:27" x14ac:dyDescent="0.25">
      <c r="A1647" s="135" t="s">
        <v>574</v>
      </c>
      <c r="B1647" s="159" t="s">
        <v>428</v>
      </c>
      <c r="C1647" s="159" t="s">
        <v>1386</v>
      </c>
      <c r="D1647" s="155">
        <v>612</v>
      </c>
      <c r="E1647" s="47"/>
      <c r="F1647" s="47"/>
      <c r="G1647" s="47"/>
      <c r="H1647" s="83"/>
      <c r="I1647" s="47"/>
      <c r="J1647" s="83"/>
      <c r="K1647" s="47"/>
      <c r="L1647" s="83"/>
      <c r="M1647" s="47"/>
      <c r="N1647" s="83"/>
      <c r="O1647" s="47"/>
      <c r="P1647" s="95"/>
      <c r="Q1647" s="47"/>
      <c r="R1647" s="80"/>
      <c r="S1647" s="47"/>
      <c r="T1647" s="83"/>
      <c r="U1647" s="47">
        <f t="shared" si="423"/>
        <v>0</v>
      </c>
      <c r="V1647" s="39">
        <v>775</v>
      </c>
      <c r="W1647" s="47">
        <f t="shared" si="424"/>
        <v>775</v>
      </c>
      <c r="X1647" s="109">
        <v>-465</v>
      </c>
      <c r="Y1647" s="47">
        <f t="shared" si="425"/>
        <v>310</v>
      </c>
      <c r="AA1647" s="189">
        <f>Y1647+Z1647</f>
        <v>310</v>
      </c>
    </row>
    <row r="1648" spans="1:27" ht="72" x14ac:dyDescent="0.25">
      <c r="A1648" s="160" t="s">
        <v>1385</v>
      </c>
      <c r="B1648" s="176" t="s">
        <v>428</v>
      </c>
      <c r="C1648" s="157" t="s">
        <v>1387</v>
      </c>
      <c r="D1648" s="158"/>
      <c r="E1648" s="47"/>
      <c r="F1648" s="47"/>
      <c r="G1648" s="47"/>
      <c r="H1648" s="83"/>
      <c r="I1648" s="47"/>
      <c r="J1648" s="83"/>
      <c r="K1648" s="47"/>
      <c r="L1648" s="83"/>
      <c r="M1648" s="47"/>
      <c r="N1648" s="83"/>
      <c r="O1648" s="47"/>
      <c r="P1648" s="95"/>
      <c r="Q1648" s="47"/>
      <c r="R1648" s="80"/>
      <c r="S1648" s="47"/>
      <c r="T1648" s="79">
        <f>T1649</f>
        <v>0</v>
      </c>
      <c r="U1648" s="47">
        <f t="shared" si="423"/>
        <v>0</v>
      </c>
      <c r="V1648" s="79">
        <f>V1649</f>
        <v>115.5</v>
      </c>
      <c r="W1648" s="47">
        <f t="shared" si="424"/>
        <v>115.5</v>
      </c>
      <c r="X1648" s="79">
        <f>X1649</f>
        <v>-69.3</v>
      </c>
      <c r="Y1648" s="47">
        <f t="shared" si="425"/>
        <v>46.2</v>
      </c>
    </row>
    <row r="1649" spans="1:27" x14ac:dyDescent="0.25">
      <c r="A1649" s="62" t="s">
        <v>574</v>
      </c>
      <c r="B1649" s="177" t="s">
        <v>428</v>
      </c>
      <c r="C1649" s="159" t="s">
        <v>1387</v>
      </c>
      <c r="D1649" s="155">
        <v>612</v>
      </c>
      <c r="E1649" s="47"/>
      <c r="F1649" s="47"/>
      <c r="G1649" s="47"/>
      <c r="H1649" s="83"/>
      <c r="I1649" s="47"/>
      <c r="J1649" s="83"/>
      <c r="K1649" s="47"/>
      <c r="L1649" s="83"/>
      <c r="M1649" s="47"/>
      <c r="N1649" s="83"/>
      <c r="O1649" s="47"/>
      <c r="P1649" s="95"/>
      <c r="Q1649" s="47"/>
      <c r="R1649" s="80"/>
      <c r="S1649" s="47"/>
      <c r="T1649" s="83"/>
      <c r="U1649" s="47">
        <f t="shared" si="423"/>
        <v>0</v>
      </c>
      <c r="V1649" s="39">
        <v>115.5</v>
      </c>
      <c r="W1649" s="47">
        <f t="shared" si="424"/>
        <v>115.5</v>
      </c>
      <c r="X1649" s="109">
        <v>-69.3</v>
      </c>
      <c r="Y1649" s="47">
        <f t="shared" si="425"/>
        <v>46.2</v>
      </c>
      <c r="AA1649" s="189">
        <f>Y1649+Z1649</f>
        <v>46.2</v>
      </c>
    </row>
    <row r="1650" spans="1:27" s="93" customFormat="1" x14ac:dyDescent="0.25">
      <c r="A1650" s="45" t="s">
        <v>8</v>
      </c>
      <c r="B1650" s="23" t="s">
        <v>428</v>
      </c>
      <c r="C1650" s="54" t="s">
        <v>9</v>
      </c>
      <c r="D1650" s="21"/>
      <c r="E1650" s="69"/>
      <c r="F1650" s="69"/>
      <c r="G1650" s="47"/>
      <c r="H1650" s="69"/>
      <c r="I1650" s="47"/>
      <c r="J1650" s="69"/>
      <c r="K1650" s="47"/>
      <c r="L1650" s="18">
        <f>L1651</f>
        <v>350.4</v>
      </c>
      <c r="M1650" s="47">
        <f t="shared" si="413"/>
        <v>350.4</v>
      </c>
      <c r="N1650" s="18">
        <f>N1651</f>
        <v>0</v>
      </c>
      <c r="O1650" s="47">
        <f t="shared" si="414"/>
        <v>350.4</v>
      </c>
      <c r="P1650" s="18">
        <f>P1651</f>
        <v>0</v>
      </c>
      <c r="Q1650" s="47">
        <f t="shared" si="408"/>
        <v>350.4</v>
      </c>
      <c r="R1650" s="18">
        <f>R1651</f>
        <v>0</v>
      </c>
      <c r="S1650" s="47">
        <f t="shared" ref="S1650:S1747" si="426">Q1650+R1650</f>
        <v>350.4</v>
      </c>
      <c r="T1650" s="18">
        <f>T1651</f>
        <v>0</v>
      </c>
      <c r="U1650" s="47">
        <f t="shared" ref="U1650:U1747" si="427">S1650+T1650</f>
        <v>350.4</v>
      </c>
      <c r="V1650" s="18">
        <f>V1651</f>
        <v>0</v>
      </c>
      <c r="W1650" s="47">
        <f t="shared" si="424"/>
        <v>350.4</v>
      </c>
      <c r="X1650" s="18">
        <f>X1651</f>
        <v>0</v>
      </c>
      <c r="Y1650" s="47">
        <f t="shared" si="425"/>
        <v>350.4</v>
      </c>
      <c r="Z1650" s="195"/>
    </row>
    <row r="1651" spans="1:27" s="93" customFormat="1" x14ac:dyDescent="0.25">
      <c r="A1651" s="40" t="s">
        <v>802</v>
      </c>
      <c r="B1651" s="23" t="s">
        <v>428</v>
      </c>
      <c r="C1651" s="20" t="s">
        <v>803</v>
      </c>
      <c r="D1651" s="21"/>
      <c r="E1651" s="69"/>
      <c r="F1651" s="69"/>
      <c r="G1651" s="47"/>
      <c r="H1651" s="69"/>
      <c r="I1651" s="47"/>
      <c r="J1651" s="69"/>
      <c r="K1651" s="47"/>
      <c r="L1651" s="18">
        <f>L1652</f>
        <v>350.4</v>
      </c>
      <c r="M1651" s="47">
        <f t="shared" si="413"/>
        <v>350.4</v>
      </c>
      <c r="N1651" s="18">
        <f>N1652</f>
        <v>0</v>
      </c>
      <c r="O1651" s="47">
        <f t="shared" si="414"/>
        <v>350.4</v>
      </c>
      <c r="P1651" s="18">
        <f>P1652</f>
        <v>0</v>
      </c>
      <c r="Q1651" s="47">
        <f t="shared" si="408"/>
        <v>350.4</v>
      </c>
      <c r="R1651" s="18">
        <f>R1652</f>
        <v>0</v>
      </c>
      <c r="S1651" s="47">
        <f t="shared" si="426"/>
        <v>350.4</v>
      </c>
      <c r="T1651" s="18">
        <f>T1652</f>
        <v>0</v>
      </c>
      <c r="U1651" s="47">
        <f t="shared" si="427"/>
        <v>350.4</v>
      </c>
      <c r="V1651" s="18">
        <f>V1652</f>
        <v>0</v>
      </c>
      <c r="W1651" s="47">
        <f t="shared" si="424"/>
        <v>350.4</v>
      </c>
      <c r="X1651" s="18">
        <f>X1652</f>
        <v>0</v>
      </c>
      <c r="Y1651" s="47">
        <f t="shared" si="425"/>
        <v>350.4</v>
      </c>
      <c r="Z1651" s="195"/>
    </row>
    <row r="1652" spans="1:27" s="93" customFormat="1" x14ac:dyDescent="0.25">
      <c r="A1652" s="30" t="s">
        <v>66</v>
      </c>
      <c r="B1652" s="26" t="s">
        <v>428</v>
      </c>
      <c r="C1652" s="21" t="s">
        <v>803</v>
      </c>
      <c r="D1652" s="21" t="s">
        <v>42</v>
      </c>
      <c r="E1652" s="69"/>
      <c r="F1652" s="69"/>
      <c r="G1652" s="47"/>
      <c r="H1652" s="69"/>
      <c r="I1652" s="47"/>
      <c r="J1652" s="69"/>
      <c r="K1652" s="47"/>
      <c r="L1652" s="43">
        <v>350.4</v>
      </c>
      <c r="M1652" s="47">
        <f t="shared" si="413"/>
        <v>350.4</v>
      </c>
      <c r="N1652" s="69"/>
      <c r="O1652" s="47">
        <f t="shared" si="414"/>
        <v>350.4</v>
      </c>
      <c r="P1652" s="69"/>
      <c r="Q1652" s="47">
        <f t="shared" si="408"/>
        <v>350.4</v>
      </c>
      <c r="R1652" s="69"/>
      <c r="S1652" s="47">
        <f t="shared" si="426"/>
        <v>350.4</v>
      </c>
      <c r="T1652" s="69"/>
      <c r="U1652" s="47">
        <f t="shared" si="427"/>
        <v>350.4</v>
      </c>
      <c r="V1652" s="69"/>
      <c r="W1652" s="47">
        <f t="shared" si="424"/>
        <v>350.4</v>
      </c>
      <c r="X1652" s="69"/>
      <c r="Y1652" s="47">
        <f t="shared" si="425"/>
        <v>350.4</v>
      </c>
      <c r="Z1652" s="195"/>
      <c r="AA1652" s="189">
        <f>Y1652+Z1652</f>
        <v>350.4</v>
      </c>
    </row>
    <row r="1653" spans="1:27" s="6" customFormat="1" x14ac:dyDescent="0.25">
      <c r="A1653" s="22" t="s">
        <v>448</v>
      </c>
      <c r="B1653" s="23" t="s">
        <v>449</v>
      </c>
      <c r="C1653" s="23" t="s">
        <v>2</v>
      </c>
      <c r="D1653" s="23" t="s">
        <v>2</v>
      </c>
      <c r="E1653" s="24">
        <f>E1654+E1675+E1682+E1687+E1694+E1699+E1723+E1730</f>
        <v>21225.599999999999</v>
      </c>
      <c r="F1653" s="24">
        <f>F1654+F1675+F1682+F1687+F1694+F1699+F1723+F1730</f>
        <v>1174</v>
      </c>
      <c r="G1653" s="24">
        <f t="shared" si="415"/>
        <v>22399.599999999999</v>
      </c>
      <c r="H1653" s="24">
        <f>H1654+H1675+H1682+H1687+H1694+H1699+H1723+H1730</f>
        <v>0</v>
      </c>
      <c r="I1653" s="24">
        <f t="shared" si="411"/>
        <v>22399.599999999999</v>
      </c>
      <c r="J1653" s="24">
        <f>J1654+J1675+J1682+J1687+J1694+J1699+J1723+J1730</f>
        <v>0</v>
      </c>
      <c r="K1653" s="24">
        <f t="shared" si="412"/>
        <v>22399.599999999999</v>
      </c>
      <c r="L1653" s="24">
        <f>L1654+L1675+L1682+L1687+L1694+L1699+L1723+L1730</f>
        <v>378.7</v>
      </c>
      <c r="M1653" s="24">
        <f t="shared" si="413"/>
        <v>22778.3</v>
      </c>
      <c r="N1653" s="24">
        <f>N1654+N1675+N1682+N1687+N1694+N1699+N1723+N1730</f>
        <v>27.700000000000003</v>
      </c>
      <c r="O1653" s="24">
        <f t="shared" si="414"/>
        <v>22806</v>
      </c>
      <c r="P1653" s="24">
        <f>P1654+P1675+P1682+P1687+P1694+P1699+P1723+P1730</f>
        <v>-1100</v>
      </c>
      <c r="Q1653" s="24">
        <f t="shared" si="408"/>
        <v>21706</v>
      </c>
      <c r="R1653" s="24">
        <f>R1654+R1675+R1682+R1687+R1694+R1699+R1723+R1730</f>
        <v>1533.1999999999998</v>
      </c>
      <c r="S1653" s="24">
        <f t="shared" si="426"/>
        <v>23239.200000000001</v>
      </c>
      <c r="T1653" s="24">
        <f>T1654+T1675+T1682+T1687+T1694+T1699+T1723+T1730</f>
        <v>-1224</v>
      </c>
      <c r="U1653" s="24">
        <f t="shared" si="427"/>
        <v>22015.200000000001</v>
      </c>
      <c r="V1653" s="24">
        <f>V1654+V1675+V1682+V1687+V1694+V1699+V1723+V1730</f>
        <v>542.20000000000005</v>
      </c>
      <c r="W1653" s="24">
        <f t="shared" si="424"/>
        <v>22557.4</v>
      </c>
      <c r="X1653" s="24">
        <f>X1654+X1675+X1682+X1687+X1694+X1699+X1723+X1730</f>
        <v>1089</v>
      </c>
      <c r="Y1653" s="24">
        <f t="shared" si="425"/>
        <v>23646.400000000001</v>
      </c>
      <c r="Z1653" s="189"/>
    </row>
    <row r="1654" spans="1:27" s="6" customFormat="1" x14ac:dyDescent="0.25">
      <c r="A1654" s="22" t="s">
        <v>602</v>
      </c>
      <c r="B1654" s="23" t="s">
        <v>449</v>
      </c>
      <c r="C1654" s="23" t="s">
        <v>429</v>
      </c>
      <c r="D1654" s="23" t="s">
        <v>2</v>
      </c>
      <c r="E1654" s="24">
        <f>E1655</f>
        <v>15737</v>
      </c>
      <c r="F1654" s="24">
        <f>F1655</f>
        <v>0</v>
      </c>
      <c r="G1654" s="24">
        <f t="shared" si="415"/>
        <v>15737</v>
      </c>
      <c r="H1654" s="24">
        <f>H1655</f>
        <v>0</v>
      </c>
      <c r="I1654" s="24">
        <f t="shared" si="411"/>
        <v>15737</v>
      </c>
      <c r="J1654" s="24">
        <f>J1655</f>
        <v>0</v>
      </c>
      <c r="K1654" s="24">
        <f t="shared" si="412"/>
        <v>15737</v>
      </c>
      <c r="L1654" s="24">
        <f>L1655</f>
        <v>0</v>
      </c>
      <c r="M1654" s="24">
        <f t="shared" si="413"/>
        <v>15737</v>
      </c>
      <c r="N1654" s="24">
        <f>N1655</f>
        <v>0</v>
      </c>
      <c r="O1654" s="24">
        <f t="shared" si="414"/>
        <v>15737</v>
      </c>
      <c r="P1654" s="24">
        <f>P1655</f>
        <v>-100</v>
      </c>
      <c r="Q1654" s="24">
        <f t="shared" si="408"/>
        <v>15637</v>
      </c>
      <c r="R1654" s="24">
        <f>R1655</f>
        <v>664.09999999999991</v>
      </c>
      <c r="S1654" s="24">
        <f t="shared" si="426"/>
        <v>16301.1</v>
      </c>
      <c r="T1654" s="24">
        <f>T1655</f>
        <v>0</v>
      </c>
      <c r="U1654" s="24">
        <f t="shared" si="427"/>
        <v>16301.1</v>
      </c>
      <c r="V1654" s="24">
        <f>V1655</f>
        <v>480.2</v>
      </c>
      <c r="W1654" s="24">
        <f t="shared" si="424"/>
        <v>16781.3</v>
      </c>
      <c r="X1654" s="24">
        <f>X1655</f>
        <v>1092.3</v>
      </c>
      <c r="Y1654" s="24">
        <f t="shared" si="425"/>
        <v>17873.599999999999</v>
      </c>
      <c r="Z1654" s="189"/>
    </row>
    <row r="1655" spans="1:27" s="6" customFormat="1" ht="24.75" x14ac:dyDescent="0.25">
      <c r="A1655" s="22" t="s">
        <v>445</v>
      </c>
      <c r="B1655" s="23" t="s">
        <v>449</v>
      </c>
      <c r="C1655" s="23" t="s">
        <v>446</v>
      </c>
      <c r="D1655" s="23" t="s">
        <v>2</v>
      </c>
      <c r="E1655" s="24">
        <f>E1659+E1668+E1671+E1673</f>
        <v>15737</v>
      </c>
      <c r="F1655" s="24">
        <f>F1659+F1668+F1671+F1673</f>
        <v>0</v>
      </c>
      <c r="G1655" s="24">
        <f t="shared" si="415"/>
        <v>15737</v>
      </c>
      <c r="H1655" s="24">
        <f>H1659+H1668+H1671+H1673</f>
        <v>0</v>
      </c>
      <c r="I1655" s="24">
        <f t="shared" si="411"/>
        <v>15737</v>
      </c>
      <c r="J1655" s="24">
        <f>J1659+J1668+J1671+J1673</f>
        <v>0</v>
      </c>
      <c r="K1655" s="24">
        <f t="shared" si="412"/>
        <v>15737</v>
      </c>
      <c r="L1655" s="24">
        <f>L1659+L1668+L1671+L1673</f>
        <v>0</v>
      </c>
      <c r="M1655" s="24">
        <f t="shared" si="413"/>
        <v>15737</v>
      </c>
      <c r="N1655" s="24">
        <f>N1659+N1668+N1671+N1673</f>
        <v>0</v>
      </c>
      <c r="O1655" s="24">
        <f t="shared" si="414"/>
        <v>15737</v>
      </c>
      <c r="P1655" s="24">
        <f>P1659+P1668+P1671+P1673</f>
        <v>-100</v>
      </c>
      <c r="Q1655" s="24">
        <f t="shared" si="408"/>
        <v>15637</v>
      </c>
      <c r="R1655" s="24">
        <f>R1659+R1668+R1671+R1673+R1656</f>
        <v>664.09999999999991</v>
      </c>
      <c r="S1655" s="24">
        <f t="shared" si="426"/>
        <v>16301.1</v>
      </c>
      <c r="T1655" s="24">
        <f>T1659+T1668+T1671+T1673+T1656</f>
        <v>0</v>
      </c>
      <c r="U1655" s="24">
        <f t="shared" si="427"/>
        <v>16301.1</v>
      </c>
      <c r="V1655" s="24">
        <f>V1659+V1668+V1671+V1673+V1656+V1665</f>
        <v>480.2</v>
      </c>
      <c r="W1655" s="24">
        <f t="shared" si="424"/>
        <v>16781.3</v>
      </c>
      <c r="X1655" s="24">
        <f>X1659+X1668+X1671+X1673+X1656+X1665</f>
        <v>1092.3</v>
      </c>
      <c r="Y1655" s="24">
        <f t="shared" si="425"/>
        <v>17873.599999999999</v>
      </c>
      <c r="Z1655" s="189"/>
    </row>
    <row r="1656" spans="1:27" s="6" customFormat="1" x14ac:dyDescent="0.25">
      <c r="A1656" s="16" t="s">
        <v>769</v>
      </c>
      <c r="B1656" s="20" t="s">
        <v>449</v>
      </c>
      <c r="C1656" s="20" t="s">
        <v>1247</v>
      </c>
      <c r="D1656" s="20" t="s">
        <v>2</v>
      </c>
      <c r="E1656" s="24"/>
      <c r="F1656" s="24"/>
      <c r="G1656" s="24"/>
      <c r="H1656" s="24"/>
      <c r="I1656" s="24"/>
      <c r="J1656" s="24"/>
      <c r="K1656" s="24"/>
      <c r="L1656" s="24"/>
      <c r="M1656" s="24"/>
      <c r="N1656" s="24"/>
      <c r="O1656" s="24"/>
      <c r="P1656" s="24"/>
      <c r="Q1656" s="24"/>
      <c r="R1656" s="18">
        <f>R1657+R1658</f>
        <v>133.19999999999999</v>
      </c>
      <c r="S1656" s="24">
        <f t="shared" si="426"/>
        <v>133.19999999999999</v>
      </c>
      <c r="T1656" s="18">
        <f>T1657+T1658</f>
        <v>0</v>
      </c>
      <c r="U1656" s="24">
        <f t="shared" si="427"/>
        <v>133.19999999999999</v>
      </c>
      <c r="V1656" s="18">
        <f>V1657+V1658</f>
        <v>0</v>
      </c>
      <c r="W1656" s="24">
        <f t="shared" si="424"/>
        <v>133.19999999999999</v>
      </c>
      <c r="X1656" s="18">
        <f>X1657+X1658</f>
        <v>0</v>
      </c>
      <c r="Y1656" s="24">
        <f t="shared" si="425"/>
        <v>133.19999999999999</v>
      </c>
      <c r="Z1656" s="189"/>
    </row>
    <row r="1657" spans="1:27" s="6" customFormat="1" x14ac:dyDescent="0.25">
      <c r="A1657" s="17" t="s">
        <v>560</v>
      </c>
      <c r="B1657" s="21" t="s">
        <v>449</v>
      </c>
      <c r="C1657" s="21" t="s">
        <v>1247</v>
      </c>
      <c r="D1657" s="21" t="s">
        <v>12</v>
      </c>
      <c r="E1657" s="24"/>
      <c r="F1657" s="24"/>
      <c r="G1657" s="24"/>
      <c r="H1657" s="24"/>
      <c r="I1657" s="24"/>
      <c r="J1657" s="24"/>
      <c r="K1657" s="24"/>
      <c r="L1657" s="24"/>
      <c r="M1657" s="24"/>
      <c r="N1657" s="24"/>
      <c r="O1657" s="24"/>
      <c r="P1657" s="24"/>
      <c r="Q1657" s="24"/>
      <c r="R1657" s="43">
        <v>102.3</v>
      </c>
      <c r="S1657" s="24">
        <f t="shared" si="426"/>
        <v>102.3</v>
      </c>
      <c r="T1657" s="69"/>
      <c r="U1657" s="24">
        <f t="shared" si="427"/>
        <v>102.3</v>
      </c>
      <c r="V1657" s="69"/>
      <c r="W1657" s="24">
        <f t="shared" si="424"/>
        <v>102.3</v>
      </c>
      <c r="X1657" s="69"/>
      <c r="Y1657" s="24">
        <f t="shared" si="425"/>
        <v>102.3</v>
      </c>
      <c r="Z1657" s="189"/>
      <c r="AA1657" s="189">
        <f t="shared" ref="AA1657:AA1658" si="428">Y1657+Z1657</f>
        <v>102.3</v>
      </c>
    </row>
    <row r="1658" spans="1:27" s="6" customFormat="1" ht="36.75" x14ac:dyDescent="0.25">
      <c r="A1658" s="17" t="s">
        <v>561</v>
      </c>
      <c r="B1658" s="21" t="s">
        <v>449</v>
      </c>
      <c r="C1658" s="21" t="s">
        <v>1247</v>
      </c>
      <c r="D1658" s="21" t="s">
        <v>13</v>
      </c>
      <c r="E1658" s="24"/>
      <c r="F1658" s="24"/>
      <c r="G1658" s="24"/>
      <c r="H1658" s="24"/>
      <c r="I1658" s="24"/>
      <c r="J1658" s="24"/>
      <c r="K1658" s="24"/>
      <c r="L1658" s="24"/>
      <c r="M1658" s="24"/>
      <c r="N1658" s="24"/>
      <c r="O1658" s="24"/>
      <c r="P1658" s="24"/>
      <c r="Q1658" s="24"/>
      <c r="R1658" s="43">
        <v>30.9</v>
      </c>
      <c r="S1658" s="24">
        <f t="shared" si="426"/>
        <v>30.9</v>
      </c>
      <c r="T1658" s="69"/>
      <c r="U1658" s="24">
        <f t="shared" si="427"/>
        <v>30.9</v>
      </c>
      <c r="V1658" s="69"/>
      <c r="W1658" s="24">
        <f t="shared" si="424"/>
        <v>30.9</v>
      </c>
      <c r="X1658" s="69"/>
      <c r="Y1658" s="24">
        <f t="shared" si="425"/>
        <v>30.9</v>
      </c>
      <c r="Z1658" s="189"/>
      <c r="AA1658" s="189">
        <f t="shared" si="428"/>
        <v>30.9</v>
      </c>
    </row>
    <row r="1659" spans="1:27" s="6" customFormat="1" x14ac:dyDescent="0.25">
      <c r="A1659" s="22" t="s">
        <v>52</v>
      </c>
      <c r="B1659" s="23" t="s">
        <v>449</v>
      </c>
      <c r="C1659" s="23" t="s">
        <v>450</v>
      </c>
      <c r="D1659" s="23" t="s">
        <v>2</v>
      </c>
      <c r="E1659" s="24">
        <f>E1660+E1661+E1662+E1664</f>
        <v>3860</v>
      </c>
      <c r="F1659" s="24">
        <f>F1660+F1661+F1662+F1664</f>
        <v>0</v>
      </c>
      <c r="G1659" s="24">
        <f t="shared" si="415"/>
        <v>3860</v>
      </c>
      <c r="H1659" s="24">
        <f>H1660+H1661+H1662+H1664</f>
        <v>0</v>
      </c>
      <c r="I1659" s="24">
        <f t="shared" si="411"/>
        <v>3860</v>
      </c>
      <c r="J1659" s="24">
        <f>J1660+J1661+J1662+J1664</f>
        <v>0</v>
      </c>
      <c r="K1659" s="24">
        <f t="shared" si="412"/>
        <v>3860</v>
      </c>
      <c r="L1659" s="24">
        <f>L1660+L1661+L1662+L1664</f>
        <v>0</v>
      </c>
      <c r="M1659" s="24">
        <f t="shared" si="413"/>
        <v>3860</v>
      </c>
      <c r="N1659" s="18">
        <f>N1660+N1661+N1662+N1664+N1663</f>
        <v>0</v>
      </c>
      <c r="O1659" s="24">
        <f t="shared" si="414"/>
        <v>3860</v>
      </c>
      <c r="P1659" s="18">
        <f>P1660+P1661+P1662+P1664+P1663</f>
        <v>-50</v>
      </c>
      <c r="Q1659" s="24">
        <f t="shared" si="408"/>
        <v>3810</v>
      </c>
      <c r="R1659" s="18">
        <f>R1660+R1661+R1662+R1664+R1663</f>
        <v>530.9</v>
      </c>
      <c r="S1659" s="24">
        <f t="shared" si="426"/>
        <v>4340.8999999999996</v>
      </c>
      <c r="T1659" s="18">
        <f>T1660+T1661+T1662+T1664+T1663</f>
        <v>0</v>
      </c>
      <c r="U1659" s="24">
        <f t="shared" si="427"/>
        <v>4340.8999999999996</v>
      </c>
      <c r="V1659" s="18">
        <f>V1660+V1661+V1662+V1664+V1663</f>
        <v>445.4</v>
      </c>
      <c r="W1659" s="24">
        <f t="shared" si="424"/>
        <v>4786.2999999999993</v>
      </c>
      <c r="X1659" s="18">
        <f>X1660+X1661+X1662+X1664+X1663</f>
        <v>0</v>
      </c>
      <c r="Y1659" s="24">
        <f t="shared" si="425"/>
        <v>4786.2999999999993</v>
      </c>
      <c r="Z1659" s="189"/>
    </row>
    <row r="1660" spans="1:27" x14ac:dyDescent="0.25">
      <c r="A1660" s="25" t="s">
        <v>560</v>
      </c>
      <c r="B1660" s="26" t="s">
        <v>449</v>
      </c>
      <c r="C1660" s="26" t="s">
        <v>450</v>
      </c>
      <c r="D1660" s="26" t="s">
        <v>12</v>
      </c>
      <c r="E1660" s="27">
        <f>25+2273.8</f>
        <v>2298.8000000000002</v>
      </c>
      <c r="F1660" s="27"/>
      <c r="G1660" s="24">
        <f t="shared" si="415"/>
        <v>2298.8000000000002</v>
      </c>
      <c r="H1660" s="27"/>
      <c r="I1660" s="24">
        <f t="shared" si="411"/>
        <v>2298.8000000000002</v>
      </c>
      <c r="J1660" s="27"/>
      <c r="K1660" s="24">
        <f t="shared" si="412"/>
        <v>2298.8000000000002</v>
      </c>
      <c r="L1660" s="27"/>
      <c r="M1660" s="24">
        <f t="shared" si="413"/>
        <v>2298.8000000000002</v>
      </c>
      <c r="N1660" s="19"/>
      <c r="O1660" s="24">
        <f t="shared" si="414"/>
        <v>2298.8000000000002</v>
      </c>
      <c r="P1660" s="19"/>
      <c r="Q1660" s="24">
        <f t="shared" si="408"/>
        <v>2298.8000000000002</v>
      </c>
      <c r="R1660" s="39">
        <v>377.2</v>
      </c>
      <c r="S1660" s="24">
        <f t="shared" si="426"/>
        <v>2676</v>
      </c>
      <c r="T1660" s="69"/>
      <c r="U1660" s="24">
        <f t="shared" si="427"/>
        <v>2676</v>
      </c>
      <c r="V1660" s="94">
        <v>402</v>
      </c>
      <c r="W1660" s="24">
        <f t="shared" si="424"/>
        <v>3078</v>
      </c>
      <c r="X1660" s="69"/>
      <c r="Y1660" s="24">
        <f t="shared" si="425"/>
        <v>3078</v>
      </c>
      <c r="AA1660" s="189">
        <f t="shared" ref="AA1660:AA1664" si="429">Y1660+Z1660</f>
        <v>3078</v>
      </c>
    </row>
    <row r="1661" spans="1:27" ht="24.75" x14ac:dyDescent="0.25">
      <c r="A1661" s="25" t="s">
        <v>566</v>
      </c>
      <c r="B1661" s="26" t="s">
        <v>449</v>
      </c>
      <c r="C1661" s="26" t="s">
        <v>450</v>
      </c>
      <c r="D1661" s="26" t="s">
        <v>39</v>
      </c>
      <c r="E1661" s="27">
        <v>2</v>
      </c>
      <c r="F1661" s="27"/>
      <c r="G1661" s="24">
        <f t="shared" si="415"/>
        <v>2</v>
      </c>
      <c r="H1661" s="27"/>
      <c r="I1661" s="24">
        <f t="shared" si="411"/>
        <v>2</v>
      </c>
      <c r="J1661" s="27"/>
      <c r="K1661" s="24">
        <f t="shared" si="412"/>
        <v>2</v>
      </c>
      <c r="L1661" s="27"/>
      <c r="M1661" s="24">
        <f t="shared" si="413"/>
        <v>2</v>
      </c>
      <c r="N1661" s="19"/>
      <c r="O1661" s="24">
        <f t="shared" si="414"/>
        <v>2</v>
      </c>
      <c r="P1661" s="19"/>
      <c r="Q1661" s="24">
        <f t="shared" si="408"/>
        <v>2</v>
      </c>
      <c r="R1661" s="39">
        <v>0.8</v>
      </c>
      <c r="S1661" s="24">
        <f t="shared" si="426"/>
        <v>2.8</v>
      </c>
      <c r="T1661" s="69"/>
      <c r="U1661" s="24">
        <f t="shared" si="427"/>
        <v>2.8</v>
      </c>
      <c r="V1661" s="69"/>
      <c r="W1661" s="24">
        <f t="shared" si="424"/>
        <v>2.8</v>
      </c>
      <c r="X1661" s="69"/>
      <c r="Y1661" s="24">
        <f t="shared" si="425"/>
        <v>2.8</v>
      </c>
      <c r="AA1661" s="189">
        <f t="shared" si="429"/>
        <v>2.8</v>
      </c>
    </row>
    <row r="1662" spans="1:27" ht="28.5" customHeight="1" x14ac:dyDescent="0.25">
      <c r="A1662" s="25" t="s">
        <v>561</v>
      </c>
      <c r="B1662" s="26" t="s">
        <v>449</v>
      </c>
      <c r="C1662" s="26" t="s">
        <v>450</v>
      </c>
      <c r="D1662" s="26" t="s">
        <v>13</v>
      </c>
      <c r="E1662" s="27">
        <v>694.2</v>
      </c>
      <c r="F1662" s="27"/>
      <c r="G1662" s="24">
        <f t="shared" si="415"/>
        <v>694.2</v>
      </c>
      <c r="H1662" s="27"/>
      <c r="I1662" s="24">
        <f t="shared" si="411"/>
        <v>694.2</v>
      </c>
      <c r="J1662" s="27"/>
      <c r="K1662" s="24">
        <f t="shared" si="412"/>
        <v>694.2</v>
      </c>
      <c r="L1662" s="27"/>
      <c r="M1662" s="24">
        <f t="shared" si="413"/>
        <v>694.2</v>
      </c>
      <c r="N1662" s="19"/>
      <c r="O1662" s="24">
        <f t="shared" si="414"/>
        <v>694.2</v>
      </c>
      <c r="P1662" s="19"/>
      <c r="Q1662" s="24">
        <f t="shared" si="408"/>
        <v>694.2</v>
      </c>
      <c r="R1662" s="39">
        <v>153.69999999999999</v>
      </c>
      <c r="S1662" s="24">
        <f t="shared" si="426"/>
        <v>847.90000000000009</v>
      </c>
      <c r="T1662" s="69"/>
      <c r="U1662" s="24">
        <f t="shared" si="427"/>
        <v>847.90000000000009</v>
      </c>
      <c r="V1662" s="94">
        <v>121.4</v>
      </c>
      <c r="W1662" s="24">
        <f t="shared" si="424"/>
        <v>969.30000000000007</v>
      </c>
      <c r="X1662" s="69"/>
      <c r="Y1662" s="24">
        <f t="shared" si="425"/>
        <v>969.30000000000007</v>
      </c>
      <c r="AA1662" s="189">
        <f t="shared" si="429"/>
        <v>969.30000000000007</v>
      </c>
    </row>
    <row r="1663" spans="1:27" ht="25.5" customHeight="1" x14ac:dyDescent="0.25">
      <c r="A1663" s="62" t="s">
        <v>562</v>
      </c>
      <c r="B1663" s="21" t="s">
        <v>449</v>
      </c>
      <c r="C1663" s="21" t="s">
        <v>450</v>
      </c>
      <c r="D1663" s="21" t="s">
        <v>40</v>
      </c>
      <c r="E1663" s="27"/>
      <c r="F1663" s="27"/>
      <c r="G1663" s="24"/>
      <c r="H1663" s="27"/>
      <c r="I1663" s="24"/>
      <c r="J1663" s="27"/>
      <c r="K1663" s="24"/>
      <c r="L1663" s="27"/>
      <c r="M1663" s="24"/>
      <c r="N1663" s="63">
        <v>40.200000000000003</v>
      </c>
      <c r="O1663" s="24">
        <f t="shared" si="414"/>
        <v>40.200000000000003</v>
      </c>
      <c r="P1663" s="69"/>
      <c r="Q1663" s="24">
        <f t="shared" si="408"/>
        <v>40.200000000000003</v>
      </c>
      <c r="R1663" s="39">
        <v>5.3</v>
      </c>
      <c r="S1663" s="24">
        <f t="shared" si="426"/>
        <v>45.5</v>
      </c>
      <c r="T1663" s="69"/>
      <c r="U1663" s="24">
        <f t="shared" si="427"/>
        <v>45.5</v>
      </c>
      <c r="V1663" s="69"/>
      <c r="W1663" s="24">
        <f t="shared" si="424"/>
        <v>45.5</v>
      </c>
      <c r="X1663" s="69"/>
      <c r="Y1663" s="24">
        <f t="shared" si="425"/>
        <v>45.5</v>
      </c>
      <c r="AA1663" s="189">
        <f t="shared" si="429"/>
        <v>45.5</v>
      </c>
    </row>
    <row r="1664" spans="1:27" x14ac:dyDescent="0.25">
      <c r="A1664" s="25" t="s">
        <v>66</v>
      </c>
      <c r="B1664" s="26" t="s">
        <v>449</v>
      </c>
      <c r="C1664" s="26" t="s">
        <v>450</v>
      </c>
      <c r="D1664" s="26" t="s">
        <v>42</v>
      </c>
      <c r="E1664" s="27">
        <v>865</v>
      </c>
      <c r="F1664" s="27"/>
      <c r="G1664" s="24">
        <f t="shared" si="415"/>
        <v>865</v>
      </c>
      <c r="H1664" s="27"/>
      <c r="I1664" s="24">
        <f t="shared" si="411"/>
        <v>865</v>
      </c>
      <c r="J1664" s="27"/>
      <c r="K1664" s="24">
        <f t="shared" si="412"/>
        <v>865</v>
      </c>
      <c r="L1664" s="27"/>
      <c r="M1664" s="24">
        <f t="shared" si="413"/>
        <v>865</v>
      </c>
      <c r="N1664" s="63">
        <v>-40.200000000000003</v>
      </c>
      <c r="O1664" s="24">
        <f t="shared" si="414"/>
        <v>824.8</v>
      </c>
      <c r="P1664" s="94">
        <v>-50</v>
      </c>
      <c r="Q1664" s="24">
        <f t="shared" si="408"/>
        <v>774.8</v>
      </c>
      <c r="R1664" s="39">
        <v>-6.1</v>
      </c>
      <c r="S1664" s="24">
        <f t="shared" si="426"/>
        <v>768.69999999999993</v>
      </c>
      <c r="T1664" s="69"/>
      <c r="U1664" s="24">
        <f t="shared" si="427"/>
        <v>768.69999999999993</v>
      </c>
      <c r="V1664" s="94">
        <v>-78</v>
      </c>
      <c r="W1664" s="24">
        <f t="shared" si="424"/>
        <v>690.69999999999993</v>
      </c>
      <c r="X1664" s="69"/>
      <c r="Y1664" s="24">
        <f t="shared" si="425"/>
        <v>690.69999999999993</v>
      </c>
      <c r="AA1664" s="189">
        <f t="shared" si="429"/>
        <v>690.69999999999993</v>
      </c>
    </row>
    <row r="1665" spans="1:27" x14ac:dyDescent="0.25">
      <c r="A1665" s="100" t="s">
        <v>841</v>
      </c>
      <c r="B1665" s="20" t="s">
        <v>449</v>
      </c>
      <c r="C1665" s="20" t="s">
        <v>1406</v>
      </c>
      <c r="D1665" s="20" t="s">
        <v>2</v>
      </c>
      <c r="E1665" s="27"/>
      <c r="F1665" s="27"/>
      <c r="G1665" s="24"/>
      <c r="H1665" s="27"/>
      <c r="I1665" s="24"/>
      <c r="J1665" s="27"/>
      <c r="K1665" s="24"/>
      <c r="L1665" s="27"/>
      <c r="M1665" s="24"/>
      <c r="N1665" s="63"/>
      <c r="O1665" s="24"/>
      <c r="P1665" s="94"/>
      <c r="Q1665" s="24"/>
      <c r="R1665" s="39"/>
      <c r="S1665" s="24"/>
      <c r="T1665" s="69"/>
      <c r="U1665" s="24"/>
      <c r="V1665" s="47">
        <f>V1666+V1667</f>
        <v>34.799999999999997</v>
      </c>
      <c r="W1665" s="24">
        <f t="shared" si="424"/>
        <v>34.799999999999997</v>
      </c>
      <c r="X1665" s="47">
        <f>X1666+X1667</f>
        <v>-7.7</v>
      </c>
      <c r="Y1665" s="24">
        <f t="shared" si="425"/>
        <v>27.099999999999998</v>
      </c>
    </row>
    <row r="1666" spans="1:27" x14ac:dyDescent="0.25">
      <c r="A1666" s="17" t="s">
        <v>560</v>
      </c>
      <c r="B1666" s="21" t="s">
        <v>449</v>
      </c>
      <c r="C1666" s="21" t="s">
        <v>1406</v>
      </c>
      <c r="D1666" s="21" t="s">
        <v>12</v>
      </c>
      <c r="E1666" s="27"/>
      <c r="F1666" s="27"/>
      <c r="G1666" s="24"/>
      <c r="H1666" s="27"/>
      <c r="I1666" s="24"/>
      <c r="J1666" s="27"/>
      <c r="K1666" s="24"/>
      <c r="L1666" s="27"/>
      <c r="M1666" s="24"/>
      <c r="N1666" s="63"/>
      <c r="O1666" s="24"/>
      <c r="P1666" s="94"/>
      <c r="Q1666" s="24"/>
      <c r="R1666" s="39"/>
      <c r="S1666" s="24"/>
      <c r="T1666" s="69"/>
      <c r="U1666" s="24"/>
      <c r="V1666" s="181">
        <v>26.7</v>
      </c>
      <c r="W1666" s="24">
        <f t="shared" si="424"/>
        <v>26.7</v>
      </c>
      <c r="X1666" s="39">
        <v>-5.9</v>
      </c>
      <c r="Y1666" s="24">
        <f t="shared" si="425"/>
        <v>20.799999999999997</v>
      </c>
      <c r="AA1666" s="189">
        <f t="shared" ref="AA1666:AA1667" si="430">Y1666+Z1666</f>
        <v>20.799999999999997</v>
      </c>
    </row>
    <row r="1667" spans="1:27" ht="36.75" x14ac:dyDescent="0.25">
      <c r="A1667" s="17" t="s">
        <v>561</v>
      </c>
      <c r="B1667" s="21" t="s">
        <v>449</v>
      </c>
      <c r="C1667" s="21" t="s">
        <v>1406</v>
      </c>
      <c r="D1667" s="21" t="s">
        <v>13</v>
      </c>
      <c r="E1667" s="27"/>
      <c r="F1667" s="27"/>
      <c r="G1667" s="24"/>
      <c r="H1667" s="27"/>
      <c r="I1667" s="24"/>
      <c r="J1667" s="27"/>
      <c r="K1667" s="24"/>
      <c r="L1667" s="27"/>
      <c r="M1667" s="24"/>
      <c r="N1667" s="63"/>
      <c r="O1667" s="24"/>
      <c r="P1667" s="94"/>
      <c r="Q1667" s="24"/>
      <c r="R1667" s="39"/>
      <c r="S1667" s="24"/>
      <c r="T1667" s="69"/>
      <c r="U1667" s="24"/>
      <c r="V1667" s="181">
        <v>8.1</v>
      </c>
      <c r="W1667" s="24">
        <f t="shared" si="424"/>
        <v>8.1</v>
      </c>
      <c r="X1667" s="39">
        <v>-1.8</v>
      </c>
      <c r="Y1667" s="24">
        <f t="shared" si="425"/>
        <v>6.3</v>
      </c>
      <c r="AA1667" s="189">
        <f t="shared" si="430"/>
        <v>6.3</v>
      </c>
    </row>
    <row r="1668" spans="1:27" s="6" customFormat="1" ht="24.75" x14ac:dyDescent="0.25">
      <c r="A1668" s="22" t="s">
        <v>84</v>
      </c>
      <c r="B1668" s="23" t="s">
        <v>449</v>
      </c>
      <c r="C1668" s="23" t="s">
        <v>451</v>
      </c>
      <c r="D1668" s="23" t="s">
        <v>2</v>
      </c>
      <c r="E1668" s="24">
        <f>E1669+E1670</f>
        <v>5767</v>
      </c>
      <c r="F1668" s="24">
        <f>F1669+F1670</f>
        <v>0</v>
      </c>
      <c r="G1668" s="24">
        <f t="shared" si="415"/>
        <v>5767</v>
      </c>
      <c r="H1668" s="24">
        <f>H1669+H1670</f>
        <v>0</v>
      </c>
      <c r="I1668" s="24">
        <f t="shared" si="411"/>
        <v>5767</v>
      </c>
      <c r="J1668" s="24">
        <f>J1669+J1670</f>
        <v>0</v>
      </c>
      <c r="K1668" s="24">
        <f t="shared" si="412"/>
        <v>5767</v>
      </c>
      <c r="L1668" s="24">
        <f>L1669+L1670</f>
        <v>0</v>
      </c>
      <c r="M1668" s="24">
        <f t="shared" si="413"/>
        <v>5767</v>
      </c>
      <c r="N1668" s="24">
        <f>N1669+N1670</f>
        <v>0</v>
      </c>
      <c r="O1668" s="24">
        <f t="shared" si="414"/>
        <v>5767</v>
      </c>
      <c r="P1668" s="24">
        <f>P1669+P1670</f>
        <v>-50</v>
      </c>
      <c r="Q1668" s="24">
        <f t="shared" si="408"/>
        <v>5717</v>
      </c>
      <c r="R1668" s="24">
        <f>R1669+R1670</f>
        <v>0</v>
      </c>
      <c r="S1668" s="24">
        <f t="shared" si="426"/>
        <v>5717</v>
      </c>
      <c r="T1668" s="24">
        <f>T1669+T1670</f>
        <v>0</v>
      </c>
      <c r="U1668" s="24">
        <f t="shared" si="427"/>
        <v>5717</v>
      </c>
      <c r="V1668" s="24">
        <f>V1669+V1670</f>
        <v>0</v>
      </c>
      <c r="W1668" s="24">
        <f t="shared" si="424"/>
        <v>5717</v>
      </c>
      <c r="X1668" s="24">
        <f>X1669+X1670</f>
        <v>0</v>
      </c>
      <c r="Y1668" s="24">
        <f t="shared" si="425"/>
        <v>5717</v>
      </c>
      <c r="Z1668" s="189"/>
    </row>
    <row r="1669" spans="1:27" ht="36.75" x14ac:dyDescent="0.25">
      <c r="A1669" s="25" t="s">
        <v>573</v>
      </c>
      <c r="B1669" s="26" t="s">
        <v>449</v>
      </c>
      <c r="C1669" s="26" t="s">
        <v>451</v>
      </c>
      <c r="D1669" s="26" t="s">
        <v>83</v>
      </c>
      <c r="E1669" s="27">
        <v>5717</v>
      </c>
      <c r="F1669" s="27"/>
      <c r="G1669" s="24">
        <f t="shared" si="415"/>
        <v>5717</v>
      </c>
      <c r="H1669" s="27"/>
      <c r="I1669" s="24">
        <f t="shared" si="411"/>
        <v>5717</v>
      </c>
      <c r="J1669" s="27"/>
      <c r="K1669" s="24">
        <f t="shared" si="412"/>
        <v>5717</v>
      </c>
      <c r="L1669" s="27"/>
      <c r="M1669" s="24">
        <f t="shared" si="413"/>
        <v>5717</v>
      </c>
      <c r="N1669" s="27"/>
      <c r="O1669" s="24">
        <f t="shared" si="414"/>
        <v>5717</v>
      </c>
      <c r="P1669" s="27"/>
      <c r="Q1669" s="24">
        <f t="shared" si="408"/>
        <v>5717</v>
      </c>
      <c r="R1669" s="27"/>
      <c r="S1669" s="24">
        <f t="shared" si="426"/>
        <v>5717</v>
      </c>
      <c r="T1669" s="69"/>
      <c r="U1669" s="24">
        <f t="shared" si="427"/>
        <v>5717</v>
      </c>
      <c r="V1669" s="69"/>
      <c r="W1669" s="24">
        <f t="shared" si="424"/>
        <v>5717</v>
      </c>
      <c r="X1669" s="69"/>
      <c r="Y1669" s="24">
        <f t="shared" si="425"/>
        <v>5717</v>
      </c>
      <c r="AA1669" s="189">
        <f t="shared" ref="AA1669:AA1670" si="431">Y1669+Z1669</f>
        <v>5717</v>
      </c>
    </row>
    <row r="1670" spans="1:27" hidden="1" x14ac:dyDescent="0.25">
      <c r="A1670" s="25" t="s">
        <v>574</v>
      </c>
      <c r="B1670" s="26" t="s">
        <v>449</v>
      </c>
      <c r="C1670" s="26" t="s">
        <v>453</v>
      </c>
      <c r="D1670" s="26" t="s">
        <v>81</v>
      </c>
      <c r="E1670" s="27">
        <v>50</v>
      </c>
      <c r="F1670" s="27"/>
      <c r="G1670" s="24">
        <f t="shared" si="415"/>
        <v>50</v>
      </c>
      <c r="H1670" s="27"/>
      <c r="I1670" s="24">
        <f t="shared" si="411"/>
        <v>50</v>
      </c>
      <c r="J1670" s="27"/>
      <c r="K1670" s="24">
        <f t="shared" si="412"/>
        <v>50</v>
      </c>
      <c r="L1670" s="27"/>
      <c r="M1670" s="24">
        <f t="shared" si="413"/>
        <v>50</v>
      </c>
      <c r="N1670" s="27"/>
      <c r="O1670" s="24">
        <f t="shared" si="414"/>
        <v>50</v>
      </c>
      <c r="P1670" s="94">
        <v>-50</v>
      </c>
      <c r="Q1670" s="24">
        <f t="shared" si="408"/>
        <v>0</v>
      </c>
      <c r="R1670" s="69"/>
      <c r="S1670" s="24">
        <f t="shared" si="426"/>
        <v>0</v>
      </c>
      <c r="T1670" s="69"/>
      <c r="U1670" s="24">
        <f t="shared" si="427"/>
        <v>0</v>
      </c>
      <c r="V1670" s="69"/>
      <c r="W1670" s="24">
        <f t="shared" si="424"/>
        <v>0</v>
      </c>
      <c r="X1670" s="69"/>
      <c r="Y1670" s="24">
        <f t="shared" si="425"/>
        <v>0</v>
      </c>
      <c r="AA1670" s="189">
        <f t="shared" si="431"/>
        <v>0</v>
      </c>
    </row>
    <row r="1671" spans="1:27" s="6" customFormat="1" ht="24.75" x14ac:dyDescent="0.25">
      <c r="A1671" s="22" t="s">
        <v>452</v>
      </c>
      <c r="B1671" s="23" t="s">
        <v>449</v>
      </c>
      <c r="C1671" s="23" t="s">
        <v>453</v>
      </c>
      <c r="D1671" s="23" t="s">
        <v>2</v>
      </c>
      <c r="E1671" s="24">
        <f>E1672</f>
        <v>1752.8</v>
      </c>
      <c r="F1671" s="24">
        <f>F1672</f>
        <v>0</v>
      </c>
      <c r="G1671" s="24">
        <f t="shared" si="415"/>
        <v>1752.8</v>
      </c>
      <c r="H1671" s="24">
        <f>H1672</f>
        <v>0</v>
      </c>
      <c r="I1671" s="24">
        <f t="shared" si="411"/>
        <v>1752.8</v>
      </c>
      <c r="J1671" s="24">
        <f>J1672</f>
        <v>0</v>
      </c>
      <c r="K1671" s="24">
        <f t="shared" si="412"/>
        <v>1752.8</v>
      </c>
      <c r="L1671" s="24">
        <f>L1672</f>
        <v>0</v>
      </c>
      <c r="M1671" s="24">
        <f t="shared" si="413"/>
        <v>1752.8</v>
      </c>
      <c r="N1671" s="24">
        <f>N1672</f>
        <v>0</v>
      </c>
      <c r="O1671" s="24">
        <f t="shared" si="414"/>
        <v>1752.8</v>
      </c>
      <c r="P1671" s="24">
        <f>P1672</f>
        <v>0</v>
      </c>
      <c r="Q1671" s="24">
        <f t="shared" si="408"/>
        <v>1752.8</v>
      </c>
      <c r="R1671" s="24">
        <f>R1672</f>
        <v>0</v>
      </c>
      <c r="S1671" s="24">
        <f t="shared" si="426"/>
        <v>1752.8</v>
      </c>
      <c r="T1671" s="24">
        <f>T1672</f>
        <v>0</v>
      </c>
      <c r="U1671" s="24">
        <f t="shared" si="427"/>
        <v>1752.8</v>
      </c>
      <c r="V1671" s="24">
        <f>V1672</f>
        <v>0</v>
      </c>
      <c r="W1671" s="24">
        <f t="shared" si="424"/>
        <v>1752.8</v>
      </c>
      <c r="X1671" s="24">
        <f>X1672</f>
        <v>1100</v>
      </c>
      <c r="Y1671" s="24">
        <f t="shared" si="425"/>
        <v>2852.8</v>
      </c>
      <c r="Z1671" s="189"/>
    </row>
    <row r="1672" spans="1:27" ht="36.75" x14ac:dyDescent="0.25">
      <c r="A1672" s="25" t="s">
        <v>573</v>
      </c>
      <c r="B1672" s="26" t="s">
        <v>449</v>
      </c>
      <c r="C1672" s="26" t="s">
        <v>453</v>
      </c>
      <c r="D1672" s="26" t="s">
        <v>83</v>
      </c>
      <c r="E1672" s="27">
        <v>1752.8</v>
      </c>
      <c r="F1672" s="27"/>
      <c r="G1672" s="24">
        <f t="shared" si="415"/>
        <v>1752.8</v>
      </c>
      <c r="H1672" s="27"/>
      <c r="I1672" s="24">
        <f t="shared" si="411"/>
        <v>1752.8</v>
      </c>
      <c r="J1672" s="27"/>
      <c r="K1672" s="24">
        <f t="shared" si="412"/>
        <v>1752.8</v>
      </c>
      <c r="L1672" s="27"/>
      <c r="M1672" s="24">
        <f t="shared" si="413"/>
        <v>1752.8</v>
      </c>
      <c r="N1672" s="27"/>
      <c r="O1672" s="24">
        <f t="shared" si="414"/>
        <v>1752.8</v>
      </c>
      <c r="P1672" s="27"/>
      <c r="Q1672" s="24">
        <f t="shared" si="408"/>
        <v>1752.8</v>
      </c>
      <c r="R1672" s="27"/>
      <c r="S1672" s="24">
        <f t="shared" si="426"/>
        <v>1752.8</v>
      </c>
      <c r="T1672" s="69"/>
      <c r="U1672" s="24">
        <f t="shared" si="427"/>
        <v>1752.8</v>
      </c>
      <c r="V1672" s="69"/>
      <c r="W1672" s="24">
        <f t="shared" si="424"/>
        <v>1752.8</v>
      </c>
      <c r="X1672" s="39">
        <v>1100</v>
      </c>
      <c r="Y1672" s="24">
        <f t="shared" si="425"/>
        <v>2852.8</v>
      </c>
      <c r="Z1672" s="61">
        <v>1100</v>
      </c>
      <c r="AA1672" s="189">
        <f>Y1672+Z1672</f>
        <v>3952.8</v>
      </c>
    </row>
    <row r="1673" spans="1:27" s="6" customFormat="1" x14ac:dyDescent="0.25">
      <c r="A1673" s="22" t="s">
        <v>119</v>
      </c>
      <c r="B1673" s="23" t="s">
        <v>449</v>
      </c>
      <c r="C1673" s="23" t="s">
        <v>454</v>
      </c>
      <c r="D1673" s="23" t="s">
        <v>2</v>
      </c>
      <c r="E1673" s="24">
        <f>E1674</f>
        <v>4357.2</v>
      </c>
      <c r="F1673" s="24">
        <f>F1674</f>
        <v>0</v>
      </c>
      <c r="G1673" s="24">
        <f t="shared" si="415"/>
        <v>4357.2</v>
      </c>
      <c r="H1673" s="24">
        <f>H1674</f>
        <v>0</v>
      </c>
      <c r="I1673" s="24">
        <f t="shared" si="411"/>
        <v>4357.2</v>
      </c>
      <c r="J1673" s="24">
        <f>J1674</f>
        <v>0</v>
      </c>
      <c r="K1673" s="24">
        <f t="shared" si="412"/>
        <v>4357.2</v>
      </c>
      <c r="L1673" s="24">
        <f>L1674</f>
        <v>0</v>
      </c>
      <c r="M1673" s="24">
        <f t="shared" si="413"/>
        <v>4357.2</v>
      </c>
      <c r="N1673" s="24">
        <f>N1674</f>
        <v>0</v>
      </c>
      <c r="O1673" s="24">
        <f t="shared" si="414"/>
        <v>4357.2</v>
      </c>
      <c r="P1673" s="24">
        <f>P1674</f>
        <v>0</v>
      </c>
      <c r="Q1673" s="24">
        <f t="shared" si="408"/>
        <v>4357.2</v>
      </c>
      <c r="R1673" s="24">
        <f>R1674</f>
        <v>0</v>
      </c>
      <c r="S1673" s="24">
        <f t="shared" si="426"/>
        <v>4357.2</v>
      </c>
      <c r="T1673" s="24">
        <f>T1674</f>
        <v>0</v>
      </c>
      <c r="U1673" s="24">
        <f t="shared" si="427"/>
        <v>4357.2</v>
      </c>
      <c r="V1673" s="24">
        <f>V1674</f>
        <v>0</v>
      </c>
      <c r="W1673" s="24">
        <f t="shared" si="424"/>
        <v>4357.2</v>
      </c>
      <c r="X1673" s="24">
        <f>X1674</f>
        <v>0</v>
      </c>
      <c r="Y1673" s="24">
        <f t="shared" si="425"/>
        <v>4357.2</v>
      </c>
      <c r="Z1673" s="189"/>
    </row>
    <row r="1674" spans="1:27" ht="24.75" x14ac:dyDescent="0.25">
      <c r="A1674" s="25" t="s">
        <v>575</v>
      </c>
      <c r="B1674" s="26" t="s">
        <v>449</v>
      </c>
      <c r="C1674" s="26" t="s">
        <v>454</v>
      </c>
      <c r="D1674" s="26" t="s">
        <v>455</v>
      </c>
      <c r="E1674" s="27">
        <v>4357.2</v>
      </c>
      <c r="F1674" s="27"/>
      <c r="G1674" s="24">
        <f t="shared" si="415"/>
        <v>4357.2</v>
      </c>
      <c r="H1674" s="27"/>
      <c r="I1674" s="24">
        <f t="shared" si="411"/>
        <v>4357.2</v>
      </c>
      <c r="J1674" s="27"/>
      <c r="K1674" s="24">
        <f t="shared" si="412"/>
        <v>4357.2</v>
      </c>
      <c r="L1674" s="27"/>
      <c r="M1674" s="24">
        <f t="shared" si="413"/>
        <v>4357.2</v>
      </c>
      <c r="N1674" s="27"/>
      <c r="O1674" s="24">
        <f t="shared" si="414"/>
        <v>4357.2</v>
      </c>
      <c r="P1674" s="27"/>
      <c r="Q1674" s="24">
        <f t="shared" si="408"/>
        <v>4357.2</v>
      </c>
      <c r="R1674" s="27"/>
      <c r="S1674" s="24">
        <f t="shared" si="426"/>
        <v>4357.2</v>
      </c>
      <c r="T1674" s="69"/>
      <c r="U1674" s="24">
        <f t="shared" si="427"/>
        <v>4357.2</v>
      </c>
      <c r="V1674" s="69"/>
      <c r="W1674" s="24">
        <f t="shared" si="424"/>
        <v>4357.2</v>
      </c>
      <c r="X1674" s="69"/>
      <c r="Y1674" s="24">
        <f t="shared" si="425"/>
        <v>4357.2</v>
      </c>
      <c r="AA1674" s="189">
        <f>Y1674+Z1674</f>
        <v>4357.2</v>
      </c>
    </row>
    <row r="1675" spans="1:27" s="6" customFormat="1" ht="24.75" x14ac:dyDescent="0.25">
      <c r="A1675" s="22" t="s">
        <v>400</v>
      </c>
      <c r="B1675" s="23" t="s">
        <v>449</v>
      </c>
      <c r="C1675" s="23" t="s">
        <v>401</v>
      </c>
      <c r="D1675" s="23" t="s">
        <v>2</v>
      </c>
      <c r="E1675" s="24">
        <f>E1676+E1679</f>
        <v>40</v>
      </c>
      <c r="F1675" s="24">
        <f>F1676+F1679</f>
        <v>0</v>
      </c>
      <c r="G1675" s="24">
        <f t="shared" si="415"/>
        <v>40</v>
      </c>
      <c r="H1675" s="24">
        <f>H1676+H1679</f>
        <v>0</v>
      </c>
      <c r="I1675" s="24">
        <f t="shared" si="411"/>
        <v>40</v>
      </c>
      <c r="J1675" s="24">
        <f>J1676+J1679</f>
        <v>0</v>
      </c>
      <c r="K1675" s="24">
        <f t="shared" si="412"/>
        <v>40</v>
      </c>
      <c r="L1675" s="24">
        <f>L1676+L1679</f>
        <v>0</v>
      </c>
      <c r="M1675" s="24">
        <f t="shared" si="413"/>
        <v>40</v>
      </c>
      <c r="N1675" s="24">
        <f>N1676+N1679</f>
        <v>0</v>
      </c>
      <c r="O1675" s="24">
        <f t="shared" si="414"/>
        <v>40</v>
      </c>
      <c r="P1675" s="24">
        <f>P1676+P1679</f>
        <v>0</v>
      </c>
      <c r="Q1675" s="24">
        <f t="shared" si="408"/>
        <v>40</v>
      </c>
      <c r="R1675" s="24">
        <f>R1676+R1679</f>
        <v>0</v>
      </c>
      <c r="S1675" s="24">
        <f t="shared" si="426"/>
        <v>40</v>
      </c>
      <c r="T1675" s="24">
        <f>T1676+T1679</f>
        <v>0</v>
      </c>
      <c r="U1675" s="24">
        <f t="shared" si="427"/>
        <v>40</v>
      </c>
      <c r="V1675" s="24">
        <f>V1676+V1679</f>
        <v>0</v>
      </c>
      <c r="W1675" s="24">
        <f t="shared" si="424"/>
        <v>40</v>
      </c>
      <c r="X1675" s="24">
        <f>X1676+X1679</f>
        <v>0</v>
      </c>
      <c r="Y1675" s="24">
        <f t="shared" si="425"/>
        <v>40</v>
      </c>
      <c r="Z1675" s="189"/>
    </row>
    <row r="1676" spans="1:27" s="6" customFormat="1" ht="24.75" x14ac:dyDescent="0.25">
      <c r="A1676" s="22" t="s">
        <v>402</v>
      </c>
      <c r="B1676" s="23" t="s">
        <v>449</v>
      </c>
      <c r="C1676" s="23" t="s">
        <v>403</v>
      </c>
      <c r="D1676" s="23" t="s">
        <v>2</v>
      </c>
      <c r="E1676" s="24">
        <f>E1677</f>
        <v>30</v>
      </c>
      <c r="F1676" s="24">
        <f>F1677</f>
        <v>0</v>
      </c>
      <c r="G1676" s="24">
        <f t="shared" si="415"/>
        <v>30</v>
      </c>
      <c r="H1676" s="24">
        <f>H1677</f>
        <v>0</v>
      </c>
      <c r="I1676" s="24">
        <f t="shared" si="411"/>
        <v>30</v>
      </c>
      <c r="J1676" s="24">
        <f>J1677</f>
        <v>0</v>
      </c>
      <c r="K1676" s="24">
        <f t="shared" si="412"/>
        <v>30</v>
      </c>
      <c r="L1676" s="24">
        <f>L1677</f>
        <v>0</v>
      </c>
      <c r="M1676" s="24">
        <f t="shared" si="413"/>
        <v>30</v>
      </c>
      <c r="N1676" s="24">
        <f>N1677</f>
        <v>0</v>
      </c>
      <c r="O1676" s="24">
        <f t="shared" si="414"/>
        <v>30</v>
      </c>
      <c r="P1676" s="24">
        <f>P1677</f>
        <v>0</v>
      </c>
      <c r="Q1676" s="24">
        <f t="shared" si="408"/>
        <v>30</v>
      </c>
      <c r="R1676" s="24">
        <f>R1677</f>
        <v>0</v>
      </c>
      <c r="S1676" s="24">
        <f t="shared" si="426"/>
        <v>30</v>
      </c>
      <c r="T1676" s="24">
        <f>T1677</f>
        <v>0</v>
      </c>
      <c r="U1676" s="24">
        <f t="shared" si="427"/>
        <v>30</v>
      </c>
      <c r="V1676" s="24">
        <f>V1677</f>
        <v>0</v>
      </c>
      <c r="W1676" s="24">
        <f t="shared" si="424"/>
        <v>30</v>
      </c>
      <c r="X1676" s="24">
        <f>X1677</f>
        <v>0</v>
      </c>
      <c r="Y1676" s="24">
        <f t="shared" si="425"/>
        <v>30</v>
      </c>
      <c r="Z1676" s="189"/>
    </row>
    <row r="1677" spans="1:27" s="6" customFormat="1" ht="36.75" x14ac:dyDescent="0.25">
      <c r="A1677" s="22" t="s">
        <v>408</v>
      </c>
      <c r="B1677" s="23" t="s">
        <v>449</v>
      </c>
      <c r="C1677" s="23" t="s">
        <v>456</v>
      </c>
      <c r="D1677" s="23" t="s">
        <v>2</v>
      </c>
      <c r="E1677" s="24">
        <f>E1678</f>
        <v>30</v>
      </c>
      <c r="F1677" s="24">
        <f>F1678</f>
        <v>0</v>
      </c>
      <c r="G1677" s="24">
        <f t="shared" si="415"/>
        <v>30</v>
      </c>
      <c r="H1677" s="24">
        <f>H1678</f>
        <v>0</v>
      </c>
      <c r="I1677" s="24">
        <f t="shared" si="411"/>
        <v>30</v>
      </c>
      <c r="J1677" s="24">
        <f>J1678</f>
        <v>0</v>
      </c>
      <c r="K1677" s="24">
        <f t="shared" si="412"/>
        <v>30</v>
      </c>
      <c r="L1677" s="24">
        <f>L1678</f>
        <v>0</v>
      </c>
      <c r="M1677" s="24">
        <f t="shared" si="413"/>
        <v>30</v>
      </c>
      <c r="N1677" s="24">
        <f>N1678</f>
        <v>0</v>
      </c>
      <c r="O1677" s="24">
        <f t="shared" si="414"/>
        <v>30</v>
      </c>
      <c r="P1677" s="24">
        <f>P1678</f>
        <v>0</v>
      </c>
      <c r="Q1677" s="24">
        <f t="shared" si="408"/>
        <v>30</v>
      </c>
      <c r="R1677" s="24">
        <f>R1678</f>
        <v>0</v>
      </c>
      <c r="S1677" s="24">
        <f t="shared" si="426"/>
        <v>30</v>
      </c>
      <c r="T1677" s="24">
        <f>T1678</f>
        <v>0</v>
      </c>
      <c r="U1677" s="24">
        <f t="shared" si="427"/>
        <v>30</v>
      </c>
      <c r="V1677" s="24">
        <f>V1678</f>
        <v>0</v>
      </c>
      <c r="W1677" s="24">
        <f t="shared" si="424"/>
        <v>30</v>
      </c>
      <c r="X1677" s="24">
        <f>X1678</f>
        <v>0</v>
      </c>
      <c r="Y1677" s="24">
        <f t="shared" si="425"/>
        <v>30</v>
      </c>
      <c r="Z1677" s="189"/>
    </row>
    <row r="1678" spans="1:27" x14ac:dyDescent="0.25">
      <c r="A1678" s="25" t="s">
        <v>574</v>
      </c>
      <c r="B1678" s="26" t="s">
        <v>449</v>
      </c>
      <c r="C1678" s="26" t="s">
        <v>456</v>
      </c>
      <c r="D1678" s="26" t="s">
        <v>81</v>
      </c>
      <c r="E1678" s="27">
        <v>30</v>
      </c>
      <c r="F1678" s="27"/>
      <c r="G1678" s="24">
        <f t="shared" si="415"/>
        <v>30</v>
      </c>
      <c r="H1678" s="27"/>
      <c r="I1678" s="24">
        <f t="shared" si="411"/>
        <v>30</v>
      </c>
      <c r="J1678" s="27"/>
      <c r="K1678" s="24">
        <f t="shared" si="412"/>
        <v>30</v>
      </c>
      <c r="L1678" s="27"/>
      <c r="M1678" s="24">
        <f t="shared" si="413"/>
        <v>30</v>
      </c>
      <c r="N1678" s="27"/>
      <c r="O1678" s="24">
        <f t="shared" si="414"/>
        <v>30</v>
      </c>
      <c r="P1678" s="27"/>
      <c r="Q1678" s="24">
        <f t="shared" si="408"/>
        <v>30</v>
      </c>
      <c r="R1678" s="27"/>
      <c r="S1678" s="24">
        <f t="shared" si="426"/>
        <v>30</v>
      </c>
      <c r="T1678" s="69"/>
      <c r="U1678" s="24">
        <f t="shared" si="427"/>
        <v>30</v>
      </c>
      <c r="V1678" s="69"/>
      <c r="W1678" s="24">
        <f t="shared" si="424"/>
        <v>30</v>
      </c>
      <c r="X1678" s="69"/>
      <c r="Y1678" s="24">
        <f t="shared" si="425"/>
        <v>30</v>
      </c>
      <c r="AA1678" s="189">
        <f>Y1678+Z1678</f>
        <v>30</v>
      </c>
    </row>
    <row r="1679" spans="1:27" s="6" customFormat="1" x14ac:dyDescent="0.25">
      <c r="A1679" s="22" t="s">
        <v>406</v>
      </c>
      <c r="B1679" s="23" t="s">
        <v>449</v>
      </c>
      <c r="C1679" s="23" t="s">
        <v>407</v>
      </c>
      <c r="D1679" s="23" t="s">
        <v>2</v>
      </c>
      <c r="E1679" s="24">
        <f>E1680</f>
        <v>10</v>
      </c>
      <c r="F1679" s="24">
        <f>F1680</f>
        <v>0</v>
      </c>
      <c r="G1679" s="24">
        <f t="shared" si="415"/>
        <v>10</v>
      </c>
      <c r="H1679" s="24">
        <f>H1680</f>
        <v>0</v>
      </c>
      <c r="I1679" s="24">
        <f t="shared" si="411"/>
        <v>10</v>
      </c>
      <c r="J1679" s="24">
        <f>J1680</f>
        <v>0</v>
      </c>
      <c r="K1679" s="24">
        <f t="shared" si="412"/>
        <v>10</v>
      </c>
      <c r="L1679" s="24">
        <f>L1680</f>
        <v>0</v>
      </c>
      <c r="M1679" s="24">
        <f t="shared" si="413"/>
        <v>10</v>
      </c>
      <c r="N1679" s="24">
        <f>N1680</f>
        <v>0</v>
      </c>
      <c r="O1679" s="24">
        <f t="shared" si="414"/>
        <v>10</v>
      </c>
      <c r="P1679" s="24">
        <f>P1680</f>
        <v>0</v>
      </c>
      <c r="Q1679" s="24">
        <f t="shared" si="408"/>
        <v>10</v>
      </c>
      <c r="R1679" s="24">
        <f>R1680</f>
        <v>0</v>
      </c>
      <c r="S1679" s="24">
        <f t="shared" si="426"/>
        <v>10</v>
      </c>
      <c r="T1679" s="24">
        <f>T1680</f>
        <v>0</v>
      </c>
      <c r="U1679" s="24">
        <f t="shared" si="427"/>
        <v>10</v>
      </c>
      <c r="V1679" s="24">
        <f>V1680</f>
        <v>0</v>
      </c>
      <c r="W1679" s="24">
        <f t="shared" si="424"/>
        <v>10</v>
      </c>
      <c r="X1679" s="24">
        <f>X1680</f>
        <v>0</v>
      </c>
      <c r="Y1679" s="24">
        <f t="shared" si="425"/>
        <v>10</v>
      </c>
      <c r="Z1679" s="189"/>
    </row>
    <row r="1680" spans="1:27" s="6" customFormat="1" ht="36.75" x14ac:dyDescent="0.25">
      <c r="A1680" s="22" t="s">
        <v>408</v>
      </c>
      <c r="B1680" s="23" t="s">
        <v>449</v>
      </c>
      <c r="C1680" s="23" t="s">
        <v>409</v>
      </c>
      <c r="D1680" s="23" t="s">
        <v>2</v>
      </c>
      <c r="E1680" s="24">
        <f>E1681</f>
        <v>10</v>
      </c>
      <c r="F1680" s="24">
        <f>F1681</f>
        <v>0</v>
      </c>
      <c r="G1680" s="24">
        <f t="shared" si="415"/>
        <v>10</v>
      </c>
      <c r="H1680" s="24">
        <f>H1681</f>
        <v>0</v>
      </c>
      <c r="I1680" s="24">
        <f t="shared" si="411"/>
        <v>10</v>
      </c>
      <c r="J1680" s="24">
        <f>J1681</f>
        <v>0</v>
      </c>
      <c r="K1680" s="24">
        <f t="shared" si="412"/>
        <v>10</v>
      </c>
      <c r="L1680" s="24">
        <f>L1681</f>
        <v>0</v>
      </c>
      <c r="M1680" s="24">
        <f t="shared" si="413"/>
        <v>10</v>
      </c>
      <c r="N1680" s="24">
        <f>N1681</f>
        <v>0</v>
      </c>
      <c r="O1680" s="24">
        <f t="shared" si="414"/>
        <v>10</v>
      </c>
      <c r="P1680" s="24">
        <f>P1681</f>
        <v>0</v>
      </c>
      <c r="Q1680" s="24">
        <f t="shared" si="408"/>
        <v>10</v>
      </c>
      <c r="R1680" s="24">
        <f>R1681</f>
        <v>0</v>
      </c>
      <c r="S1680" s="24">
        <f t="shared" si="426"/>
        <v>10</v>
      </c>
      <c r="T1680" s="24">
        <f>T1681</f>
        <v>0</v>
      </c>
      <c r="U1680" s="24">
        <f t="shared" si="427"/>
        <v>10</v>
      </c>
      <c r="V1680" s="24">
        <f>V1681</f>
        <v>0</v>
      </c>
      <c r="W1680" s="24">
        <f t="shared" si="424"/>
        <v>10</v>
      </c>
      <c r="X1680" s="24">
        <f>X1681</f>
        <v>0</v>
      </c>
      <c r="Y1680" s="24">
        <f t="shared" si="425"/>
        <v>10</v>
      </c>
      <c r="Z1680" s="189"/>
    </row>
    <row r="1681" spans="1:27" x14ac:dyDescent="0.25">
      <c r="A1681" s="25" t="s">
        <v>574</v>
      </c>
      <c r="B1681" s="26" t="s">
        <v>449</v>
      </c>
      <c r="C1681" s="26" t="s">
        <v>409</v>
      </c>
      <c r="D1681" s="26" t="s">
        <v>81</v>
      </c>
      <c r="E1681" s="27">
        <v>10</v>
      </c>
      <c r="F1681" s="27"/>
      <c r="G1681" s="24">
        <f t="shared" si="415"/>
        <v>10</v>
      </c>
      <c r="H1681" s="27"/>
      <c r="I1681" s="24">
        <f t="shared" si="411"/>
        <v>10</v>
      </c>
      <c r="J1681" s="27"/>
      <c r="K1681" s="24">
        <f t="shared" si="412"/>
        <v>10</v>
      </c>
      <c r="L1681" s="27"/>
      <c r="M1681" s="24">
        <f t="shared" si="413"/>
        <v>10</v>
      </c>
      <c r="N1681" s="27"/>
      <c r="O1681" s="24">
        <f t="shared" si="414"/>
        <v>10</v>
      </c>
      <c r="P1681" s="27"/>
      <c r="Q1681" s="24">
        <f t="shared" si="408"/>
        <v>10</v>
      </c>
      <c r="R1681" s="27"/>
      <c r="S1681" s="24">
        <f t="shared" si="426"/>
        <v>10</v>
      </c>
      <c r="T1681" s="69"/>
      <c r="U1681" s="24">
        <f t="shared" si="427"/>
        <v>10</v>
      </c>
      <c r="V1681" s="69"/>
      <c r="W1681" s="24">
        <f t="shared" si="424"/>
        <v>10</v>
      </c>
      <c r="X1681" s="69"/>
      <c r="Y1681" s="24">
        <f t="shared" si="425"/>
        <v>10</v>
      </c>
      <c r="AA1681" s="189">
        <f>Y1681+Z1681</f>
        <v>10</v>
      </c>
    </row>
    <row r="1682" spans="1:27" s="6" customFormat="1" ht="24.75" x14ac:dyDescent="0.25">
      <c r="A1682" s="22" t="s">
        <v>587</v>
      </c>
      <c r="B1682" s="23" t="s">
        <v>449</v>
      </c>
      <c r="C1682" s="23" t="s">
        <v>20</v>
      </c>
      <c r="D1682" s="23" t="s">
        <v>2</v>
      </c>
      <c r="E1682" s="24">
        <f t="shared" ref="E1682:X1685" si="432">E1683</f>
        <v>55</v>
      </c>
      <c r="F1682" s="24">
        <f t="shared" si="432"/>
        <v>0</v>
      </c>
      <c r="G1682" s="24">
        <f t="shared" si="415"/>
        <v>55</v>
      </c>
      <c r="H1682" s="24">
        <f t="shared" si="432"/>
        <v>0</v>
      </c>
      <c r="I1682" s="24">
        <f t="shared" si="411"/>
        <v>55</v>
      </c>
      <c r="J1682" s="24">
        <f t="shared" si="432"/>
        <v>0</v>
      </c>
      <c r="K1682" s="24">
        <f t="shared" si="412"/>
        <v>55</v>
      </c>
      <c r="L1682" s="24">
        <f t="shared" si="432"/>
        <v>43.7</v>
      </c>
      <c r="M1682" s="24">
        <f t="shared" si="413"/>
        <v>98.7</v>
      </c>
      <c r="N1682" s="24">
        <f t="shared" si="432"/>
        <v>0</v>
      </c>
      <c r="O1682" s="24">
        <f t="shared" si="414"/>
        <v>98.7</v>
      </c>
      <c r="P1682" s="24">
        <f t="shared" si="432"/>
        <v>0</v>
      </c>
      <c r="Q1682" s="24">
        <f t="shared" si="408"/>
        <v>98.7</v>
      </c>
      <c r="R1682" s="24">
        <f t="shared" si="432"/>
        <v>0</v>
      </c>
      <c r="S1682" s="24">
        <f t="shared" si="426"/>
        <v>98.7</v>
      </c>
      <c r="T1682" s="24">
        <f t="shared" si="432"/>
        <v>0</v>
      </c>
      <c r="U1682" s="24">
        <f t="shared" si="427"/>
        <v>98.7</v>
      </c>
      <c r="V1682" s="24">
        <f t="shared" si="432"/>
        <v>30</v>
      </c>
      <c r="W1682" s="24">
        <f t="shared" si="424"/>
        <v>128.69999999999999</v>
      </c>
      <c r="X1682" s="24">
        <f t="shared" si="432"/>
        <v>0</v>
      </c>
      <c r="Y1682" s="24">
        <f t="shared" si="425"/>
        <v>128.69999999999999</v>
      </c>
      <c r="Z1682" s="189"/>
    </row>
    <row r="1683" spans="1:27" s="6" customFormat="1" x14ac:dyDescent="0.25">
      <c r="A1683" s="22" t="s">
        <v>457</v>
      </c>
      <c r="B1683" s="23" t="s">
        <v>449</v>
      </c>
      <c r="C1683" s="23" t="s">
        <v>458</v>
      </c>
      <c r="D1683" s="23" t="s">
        <v>2</v>
      </c>
      <c r="E1683" s="24">
        <f t="shared" si="432"/>
        <v>55</v>
      </c>
      <c r="F1683" s="24">
        <f t="shared" si="432"/>
        <v>0</v>
      </c>
      <c r="G1683" s="24">
        <f t="shared" si="415"/>
        <v>55</v>
      </c>
      <c r="H1683" s="24">
        <f t="shared" si="432"/>
        <v>0</v>
      </c>
      <c r="I1683" s="24">
        <f t="shared" si="411"/>
        <v>55</v>
      </c>
      <c r="J1683" s="24">
        <f t="shared" si="432"/>
        <v>0</v>
      </c>
      <c r="K1683" s="24">
        <f t="shared" si="412"/>
        <v>55</v>
      </c>
      <c r="L1683" s="24">
        <f t="shared" si="432"/>
        <v>43.7</v>
      </c>
      <c r="M1683" s="24">
        <f t="shared" si="413"/>
        <v>98.7</v>
      </c>
      <c r="N1683" s="24">
        <f t="shared" si="432"/>
        <v>0</v>
      </c>
      <c r="O1683" s="24">
        <f t="shared" si="414"/>
        <v>98.7</v>
      </c>
      <c r="P1683" s="24">
        <f t="shared" si="432"/>
        <v>0</v>
      </c>
      <c r="Q1683" s="24">
        <f t="shared" ref="Q1683:Q1771" si="433">O1683+P1683</f>
        <v>98.7</v>
      </c>
      <c r="R1683" s="24">
        <f t="shared" si="432"/>
        <v>0</v>
      </c>
      <c r="S1683" s="24">
        <f t="shared" si="426"/>
        <v>98.7</v>
      </c>
      <c r="T1683" s="24">
        <f t="shared" si="432"/>
        <v>0</v>
      </c>
      <c r="U1683" s="24">
        <f t="shared" si="427"/>
        <v>98.7</v>
      </c>
      <c r="V1683" s="24">
        <f t="shared" si="432"/>
        <v>30</v>
      </c>
      <c r="W1683" s="24">
        <f t="shared" si="424"/>
        <v>128.69999999999999</v>
      </c>
      <c r="X1683" s="24">
        <f t="shared" si="432"/>
        <v>0</v>
      </c>
      <c r="Y1683" s="24">
        <f t="shared" si="425"/>
        <v>128.69999999999999</v>
      </c>
      <c r="Z1683" s="189"/>
    </row>
    <row r="1684" spans="1:27" s="6" customFormat="1" ht="24.75" x14ac:dyDescent="0.25">
      <c r="A1684" s="22" t="s">
        <v>459</v>
      </c>
      <c r="B1684" s="23" t="s">
        <v>449</v>
      </c>
      <c r="C1684" s="23" t="s">
        <v>460</v>
      </c>
      <c r="D1684" s="23" t="s">
        <v>2</v>
      </c>
      <c r="E1684" s="24">
        <f t="shared" si="432"/>
        <v>55</v>
      </c>
      <c r="F1684" s="24">
        <f t="shared" si="432"/>
        <v>0</v>
      </c>
      <c r="G1684" s="24">
        <f t="shared" si="415"/>
        <v>55</v>
      </c>
      <c r="H1684" s="24">
        <f t="shared" si="432"/>
        <v>0</v>
      </c>
      <c r="I1684" s="24">
        <f t="shared" si="411"/>
        <v>55</v>
      </c>
      <c r="J1684" s="24">
        <f t="shared" si="432"/>
        <v>0</v>
      </c>
      <c r="K1684" s="24">
        <f t="shared" si="412"/>
        <v>55</v>
      </c>
      <c r="L1684" s="24">
        <f t="shared" si="432"/>
        <v>43.7</v>
      </c>
      <c r="M1684" s="24">
        <f t="shared" si="413"/>
        <v>98.7</v>
      </c>
      <c r="N1684" s="24">
        <f t="shared" si="432"/>
        <v>0</v>
      </c>
      <c r="O1684" s="24">
        <f t="shared" si="414"/>
        <v>98.7</v>
      </c>
      <c r="P1684" s="24">
        <f t="shared" si="432"/>
        <v>0</v>
      </c>
      <c r="Q1684" s="24">
        <f t="shared" si="433"/>
        <v>98.7</v>
      </c>
      <c r="R1684" s="24">
        <f t="shared" si="432"/>
        <v>0</v>
      </c>
      <c r="S1684" s="24">
        <f t="shared" si="426"/>
        <v>98.7</v>
      </c>
      <c r="T1684" s="24">
        <f t="shared" si="432"/>
        <v>0</v>
      </c>
      <c r="U1684" s="24">
        <f t="shared" si="427"/>
        <v>98.7</v>
      </c>
      <c r="V1684" s="24">
        <f t="shared" si="432"/>
        <v>30</v>
      </c>
      <c r="W1684" s="24">
        <f t="shared" si="424"/>
        <v>128.69999999999999</v>
      </c>
      <c r="X1684" s="24">
        <f t="shared" si="432"/>
        <v>0</v>
      </c>
      <c r="Y1684" s="24">
        <f t="shared" si="425"/>
        <v>128.69999999999999</v>
      </c>
      <c r="Z1684" s="189"/>
    </row>
    <row r="1685" spans="1:27" s="6" customFormat="1" x14ac:dyDescent="0.25">
      <c r="A1685" s="22" t="s">
        <v>461</v>
      </c>
      <c r="B1685" s="23" t="s">
        <v>449</v>
      </c>
      <c r="C1685" s="23" t="s">
        <v>462</v>
      </c>
      <c r="D1685" s="23" t="s">
        <v>2</v>
      </c>
      <c r="E1685" s="24">
        <f t="shared" si="432"/>
        <v>55</v>
      </c>
      <c r="F1685" s="24">
        <f t="shared" si="432"/>
        <v>0</v>
      </c>
      <c r="G1685" s="24">
        <f t="shared" si="415"/>
        <v>55</v>
      </c>
      <c r="H1685" s="24">
        <f t="shared" si="432"/>
        <v>0</v>
      </c>
      <c r="I1685" s="24">
        <f t="shared" si="411"/>
        <v>55</v>
      </c>
      <c r="J1685" s="24">
        <f t="shared" si="432"/>
        <v>0</v>
      </c>
      <c r="K1685" s="24">
        <f t="shared" si="412"/>
        <v>55</v>
      </c>
      <c r="L1685" s="24">
        <f t="shared" si="432"/>
        <v>43.7</v>
      </c>
      <c r="M1685" s="24">
        <f t="shared" si="413"/>
        <v>98.7</v>
      </c>
      <c r="N1685" s="24">
        <f t="shared" si="432"/>
        <v>0</v>
      </c>
      <c r="O1685" s="24">
        <f t="shared" si="414"/>
        <v>98.7</v>
      </c>
      <c r="P1685" s="24">
        <f t="shared" si="432"/>
        <v>0</v>
      </c>
      <c r="Q1685" s="24">
        <f t="shared" si="433"/>
        <v>98.7</v>
      </c>
      <c r="R1685" s="24">
        <f t="shared" si="432"/>
        <v>0</v>
      </c>
      <c r="S1685" s="24">
        <f t="shared" si="426"/>
        <v>98.7</v>
      </c>
      <c r="T1685" s="24">
        <f t="shared" si="432"/>
        <v>0</v>
      </c>
      <c r="U1685" s="24">
        <f t="shared" si="427"/>
        <v>98.7</v>
      </c>
      <c r="V1685" s="24">
        <f t="shared" si="432"/>
        <v>30</v>
      </c>
      <c r="W1685" s="24">
        <f t="shared" si="424"/>
        <v>128.69999999999999</v>
      </c>
      <c r="X1685" s="24">
        <f t="shared" si="432"/>
        <v>0</v>
      </c>
      <c r="Y1685" s="24">
        <f t="shared" si="425"/>
        <v>128.69999999999999</v>
      </c>
      <c r="Z1685" s="189"/>
    </row>
    <row r="1686" spans="1:27" x14ac:dyDescent="0.25">
      <c r="A1686" s="25" t="s">
        <v>574</v>
      </c>
      <c r="B1686" s="26" t="s">
        <v>449</v>
      </c>
      <c r="C1686" s="26" t="s">
        <v>462</v>
      </c>
      <c r="D1686" s="26" t="s">
        <v>81</v>
      </c>
      <c r="E1686" s="27">
        <v>55</v>
      </c>
      <c r="F1686" s="27"/>
      <c r="G1686" s="24">
        <f t="shared" si="415"/>
        <v>55</v>
      </c>
      <c r="H1686" s="27"/>
      <c r="I1686" s="24">
        <f t="shared" si="411"/>
        <v>55</v>
      </c>
      <c r="J1686" s="27"/>
      <c r="K1686" s="24">
        <f t="shared" si="412"/>
        <v>55</v>
      </c>
      <c r="L1686" s="107">
        <v>43.7</v>
      </c>
      <c r="M1686" s="24">
        <f t="shared" si="413"/>
        <v>98.7</v>
      </c>
      <c r="N1686" s="69"/>
      <c r="O1686" s="24">
        <f t="shared" si="414"/>
        <v>98.7</v>
      </c>
      <c r="P1686" s="69"/>
      <c r="Q1686" s="24">
        <f t="shared" si="433"/>
        <v>98.7</v>
      </c>
      <c r="R1686" s="69"/>
      <c r="S1686" s="24">
        <f t="shared" si="426"/>
        <v>98.7</v>
      </c>
      <c r="T1686" s="69"/>
      <c r="U1686" s="24">
        <f t="shared" si="427"/>
        <v>98.7</v>
      </c>
      <c r="V1686" s="94">
        <v>30</v>
      </c>
      <c r="W1686" s="24">
        <f t="shared" si="424"/>
        <v>128.69999999999999</v>
      </c>
      <c r="X1686" s="69"/>
      <c r="Y1686" s="24">
        <f t="shared" si="425"/>
        <v>128.69999999999999</v>
      </c>
      <c r="AA1686" s="189">
        <f>Y1686+Z1686</f>
        <v>128.69999999999999</v>
      </c>
    </row>
    <row r="1687" spans="1:27" s="6" customFormat="1" ht="24.75" x14ac:dyDescent="0.25">
      <c r="A1687" s="22" t="s">
        <v>195</v>
      </c>
      <c r="B1687" s="23" t="s">
        <v>449</v>
      </c>
      <c r="C1687" s="23" t="s">
        <v>196</v>
      </c>
      <c r="D1687" s="23" t="s">
        <v>2</v>
      </c>
      <c r="E1687" s="24">
        <f>E1688+E1691</f>
        <v>180</v>
      </c>
      <c r="F1687" s="24">
        <f>F1688+F1691</f>
        <v>0</v>
      </c>
      <c r="G1687" s="24">
        <f t="shared" si="415"/>
        <v>180</v>
      </c>
      <c r="H1687" s="24">
        <f>H1688+H1691</f>
        <v>0</v>
      </c>
      <c r="I1687" s="24">
        <f t="shared" si="411"/>
        <v>180</v>
      </c>
      <c r="J1687" s="24">
        <f>J1688+J1691</f>
        <v>0</v>
      </c>
      <c r="K1687" s="24">
        <f t="shared" si="412"/>
        <v>180</v>
      </c>
      <c r="L1687" s="24">
        <f>L1688+L1691</f>
        <v>0</v>
      </c>
      <c r="M1687" s="24">
        <f t="shared" si="413"/>
        <v>180</v>
      </c>
      <c r="N1687" s="24">
        <f>N1688+N1691</f>
        <v>0</v>
      </c>
      <c r="O1687" s="24">
        <f t="shared" si="414"/>
        <v>180</v>
      </c>
      <c r="P1687" s="24">
        <f>P1688+P1691</f>
        <v>0</v>
      </c>
      <c r="Q1687" s="24">
        <f t="shared" si="433"/>
        <v>180</v>
      </c>
      <c r="R1687" s="24">
        <f>R1688+R1691</f>
        <v>0</v>
      </c>
      <c r="S1687" s="24">
        <f t="shared" si="426"/>
        <v>180</v>
      </c>
      <c r="T1687" s="24">
        <f>T1688+T1691</f>
        <v>-50</v>
      </c>
      <c r="U1687" s="24">
        <f t="shared" si="427"/>
        <v>130</v>
      </c>
      <c r="V1687" s="24">
        <f>V1688+V1691</f>
        <v>0</v>
      </c>
      <c r="W1687" s="24">
        <f t="shared" si="424"/>
        <v>130</v>
      </c>
      <c r="X1687" s="24">
        <f>X1688+X1691</f>
        <v>0</v>
      </c>
      <c r="Y1687" s="24">
        <f t="shared" si="425"/>
        <v>130</v>
      </c>
      <c r="Z1687" s="189"/>
    </row>
    <row r="1688" spans="1:27" s="6" customFormat="1" x14ac:dyDescent="0.25">
      <c r="A1688" s="22" t="s">
        <v>197</v>
      </c>
      <c r="B1688" s="23" t="s">
        <v>449</v>
      </c>
      <c r="C1688" s="23" t="s">
        <v>198</v>
      </c>
      <c r="D1688" s="23" t="s">
        <v>2</v>
      </c>
      <c r="E1688" s="24">
        <f>E1689</f>
        <v>150</v>
      </c>
      <c r="F1688" s="24">
        <f>F1689</f>
        <v>0</v>
      </c>
      <c r="G1688" s="24">
        <f t="shared" si="415"/>
        <v>150</v>
      </c>
      <c r="H1688" s="24">
        <f>H1689</f>
        <v>0</v>
      </c>
      <c r="I1688" s="24">
        <f t="shared" si="411"/>
        <v>150</v>
      </c>
      <c r="J1688" s="24">
        <f>J1689</f>
        <v>0</v>
      </c>
      <c r="K1688" s="24">
        <f t="shared" si="412"/>
        <v>150</v>
      </c>
      <c r="L1688" s="24">
        <f>L1689</f>
        <v>0</v>
      </c>
      <c r="M1688" s="24">
        <f t="shared" si="413"/>
        <v>150</v>
      </c>
      <c r="N1688" s="24">
        <f>N1689</f>
        <v>0</v>
      </c>
      <c r="O1688" s="24">
        <f t="shared" si="414"/>
        <v>150</v>
      </c>
      <c r="P1688" s="24">
        <f>P1689</f>
        <v>0</v>
      </c>
      <c r="Q1688" s="24">
        <f t="shared" si="433"/>
        <v>150</v>
      </c>
      <c r="R1688" s="24">
        <f>R1689</f>
        <v>0</v>
      </c>
      <c r="S1688" s="24">
        <f t="shared" si="426"/>
        <v>150</v>
      </c>
      <c r="T1688" s="24">
        <f>T1689</f>
        <v>-50</v>
      </c>
      <c r="U1688" s="24">
        <f t="shared" si="427"/>
        <v>100</v>
      </c>
      <c r="V1688" s="24">
        <f>V1689</f>
        <v>0</v>
      </c>
      <c r="W1688" s="24">
        <f t="shared" si="424"/>
        <v>100</v>
      </c>
      <c r="X1688" s="24">
        <f>X1689</f>
        <v>0</v>
      </c>
      <c r="Y1688" s="24">
        <f t="shared" si="425"/>
        <v>100</v>
      </c>
      <c r="Z1688" s="189"/>
    </row>
    <row r="1689" spans="1:27" s="6" customFormat="1" ht="24.75" x14ac:dyDescent="0.25">
      <c r="A1689" s="22" t="s">
        <v>199</v>
      </c>
      <c r="B1689" s="23" t="s">
        <v>449</v>
      </c>
      <c r="C1689" s="23" t="s">
        <v>200</v>
      </c>
      <c r="D1689" s="23" t="s">
        <v>2</v>
      </c>
      <c r="E1689" s="24">
        <f>E1690</f>
        <v>150</v>
      </c>
      <c r="F1689" s="24">
        <f>F1690</f>
        <v>0</v>
      </c>
      <c r="G1689" s="24">
        <f t="shared" si="415"/>
        <v>150</v>
      </c>
      <c r="H1689" s="24">
        <f>H1690</f>
        <v>0</v>
      </c>
      <c r="I1689" s="24">
        <f t="shared" si="411"/>
        <v>150</v>
      </c>
      <c r="J1689" s="24">
        <f>J1690</f>
        <v>0</v>
      </c>
      <c r="K1689" s="24">
        <f t="shared" si="412"/>
        <v>150</v>
      </c>
      <c r="L1689" s="24">
        <f>L1690</f>
        <v>0</v>
      </c>
      <c r="M1689" s="24">
        <f t="shared" si="413"/>
        <v>150</v>
      </c>
      <c r="N1689" s="24">
        <f>N1690</f>
        <v>0</v>
      </c>
      <c r="O1689" s="24">
        <f t="shared" si="414"/>
        <v>150</v>
      </c>
      <c r="P1689" s="24">
        <f>P1690</f>
        <v>0</v>
      </c>
      <c r="Q1689" s="24">
        <f t="shared" si="433"/>
        <v>150</v>
      </c>
      <c r="R1689" s="24">
        <f>R1690</f>
        <v>0</v>
      </c>
      <c r="S1689" s="24">
        <f t="shared" si="426"/>
        <v>150</v>
      </c>
      <c r="T1689" s="24">
        <f>T1690</f>
        <v>-50</v>
      </c>
      <c r="U1689" s="24">
        <f t="shared" si="427"/>
        <v>100</v>
      </c>
      <c r="V1689" s="24">
        <f>V1690</f>
        <v>0</v>
      </c>
      <c r="W1689" s="24">
        <f t="shared" si="424"/>
        <v>100</v>
      </c>
      <c r="X1689" s="24">
        <f>X1690</f>
        <v>0</v>
      </c>
      <c r="Y1689" s="24">
        <f t="shared" si="425"/>
        <v>100</v>
      </c>
      <c r="Z1689" s="189"/>
    </row>
    <row r="1690" spans="1:27" x14ac:dyDescent="0.25">
      <c r="A1690" s="25" t="s">
        <v>574</v>
      </c>
      <c r="B1690" s="26" t="s">
        <v>449</v>
      </c>
      <c r="C1690" s="26" t="s">
        <v>200</v>
      </c>
      <c r="D1690" s="26" t="s">
        <v>81</v>
      </c>
      <c r="E1690" s="27">
        <v>150</v>
      </c>
      <c r="F1690" s="27"/>
      <c r="G1690" s="24">
        <f t="shared" si="415"/>
        <v>150</v>
      </c>
      <c r="H1690" s="27"/>
      <c r="I1690" s="24">
        <f t="shared" si="411"/>
        <v>150</v>
      </c>
      <c r="J1690" s="27"/>
      <c r="K1690" s="24">
        <f t="shared" si="412"/>
        <v>150</v>
      </c>
      <c r="L1690" s="27"/>
      <c r="M1690" s="24">
        <f t="shared" si="413"/>
        <v>150</v>
      </c>
      <c r="N1690" s="27"/>
      <c r="O1690" s="24">
        <f t="shared" si="414"/>
        <v>150</v>
      </c>
      <c r="P1690" s="27"/>
      <c r="Q1690" s="24">
        <f t="shared" si="433"/>
        <v>150</v>
      </c>
      <c r="R1690" s="27"/>
      <c r="S1690" s="24">
        <f t="shared" si="426"/>
        <v>150</v>
      </c>
      <c r="T1690" s="39">
        <v>-50</v>
      </c>
      <c r="U1690" s="24">
        <f t="shared" si="427"/>
        <v>100</v>
      </c>
      <c r="V1690" s="69"/>
      <c r="W1690" s="24">
        <f t="shared" si="424"/>
        <v>100</v>
      </c>
      <c r="X1690" s="69"/>
      <c r="Y1690" s="24">
        <f t="shared" si="425"/>
        <v>100</v>
      </c>
      <c r="AA1690" s="189">
        <f>Y1690+Z1690</f>
        <v>100</v>
      </c>
    </row>
    <row r="1691" spans="1:27" s="6" customFormat="1" x14ac:dyDescent="0.25">
      <c r="A1691" s="22" t="s">
        <v>463</v>
      </c>
      <c r="B1691" s="23" t="s">
        <v>449</v>
      </c>
      <c r="C1691" s="23" t="s">
        <v>464</v>
      </c>
      <c r="D1691" s="23" t="s">
        <v>2</v>
      </c>
      <c r="E1691" s="24">
        <f>E1692</f>
        <v>30</v>
      </c>
      <c r="F1691" s="24">
        <f>F1692</f>
        <v>0</v>
      </c>
      <c r="G1691" s="24">
        <f t="shared" si="415"/>
        <v>30</v>
      </c>
      <c r="H1691" s="24">
        <f>H1692</f>
        <v>0</v>
      </c>
      <c r="I1691" s="24">
        <f t="shared" si="411"/>
        <v>30</v>
      </c>
      <c r="J1691" s="24">
        <f>J1692</f>
        <v>0</v>
      </c>
      <c r="K1691" s="24">
        <f t="shared" si="412"/>
        <v>30</v>
      </c>
      <c r="L1691" s="24">
        <f>L1692</f>
        <v>0</v>
      </c>
      <c r="M1691" s="24">
        <f t="shared" si="413"/>
        <v>30</v>
      </c>
      <c r="N1691" s="24">
        <f>N1692</f>
        <v>0</v>
      </c>
      <c r="O1691" s="24">
        <f t="shared" si="414"/>
        <v>30</v>
      </c>
      <c r="P1691" s="24">
        <f>P1692</f>
        <v>0</v>
      </c>
      <c r="Q1691" s="24">
        <f t="shared" si="433"/>
        <v>30</v>
      </c>
      <c r="R1691" s="24">
        <f>R1692</f>
        <v>0</v>
      </c>
      <c r="S1691" s="24">
        <f t="shared" si="426"/>
        <v>30</v>
      </c>
      <c r="T1691" s="24">
        <f>T1692</f>
        <v>0</v>
      </c>
      <c r="U1691" s="24">
        <f t="shared" si="427"/>
        <v>30</v>
      </c>
      <c r="V1691" s="24">
        <f>V1692</f>
        <v>0</v>
      </c>
      <c r="W1691" s="24">
        <f t="shared" si="424"/>
        <v>30</v>
      </c>
      <c r="X1691" s="24">
        <f>X1692</f>
        <v>0</v>
      </c>
      <c r="Y1691" s="24">
        <f t="shared" si="425"/>
        <v>30</v>
      </c>
      <c r="Z1691" s="189"/>
    </row>
    <row r="1692" spans="1:27" s="6" customFormat="1" ht="24.75" x14ac:dyDescent="0.25">
      <c r="A1692" s="22" t="s">
        <v>199</v>
      </c>
      <c r="B1692" s="23" t="s">
        <v>449</v>
      </c>
      <c r="C1692" s="23" t="s">
        <v>465</v>
      </c>
      <c r="D1692" s="23" t="s">
        <v>2</v>
      </c>
      <c r="E1692" s="24">
        <f>E1693</f>
        <v>30</v>
      </c>
      <c r="F1692" s="24">
        <f>F1693</f>
        <v>0</v>
      </c>
      <c r="G1692" s="24">
        <f t="shared" si="415"/>
        <v>30</v>
      </c>
      <c r="H1692" s="24">
        <f>H1693</f>
        <v>0</v>
      </c>
      <c r="I1692" s="24">
        <f t="shared" si="411"/>
        <v>30</v>
      </c>
      <c r="J1692" s="24">
        <f>J1693</f>
        <v>0</v>
      </c>
      <c r="K1692" s="24">
        <f t="shared" si="412"/>
        <v>30</v>
      </c>
      <c r="L1692" s="24">
        <f>L1693</f>
        <v>0</v>
      </c>
      <c r="M1692" s="24">
        <f t="shared" si="413"/>
        <v>30</v>
      </c>
      <c r="N1692" s="24">
        <f>N1693</f>
        <v>0</v>
      </c>
      <c r="O1692" s="24">
        <f t="shared" si="414"/>
        <v>30</v>
      </c>
      <c r="P1692" s="24">
        <f>P1693</f>
        <v>0</v>
      </c>
      <c r="Q1692" s="24">
        <f t="shared" si="433"/>
        <v>30</v>
      </c>
      <c r="R1692" s="24">
        <f>R1693</f>
        <v>0</v>
      </c>
      <c r="S1692" s="24">
        <f t="shared" si="426"/>
        <v>30</v>
      </c>
      <c r="T1692" s="24">
        <f>T1693</f>
        <v>0</v>
      </c>
      <c r="U1692" s="24">
        <f t="shared" si="427"/>
        <v>30</v>
      </c>
      <c r="V1692" s="24">
        <f>V1693</f>
        <v>0</v>
      </c>
      <c r="W1692" s="24">
        <f t="shared" si="424"/>
        <v>30</v>
      </c>
      <c r="X1692" s="24">
        <f>X1693</f>
        <v>0</v>
      </c>
      <c r="Y1692" s="24">
        <f t="shared" si="425"/>
        <v>30</v>
      </c>
      <c r="Z1692" s="189"/>
    </row>
    <row r="1693" spans="1:27" x14ac:dyDescent="0.25">
      <c r="A1693" s="25" t="s">
        <v>574</v>
      </c>
      <c r="B1693" s="26" t="s">
        <v>449</v>
      </c>
      <c r="C1693" s="26" t="s">
        <v>465</v>
      </c>
      <c r="D1693" s="26" t="s">
        <v>81</v>
      </c>
      <c r="E1693" s="27">
        <v>30</v>
      </c>
      <c r="F1693" s="27"/>
      <c r="G1693" s="24">
        <f t="shared" si="415"/>
        <v>30</v>
      </c>
      <c r="H1693" s="27"/>
      <c r="I1693" s="24">
        <f t="shared" si="411"/>
        <v>30</v>
      </c>
      <c r="J1693" s="27"/>
      <c r="K1693" s="24">
        <f t="shared" si="412"/>
        <v>30</v>
      </c>
      <c r="L1693" s="27"/>
      <c r="M1693" s="24">
        <f t="shared" si="413"/>
        <v>30</v>
      </c>
      <c r="N1693" s="27"/>
      <c r="O1693" s="24">
        <f t="shared" si="414"/>
        <v>30</v>
      </c>
      <c r="P1693" s="27"/>
      <c r="Q1693" s="24">
        <f t="shared" si="433"/>
        <v>30</v>
      </c>
      <c r="R1693" s="27"/>
      <c r="S1693" s="24">
        <f t="shared" si="426"/>
        <v>30</v>
      </c>
      <c r="T1693" s="69"/>
      <c r="U1693" s="24">
        <f t="shared" si="427"/>
        <v>30</v>
      </c>
      <c r="V1693" s="69"/>
      <c r="W1693" s="24">
        <f t="shared" si="424"/>
        <v>30</v>
      </c>
      <c r="X1693" s="69"/>
      <c r="Y1693" s="24">
        <f t="shared" si="425"/>
        <v>30</v>
      </c>
      <c r="AA1693" s="189">
        <f>Y1693+Z1693</f>
        <v>30</v>
      </c>
    </row>
    <row r="1694" spans="1:27" s="6" customFormat="1" ht="24.75" x14ac:dyDescent="0.25">
      <c r="A1694" s="22" t="s">
        <v>173</v>
      </c>
      <c r="B1694" s="23" t="s">
        <v>449</v>
      </c>
      <c r="C1694" s="23" t="s">
        <v>174</v>
      </c>
      <c r="D1694" s="23" t="s">
        <v>2</v>
      </c>
      <c r="E1694" s="24">
        <f t="shared" ref="E1694:X1697" si="434">E1695</f>
        <v>200</v>
      </c>
      <c r="F1694" s="24">
        <f t="shared" si="434"/>
        <v>0</v>
      </c>
      <c r="G1694" s="24">
        <f t="shared" si="415"/>
        <v>200</v>
      </c>
      <c r="H1694" s="24">
        <f t="shared" si="434"/>
        <v>0</v>
      </c>
      <c r="I1694" s="24">
        <f t="shared" si="411"/>
        <v>200</v>
      </c>
      <c r="J1694" s="24">
        <f t="shared" si="434"/>
        <v>0</v>
      </c>
      <c r="K1694" s="24">
        <f t="shared" si="412"/>
        <v>200</v>
      </c>
      <c r="L1694" s="24">
        <f t="shared" si="434"/>
        <v>0</v>
      </c>
      <c r="M1694" s="24">
        <f t="shared" si="413"/>
        <v>200</v>
      </c>
      <c r="N1694" s="24">
        <f t="shared" si="434"/>
        <v>0</v>
      </c>
      <c r="O1694" s="24">
        <f t="shared" si="414"/>
        <v>200</v>
      </c>
      <c r="P1694" s="24">
        <f t="shared" si="434"/>
        <v>0</v>
      </c>
      <c r="Q1694" s="24">
        <f t="shared" si="433"/>
        <v>200</v>
      </c>
      <c r="R1694" s="24">
        <f t="shared" si="434"/>
        <v>0</v>
      </c>
      <c r="S1694" s="24">
        <f t="shared" si="426"/>
        <v>200</v>
      </c>
      <c r="T1694" s="24">
        <f t="shared" si="434"/>
        <v>0</v>
      </c>
      <c r="U1694" s="24">
        <f t="shared" si="427"/>
        <v>200</v>
      </c>
      <c r="V1694" s="24">
        <f t="shared" si="434"/>
        <v>0</v>
      </c>
      <c r="W1694" s="24">
        <f t="shared" si="424"/>
        <v>200</v>
      </c>
      <c r="X1694" s="24">
        <f t="shared" si="434"/>
        <v>0</v>
      </c>
      <c r="Y1694" s="24">
        <f t="shared" si="425"/>
        <v>200</v>
      </c>
      <c r="Z1694" s="189"/>
    </row>
    <row r="1695" spans="1:27" s="6" customFormat="1" ht="24.75" x14ac:dyDescent="0.25">
      <c r="A1695" s="22" t="s">
        <v>175</v>
      </c>
      <c r="B1695" s="23" t="s">
        <v>449</v>
      </c>
      <c r="C1695" s="23" t="s">
        <v>176</v>
      </c>
      <c r="D1695" s="23" t="s">
        <v>2</v>
      </c>
      <c r="E1695" s="24">
        <f t="shared" si="434"/>
        <v>200</v>
      </c>
      <c r="F1695" s="24">
        <f t="shared" si="434"/>
        <v>0</v>
      </c>
      <c r="G1695" s="24">
        <f t="shared" si="415"/>
        <v>200</v>
      </c>
      <c r="H1695" s="24">
        <f t="shared" si="434"/>
        <v>0</v>
      </c>
      <c r="I1695" s="24">
        <f t="shared" si="411"/>
        <v>200</v>
      </c>
      <c r="J1695" s="24">
        <f t="shared" si="434"/>
        <v>0</v>
      </c>
      <c r="K1695" s="24">
        <f t="shared" si="412"/>
        <v>200</v>
      </c>
      <c r="L1695" s="24">
        <f t="shared" si="434"/>
        <v>0</v>
      </c>
      <c r="M1695" s="24">
        <f t="shared" si="413"/>
        <v>200</v>
      </c>
      <c r="N1695" s="24">
        <f t="shared" si="434"/>
        <v>0</v>
      </c>
      <c r="O1695" s="24">
        <f t="shared" si="414"/>
        <v>200</v>
      </c>
      <c r="P1695" s="24">
        <f t="shared" si="434"/>
        <v>0</v>
      </c>
      <c r="Q1695" s="24">
        <f t="shared" si="433"/>
        <v>200</v>
      </c>
      <c r="R1695" s="24">
        <f t="shared" si="434"/>
        <v>0</v>
      </c>
      <c r="S1695" s="24">
        <f t="shared" si="426"/>
        <v>200</v>
      </c>
      <c r="T1695" s="24">
        <f t="shared" si="434"/>
        <v>0</v>
      </c>
      <c r="U1695" s="24">
        <f t="shared" si="427"/>
        <v>200</v>
      </c>
      <c r="V1695" s="24">
        <f t="shared" si="434"/>
        <v>0</v>
      </c>
      <c r="W1695" s="24">
        <f t="shared" si="424"/>
        <v>200</v>
      </c>
      <c r="X1695" s="24">
        <f t="shared" si="434"/>
        <v>0</v>
      </c>
      <c r="Y1695" s="24">
        <f t="shared" si="425"/>
        <v>200</v>
      </c>
      <c r="Z1695" s="189"/>
    </row>
    <row r="1696" spans="1:27" s="6" customFormat="1" ht="24.75" x14ac:dyDescent="0.25">
      <c r="A1696" s="22" t="s">
        <v>177</v>
      </c>
      <c r="B1696" s="23" t="s">
        <v>449</v>
      </c>
      <c r="C1696" s="23" t="s">
        <v>178</v>
      </c>
      <c r="D1696" s="23" t="s">
        <v>2</v>
      </c>
      <c r="E1696" s="24">
        <f t="shared" si="434"/>
        <v>200</v>
      </c>
      <c r="F1696" s="24">
        <f t="shared" si="434"/>
        <v>0</v>
      </c>
      <c r="G1696" s="24">
        <f t="shared" si="415"/>
        <v>200</v>
      </c>
      <c r="H1696" s="24">
        <f t="shared" si="434"/>
        <v>0</v>
      </c>
      <c r="I1696" s="24">
        <f t="shared" si="411"/>
        <v>200</v>
      </c>
      <c r="J1696" s="24">
        <f t="shared" si="434"/>
        <v>0</v>
      </c>
      <c r="K1696" s="24">
        <f t="shared" si="412"/>
        <v>200</v>
      </c>
      <c r="L1696" s="24">
        <f t="shared" si="434"/>
        <v>0</v>
      </c>
      <c r="M1696" s="24">
        <f t="shared" si="413"/>
        <v>200</v>
      </c>
      <c r="N1696" s="24">
        <f t="shared" si="434"/>
        <v>0</v>
      </c>
      <c r="O1696" s="24">
        <f t="shared" si="414"/>
        <v>200</v>
      </c>
      <c r="P1696" s="24">
        <f t="shared" si="434"/>
        <v>0</v>
      </c>
      <c r="Q1696" s="24">
        <f t="shared" si="433"/>
        <v>200</v>
      </c>
      <c r="R1696" s="24">
        <f t="shared" si="434"/>
        <v>0</v>
      </c>
      <c r="S1696" s="24">
        <f t="shared" si="426"/>
        <v>200</v>
      </c>
      <c r="T1696" s="24">
        <f t="shared" si="434"/>
        <v>0</v>
      </c>
      <c r="U1696" s="24">
        <f t="shared" si="427"/>
        <v>200</v>
      </c>
      <c r="V1696" s="24">
        <f t="shared" si="434"/>
        <v>0</v>
      </c>
      <c r="W1696" s="24">
        <f t="shared" si="424"/>
        <v>200</v>
      </c>
      <c r="X1696" s="24">
        <f t="shared" si="434"/>
        <v>0</v>
      </c>
      <c r="Y1696" s="24">
        <f t="shared" si="425"/>
        <v>200</v>
      </c>
      <c r="Z1696" s="189"/>
    </row>
    <row r="1697" spans="1:27" s="6" customFormat="1" x14ac:dyDescent="0.25">
      <c r="A1697" s="22" t="s">
        <v>118</v>
      </c>
      <c r="B1697" s="23" t="s">
        <v>449</v>
      </c>
      <c r="C1697" s="23" t="s">
        <v>466</v>
      </c>
      <c r="D1697" s="23" t="s">
        <v>2</v>
      </c>
      <c r="E1697" s="24">
        <f t="shared" si="434"/>
        <v>200</v>
      </c>
      <c r="F1697" s="24">
        <f t="shared" si="434"/>
        <v>0</v>
      </c>
      <c r="G1697" s="24">
        <f t="shared" si="415"/>
        <v>200</v>
      </c>
      <c r="H1697" s="24">
        <f t="shared" si="434"/>
        <v>0</v>
      </c>
      <c r="I1697" s="24">
        <f t="shared" si="411"/>
        <v>200</v>
      </c>
      <c r="J1697" s="24">
        <f t="shared" si="434"/>
        <v>0</v>
      </c>
      <c r="K1697" s="24">
        <f t="shared" si="412"/>
        <v>200</v>
      </c>
      <c r="L1697" s="24">
        <f t="shared" si="434"/>
        <v>0</v>
      </c>
      <c r="M1697" s="24">
        <f t="shared" si="413"/>
        <v>200</v>
      </c>
      <c r="N1697" s="24">
        <f t="shared" si="434"/>
        <v>0</v>
      </c>
      <c r="O1697" s="24">
        <f t="shared" si="414"/>
        <v>200</v>
      </c>
      <c r="P1697" s="24">
        <f t="shared" si="434"/>
        <v>0</v>
      </c>
      <c r="Q1697" s="24">
        <f t="shared" si="433"/>
        <v>200</v>
      </c>
      <c r="R1697" s="24">
        <f t="shared" si="434"/>
        <v>0</v>
      </c>
      <c r="S1697" s="24">
        <f t="shared" si="426"/>
        <v>200</v>
      </c>
      <c r="T1697" s="24">
        <f t="shared" si="434"/>
        <v>0</v>
      </c>
      <c r="U1697" s="24">
        <f t="shared" si="427"/>
        <v>200</v>
      </c>
      <c r="V1697" s="24">
        <f t="shared" si="434"/>
        <v>0</v>
      </c>
      <c r="W1697" s="24">
        <f t="shared" si="424"/>
        <v>200</v>
      </c>
      <c r="X1697" s="24">
        <f t="shared" si="434"/>
        <v>0</v>
      </c>
      <c r="Y1697" s="24">
        <f t="shared" si="425"/>
        <v>200</v>
      </c>
      <c r="Z1697" s="189"/>
    </row>
    <row r="1698" spans="1:27" x14ac:dyDescent="0.25">
      <c r="A1698" s="25" t="s">
        <v>574</v>
      </c>
      <c r="B1698" s="26" t="s">
        <v>449</v>
      </c>
      <c r="C1698" s="26" t="s">
        <v>466</v>
      </c>
      <c r="D1698" s="26" t="s">
        <v>81</v>
      </c>
      <c r="E1698" s="27">
        <v>200</v>
      </c>
      <c r="F1698" s="27"/>
      <c r="G1698" s="24">
        <f t="shared" si="415"/>
        <v>200</v>
      </c>
      <c r="H1698" s="27"/>
      <c r="I1698" s="24">
        <f t="shared" si="411"/>
        <v>200</v>
      </c>
      <c r="J1698" s="27"/>
      <c r="K1698" s="24">
        <f t="shared" si="412"/>
        <v>200</v>
      </c>
      <c r="L1698" s="27"/>
      <c r="M1698" s="24">
        <f t="shared" si="413"/>
        <v>200</v>
      </c>
      <c r="N1698" s="27"/>
      <c r="O1698" s="24">
        <f t="shared" si="414"/>
        <v>200</v>
      </c>
      <c r="P1698" s="27"/>
      <c r="Q1698" s="24">
        <f t="shared" si="433"/>
        <v>200</v>
      </c>
      <c r="R1698" s="27"/>
      <c r="S1698" s="24">
        <f t="shared" si="426"/>
        <v>200</v>
      </c>
      <c r="T1698" s="69"/>
      <c r="U1698" s="24">
        <f t="shared" si="427"/>
        <v>200</v>
      </c>
      <c r="V1698" s="69"/>
      <c r="W1698" s="24">
        <f t="shared" si="424"/>
        <v>200</v>
      </c>
      <c r="X1698" s="69"/>
      <c r="Y1698" s="24">
        <f t="shared" si="425"/>
        <v>200</v>
      </c>
      <c r="AA1698" s="189">
        <f>Y1698+Z1698</f>
        <v>200</v>
      </c>
    </row>
    <row r="1699" spans="1:27" s="6" customFormat="1" ht="24.75" x14ac:dyDescent="0.25">
      <c r="A1699" s="22" t="s">
        <v>590</v>
      </c>
      <c r="B1699" s="23" t="s">
        <v>449</v>
      </c>
      <c r="C1699" s="23" t="s">
        <v>32</v>
      </c>
      <c r="D1699" s="23" t="s">
        <v>2</v>
      </c>
      <c r="E1699" s="24">
        <f>E1700+E1719</f>
        <v>4930.6000000000004</v>
      </c>
      <c r="F1699" s="24">
        <f>F1700+F1719</f>
        <v>1174</v>
      </c>
      <c r="G1699" s="24">
        <f t="shared" si="415"/>
        <v>6104.6</v>
      </c>
      <c r="H1699" s="24">
        <f>H1700+H1719</f>
        <v>0</v>
      </c>
      <c r="I1699" s="24">
        <f t="shared" si="411"/>
        <v>6104.6</v>
      </c>
      <c r="J1699" s="24">
        <f>J1700+J1719</f>
        <v>0</v>
      </c>
      <c r="K1699" s="24">
        <f t="shared" si="412"/>
        <v>6104.6</v>
      </c>
      <c r="L1699" s="24">
        <f>L1700+L1719</f>
        <v>335</v>
      </c>
      <c r="M1699" s="24">
        <f t="shared" si="413"/>
        <v>6439.6</v>
      </c>
      <c r="N1699" s="24">
        <f>N1700+N1719</f>
        <v>27.700000000000003</v>
      </c>
      <c r="O1699" s="24">
        <f t="shared" si="414"/>
        <v>6467.3</v>
      </c>
      <c r="P1699" s="24">
        <f>P1700+P1719</f>
        <v>-1000</v>
      </c>
      <c r="Q1699" s="24">
        <f t="shared" si="433"/>
        <v>5467.3</v>
      </c>
      <c r="R1699" s="24">
        <f>R1700+R1719</f>
        <v>869.1</v>
      </c>
      <c r="S1699" s="24">
        <f t="shared" si="426"/>
        <v>6336.4000000000005</v>
      </c>
      <c r="T1699" s="24">
        <f>T1700+T1719</f>
        <v>-1174</v>
      </c>
      <c r="U1699" s="24">
        <f t="shared" si="427"/>
        <v>5162.4000000000005</v>
      </c>
      <c r="V1699" s="24">
        <f>V1700+V1719</f>
        <v>32</v>
      </c>
      <c r="W1699" s="24">
        <f t="shared" si="424"/>
        <v>5194.4000000000005</v>
      </c>
      <c r="X1699" s="24">
        <f>X1700+X1719</f>
        <v>-3.3</v>
      </c>
      <c r="Y1699" s="24">
        <f t="shared" si="425"/>
        <v>5191.1000000000004</v>
      </c>
      <c r="Z1699" s="189"/>
    </row>
    <row r="1700" spans="1:27" s="6" customFormat="1" x14ac:dyDescent="0.25">
      <c r="A1700" s="22" t="s">
        <v>33</v>
      </c>
      <c r="B1700" s="23" t="s">
        <v>449</v>
      </c>
      <c r="C1700" s="23" t="s">
        <v>34</v>
      </c>
      <c r="D1700" s="23" t="s">
        <v>2</v>
      </c>
      <c r="E1700" s="24">
        <f>E1701+E1704</f>
        <v>4730.6000000000004</v>
      </c>
      <c r="F1700" s="24">
        <f>F1701+F1704</f>
        <v>1174</v>
      </c>
      <c r="G1700" s="24">
        <f t="shared" si="415"/>
        <v>5904.6</v>
      </c>
      <c r="H1700" s="24">
        <f>H1701+H1704</f>
        <v>0</v>
      </c>
      <c r="I1700" s="24">
        <f t="shared" si="411"/>
        <v>5904.6</v>
      </c>
      <c r="J1700" s="24">
        <f>J1701+J1704</f>
        <v>0</v>
      </c>
      <c r="K1700" s="24">
        <f t="shared" si="412"/>
        <v>5904.6</v>
      </c>
      <c r="L1700" s="24">
        <f>L1701+L1704</f>
        <v>335</v>
      </c>
      <c r="M1700" s="24">
        <f t="shared" si="413"/>
        <v>6239.6</v>
      </c>
      <c r="N1700" s="24">
        <f>N1701+N1704</f>
        <v>27.700000000000003</v>
      </c>
      <c r="O1700" s="24">
        <f t="shared" si="414"/>
        <v>6267.3</v>
      </c>
      <c r="P1700" s="24">
        <f>P1701+P1704</f>
        <v>-1000</v>
      </c>
      <c r="Q1700" s="24">
        <f t="shared" si="433"/>
        <v>5267.3</v>
      </c>
      <c r="R1700" s="24">
        <f>R1701+R1704</f>
        <v>869.1</v>
      </c>
      <c r="S1700" s="24">
        <f t="shared" si="426"/>
        <v>6136.4000000000005</v>
      </c>
      <c r="T1700" s="24">
        <f>T1701+T1704</f>
        <v>-1174</v>
      </c>
      <c r="U1700" s="24">
        <f t="shared" si="427"/>
        <v>4962.4000000000005</v>
      </c>
      <c r="V1700" s="24">
        <f>V1701+V1704</f>
        <v>32</v>
      </c>
      <c r="W1700" s="24">
        <f t="shared" si="424"/>
        <v>4994.4000000000005</v>
      </c>
      <c r="X1700" s="24">
        <f>X1701+X1704</f>
        <v>-3.3</v>
      </c>
      <c r="Y1700" s="24">
        <f t="shared" si="425"/>
        <v>4991.1000000000004</v>
      </c>
      <c r="Z1700" s="189"/>
    </row>
    <row r="1701" spans="1:27" s="6" customFormat="1" x14ac:dyDescent="0.25">
      <c r="A1701" s="22" t="s">
        <v>50</v>
      </c>
      <c r="B1701" s="23" t="s">
        <v>449</v>
      </c>
      <c r="C1701" s="23" t="s">
        <v>51</v>
      </c>
      <c r="D1701" s="23" t="s">
        <v>2</v>
      </c>
      <c r="E1701" s="24">
        <f>E1702</f>
        <v>1794</v>
      </c>
      <c r="F1701" s="24">
        <f>F1702</f>
        <v>0</v>
      </c>
      <c r="G1701" s="24">
        <f t="shared" si="415"/>
        <v>1794</v>
      </c>
      <c r="H1701" s="24">
        <f>H1702</f>
        <v>0</v>
      </c>
      <c r="I1701" s="24">
        <f t="shared" si="411"/>
        <v>1794</v>
      </c>
      <c r="J1701" s="24">
        <f>J1702</f>
        <v>0</v>
      </c>
      <c r="K1701" s="24">
        <f t="shared" si="412"/>
        <v>1794</v>
      </c>
      <c r="L1701" s="24">
        <f>L1702</f>
        <v>335</v>
      </c>
      <c r="M1701" s="24">
        <f t="shared" si="413"/>
        <v>2129</v>
      </c>
      <c r="N1701" s="24">
        <f>N1702</f>
        <v>0</v>
      </c>
      <c r="O1701" s="24">
        <f t="shared" si="414"/>
        <v>2129</v>
      </c>
      <c r="P1701" s="24">
        <f>P1702</f>
        <v>0</v>
      </c>
      <c r="Q1701" s="24">
        <f t="shared" si="433"/>
        <v>2129</v>
      </c>
      <c r="R1701" s="24">
        <f>R1702</f>
        <v>400</v>
      </c>
      <c r="S1701" s="24">
        <f t="shared" si="426"/>
        <v>2529</v>
      </c>
      <c r="T1701" s="24">
        <f>T1702</f>
        <v>0</v>
      </c>
      <c r="U1701" s="24">
        <f t="shared" si="427"/>
        <v>2529</v>
      </c>
      <c r="V1701" s="24">
        <f>V1702</f>
        <v>0</v>
      </c>
      <c r="W1701" s="24">
        <f t="shared" si="424"/>
        <v>2529</v>
      </c>
      <c r="X1701" s="24">
        <f>X1702</f>
        <v>0</v>
      </c>
      <c r="Y1701" s="24">
        <f t="shared" si="425"/>
        <v>2529</v>
      </c>
      <c r="Z1701" s="189"/>
    </row>
    <row r="1702" spans="1:27" s="6" customFormat="1" x14ac:dyDescent="0.25">
      <c r="A1702" s="22" t="s">
        <v>118</v>
      </c>
      <c r="B1702" s="23" t="s">
        <v>449</v>
      </c>
      <c r="C1702" s="23" t="s">
        <v>120</v>
      </c>
      <c r="D1702" s="23" t="s">
        <v>2</v>
      </c>
      <c r="E1702" s="24">
        <f>E1703</f>
        <v>1794</v>
      </c>
      <c r="F1702" s="24">
        <f>F1703</f>
        <v>0</v>
      </c>
      <c r="G1702" s="24">
        <f t="shared" si="415"/>
        <v>1794</v>
      </c>
      <c r="H1702" s="24">
        <f>H1703</f>
        <v>0</v>
      </c>
      <c r="I1702" s="24">
        <f t="shared" ref="I1702:I1774" si="435">G1702+H1702</f>
        <v>1794</v>
      </c>
      <c r="J1702" s="24">
        <f>J1703</f>
        <v>0</v>
      </c>
      <c r="K1702" s="24">
        <f t="shared" ref="K1702:K1774" si="436">I1702+J1702</f>
        <v>1794</v>
      </c>
      <c r="L1702" s="24">
        <f>L1703</f>
        <v>335</v>
      </c>
      <c r="M1702" s="24">
        <f t="shared" ref="M1702:M1774" si="437">K1702+L1702</f>
        <v>2129</v>
      </c>
      <c r="N1702" s="24">
        <f>N1703</f>
        <v>0</v>
      </c>
      <c r="O1702" s="24">
        <f t="shared" ref="O1702:O1774" si="438">M1702+N1702</f>
        <v>2129</v>
      </c>
      <c r="P1702" s="24">
        <f>P1703</f>
        <v>0</v>
      </c>
      <c r="Q1702" s="24">
        <f t="shared" si="433"/>
        <v>2129</v>
      </c>
      <c r="R1702" s="24">
        <f>R1703</f>
        <v>400</v>
      </c>
      <c r="S1702" s="24">
        <f t="shared" si="426"/>
        <v>2529</v>
      </c>
      <c r="T1702" s="24">
        <f>T1703</f>
        <v>0</v>
      </c>
      <c r="U1702" s="24">
        <f t="shared" si="427"/>
        <v>2529</v>
      </c>
      <c r="V1702" s="24">
        <f>V1703</f>
        <v>0</v>
      </c>
      <c r="W1702" s="24">
        <f t="shared" si="424"/>
        <v>2529</v>
      </c>
      <c r="X1702" s="24">
        <f>X1703</f>
        <v>0</v>
      </c>
      <c r="Y1702" s="24">
        <f t="shared" si="425"/>
        <v>2529</v>
      </c>
      <c r="Z1702" s="189"/>
    </row>
    <row r="1703" spans="1:27" x14ac:dyDescent="0.25">
      <c r="A1703" s="25" t="s">
        <v>574</v>
      </c>
      <c r="B1703" s="26" t="s">
        <v>449</v>
      </c>
      <c r="C1703" s="26" t="s">
        <v>120</v>
      </c>
      <c r="D1703" s="26" t="s">
        <v>81</v>
      </c>
      <c r="E1703" s="27">
        <v>1794</v>
      </c>
      <c r="F1703" s="27"/>
      <c r="G1703" s="24">
        <f t="shared" si="415"/>
        <v>1794</v>
      </c>
      <c r="H1703" s="27"/>
      <c r="I1703" s="24">
        <f t="shared" si="435"/>
        <v>1794</v>
      </c>
      <c r="J1703" s="27"/>
      <c r="K1703" s="24">
        <f t="shared" si="436"/>
        <v>1794</v>
      </c>
      <c r="L1703" s="39">
        <v>335</v>
      </c>
      <c r="M1703" s="24">
        <f t="shared" si="437"/>
        <v>2129</v>
      </c>
      <c r="N1703" s="69"/>
      <c r="O1703" s="24">
        <f t="shared" si="438"/>
        <v>2129</v>
      </c>
      <c r="P1703" s="69"/>
      <c r="Q1703" s="24">
        <f t="shared" si="433"/>
        <v>2129</v>
      </c>
      <c r="R1703" s="39">
        <v>400</v>
      </c>
      <c r="S1703" s="24">
        <f t="shared" si="426"/>
        <v>2529</v>
      </c>
      <c r="T1703" s="69"/>
      <c r="U1703" s="24">
        <f t="shared" si="427"/>
        <v>2529</v>
      </c>
      <c r="V1703" s="69"/>
      <c r="W1703" s="24">
        <f t="shared" si="424"/>
        <v>2529</v>
      </c>
      <c r="X1703" s="69"/>
      <c r="Y1703" s="24">
        <f t="shared" si="425"/>
        <v>2529</v>
      </c>
      <c r="AA1703" s="189">
        <f>Y1703+Z1703</f>
        <v>2529</v>
      </c>
    </row>
    <row r="1704" spans="1:27" s="6" customFormat="1" ht="24.75" x14ac:dyDescent="0.25">
      <c r="A1704" s="22" t="s">
        <v>586</v>
      </c>
      <c r="B1704" s="23" t="s">
        <v>449</v>
      </c>
      <c r="C1704" s="23" t="s">
        <v>467</v>
      </c>
      <c r="D1704" s="23" t="s">
        <v>2</v>
      </c>
      <c r="E1704" s="24">
        <f>E1705+E1715</f>
        <v>2936.6</v>
      </c>
      <c r="F1704" s="24">
        <f>F1705+F1715+F1713</f>
        <v>1174</v>
      </c>
      <c r="G1704" s="24">
        <f t="shared" si="415"/>
        <v>4110.6000000000004</v>
      </c>
      <c r="H1704" s="24">
        <f>H1705+H1715+H1713</f>
        <v>0</v>
      </c>
      <c r="I1704" s="24">
        <f t="shared" si="435"/>
        <v>4110.6000000000004</v>
      </c>
      <c r="J1704" s="24">
        <f>J1705+J1715+J1713</f>
        <v>0</v>
      </c>
      <c r="K1704" s="24">
        <f t="shared" si="436"/>
        <v>4110.6000000000004</v>
      </c>
      <c r="L1704" s="24">
        <f>L1705+L1715+L1713</f>
        <v>0</v>
      </c>
      <c r="M1704" s="24">
        <f t="shared" si="437"/>
        <v>4110.6000000000004</v>
      </c>
      <c r="N1704" s="24">
        <f>N1705+N1715+N1713</f>
        <v>27.700000000000003</v>
      </c>
      <c r="O1704" s="24">
        <f t="shared" si="438"/>
        <v>4138.3</v>
      </c>
      <c r="P1704" s="24">
        <f>P1705+P1715+P1713</f>
        <v>-1000</v>
      </c>
      <c r="Q1704" s="24">
        <f t="shared" si="433"/>
        <v>3138.3</v>
      </c>
      <c r="R1704" s="24">
        <f>R1705+R1715+R1713</f>
        <v>469.1</v>
      </c>
      <c r="S1704" s="24">
        <f t="shared" si="426"/>
        <v>3607.4</v>
      </c>
      <c r="T1704" s="24">
        <f>T1705+T1715+T1713</f>
        <v>-1174</v>
      </c>
      <c r="U1704" s="24">
        <f t="shared" si="427"/>
        <v>2433.4</v>
      </c>
      <c r="V1704" s="24">
        <f>V1705+V1715+V1713+V1710</f>
        <v>32</v>
      </c>
      <c r="W1704" s="24">
        <f t="shared" si="424"/>
        <v>2465.4</v>
      </c>
      <c r="X1704" s="24">
        <f>X1705+X1715+X1713+X1710</f>
        <v>-3.3</v>
      </c>
      <c r="Y1704" s="24">
        <f t="shared" si="425"/>
        <v>2462.1</v>
      </c>
      <c r="Z1704" s="189"/>
    </row>
    <row r="1705" spans="1:27" s="6" customFormat="1" ht="24.75" x14ac:dyDescent="0.25">
      <c r="A1705" s="22" t="s">
        <v>470</v>
      </c>
      <c r="B1705" s="23" t="s">
        <v>449</v>
      </c>
      <c r="C1705" s="23" t="s">
        <v>471</v>
      </c>
      <c r="D1705" s="23" t="s">
        <v>2</v>
      </c>
      <c r="E1705" s="24">
        <f>E1706+E1707+E1708</f>
        <v>971.6</v>
      </c>
      <c r="F1705" s="24">
        <f>F1706+F1707+F1708</f>
        <v>0</v>
      </c>
      <c r="G1705" s="24">
        <f t="shared" si="415"/>
        <v>971.6</v>
      </c>
      <c r="H1705" s="24">
        <f>H1706+H1707+H1708</f>
        <v>0</v>
      </c>
      <c r="I1705" s="24">
        <f t="shared" si="435"/>
        <v>971.6</v>
      </c>
      <c r="J1705" s="24">
        <f>J1706+J1707+J1708</f>
        <v>0</v>
      </c>
      <c r="K1705" s="24">
        <f t="shared" si="436"/>
        <v>971.6</v>
      </c>
      <c r="L1705" s="24">
        <f>L1706+L1707+L1708</f>
        <v>0</v>
      </c>
      <c r="M1705" s="24">
        <f t="shared" si="437"/>
        <v>971.6</v>
      </c>
      <c r="N1705" s="24">
        <f>N1706+N1707+N1708+N1709</f>
        <v>27.700000000000003</v>
      </c>
      <c r="O1705" s="24">
        <f t="shared" si="438"/>
        <v>999.30000000000007</v>
      </c>
      <c r="P1705" s="24">
        <f>P1706+P1707+P1708+P1709</f>
        <v>0</v>
      </c>
      <c r="Q1705" s="24">
        <f t="shared" si="433"/>
        <v>999.30000000000007</v>
      </c>
      <c r="R1705" s="24">
        <f>R1706+R1707+R1708+R1709</f>
        <v>0</v>
      </c>
      <c r="S1705" s="24">
        <f t="shared" si="426"/>
        <v>999.30000000000007</v>
      </c>
      <c r="T1705" s="24">
        <f>T1706+T1707+T1708+T1709</f>
        <v>0</v>
      </c>
      <c r="U1705" s="24">
        <f t="shared" si="427"/>
        <v>999.30000000000007</v>
      </c>
      <c r="V1705" s="24">
        <f>V1706+V1707+V1708+V1709</f>
        <v>0</v>
      </c>
      <c r="W1705" s="24">
        <f t="shared" si="424"/>
        <v>999.30000000000007</v>
      </c>
      <c r="X1705" s="24">
        <f>X1706+X1707+X1708+X1709</f>
        <v>0</v>
      </c>
      <c r="Y1705" s="24">
        <f t="shared" si="425"/>
        <v>999.30000000000007</v>
      </c>
      <c r="Z1705" s="189"/>
    </row>
    <row r="1706" spans="1:27" x14ac:dyDescent="0.25">
      <c r="A1706" s="25" t="s">
        <v>560</v>
      </c>
      <c r="B1706" s="26" t="s">
        <v>449</v>
      </c>
      <c r="C1706" s="26" t="s">
        <v>471</v>
      </c>
      <c r="D1706" s="26" t="s">
        <v>12</v>
      </c>
      <c r="E1706" s="27">
        <v>547</v>
      </c>
      <c r="F1706" s="27"/>
      <c r="G1706" s="24">
        <f t="shared" si="415"/>
        <v>547</v>
      </c>
      <c r="H1706" s="27"/>
      <c r="I1706" s="24">
        <f t="shared" si="435"/>
        <v>547</v>
      </c>
      <c r="J1706" s="27"/>
      <c r="K1706" s="24">
        <f t="shared" si="436"/>
        <v>547</v>
      </c>
      <c r="L1706" s="27"/>
      <c r="M1706" s="24">
        <f t="shared" si="437"/>
        <v>547</v>
      </c>
      <c r="N1706" s="43">
        <v>21</v>
      </c>
      <c r="O1706" s="24">
        <f t="shared" si="438"/>
        <v>568</v>
      </c>
      <c r="P1706" s="69"/>
      <c r="Q1706" s="24">
        <f t="shared" si="433"/>
        <v>568</v>
      </c>
      <c r="R1706" s="69"/>
      <c r="S1706" s="24">
        <f t="shared" si="426"/>
        <v>568</v>
      </c>
      <c r="T1706" s="69"/>
      <c r="U1706" s="24">
        <f t="shared" si="427"/>
        <v>568</v>
      </c>
      <c r="V1706" s="69"/>
      <c r="W1706" s="24">
        <f t="shared" si="424"/>
        <v>568</v>
      </c>
      <c r="X1706" s="69"/>
      <c r="Y1706" s="24">
        <f t="shared" si="425"/>
        <v>568</v>
      </c>
      <c r="AA1706" s="189">
        <f t="shared" ref="AA1706:AA1709" si="439">Y1706+Z1706</f>
        <v>568</v>
      </c>
    </row>
    <row r="1707" spans="1:27" ht="31.5" customHeight="1" x14ac:dyDescent="0.25">
      <c r="A1707" s="25" t="s">
        <v>561</v>
      </c>
      <c r="B1707" s="26" t="s">
        <v>449</v>
      </c>
      <c r="C1707" s="26" t="s">
        <v>471</v>
      </c>
      <c r="D1707" s="26" t="s">
        <v>13</v>
      </c>
      <c r="E1707" s="27">
        <v>166</v>
      </c>
      <c r="F1707" s="27"/>
      <c r="G1707" s="24">
        <f t="shared" si="415"/>
        <v>166</v>
      </c>
      <c r="H1707" s="27"/>
      <c r="I1707" s="24">
        <f t="shared" si="435"/>
        <v>166</v>
      </c>
      <c r="J1707" s="27"/>
      <c r="K1707" s="24">
        <f t="shared" si="436"/>
        <v>166</v>
      </c>
      <c r="L1707" s="27"/>
      <c r="M1707" s="24">
        <f t="shared" si="437"/>
        <v>166</v>
      </c>
      <c r="N1707" s="43">
        <v>6.7</v>
      </c>
      <c r="O1707" s="24">
        <f t="shared" si="438"/>
        <v>172.7</v>
      </c>
      <c r="P1707" s="69"/>
      <c r="Q1707" s="24">
        <f t="shared" si="433"/>
        <v>172.7</v>
      </c>
      <c r="R1707" s="69"/>
      <c r="S1707" s="24">
        <f t="shared" si="426"/>
        <v>172.7</v>
      </c>
      <c r="T1707" s="69"/>
      <c r="U1707" s="24">
        <f t="shared" si="427"/>
        <v>172.7</v>
      </c>
      <c r="V1707" s="69"/>
      <c r="W1707" s="24">
        <f t="shared" si="424"/>
        <v>172.7</v>
      </c>
      <c r="X1707" s="69"/>
      <c r="Y1707" s="24">
        <f t="shared" si="425"/>
        <v>172.7</v>
      </c>
      <c r="AA1707" s="189">
        <f t="shared" si="439"/>
        <v>172.7</v>
      </c>
    </row>
    <row r="1708" spans="1:27" x14ac:dyDescent="0.25">
      <c r="A1708" s="25" t="s">
        <v>66</v>
      </c>
      <c r="B1708" s="26" t="s">
        <v>449</v>
      </c>
      <c r="C1708" s="26" t="s">
        <v>471</v>
      </c>
      <c r="D1708" s="26" t="s">
        <v>42</v>
      </c>
      <c r="E1708" s="27">
        <v>258.60000000000002</v>
      </c>
      <c r="F1708" s="27"/>
      <c r="G1708" s="24">
        <f t="shared" ref="G1708:G1779" si="440">E1708+F1708</f>
        <v>258.60000000000002</v>
      </c>
      <c r="H1708" s="27"/>
      <c r="I1708" s="24">
        <f t="shared" si="435"/>
        <v>258.60000000000002</v>
      </c>
      <c r="J1708" s="27"/>
      <c r="K1708" s="24">
        <f t="shared" si="436"/>
        <v>258.60000000000002</v>
      </c>
      <c r="L1708" s="27"/>
      <c r="M1708" s="24">
        <f t="shared" si="437"/>
        <v>258.60000000000002</v>
      </c>
      <c r="N1708" s="120">
        <v>-9.1</v>
      </c>
      <c r="O1708" s="24">
        <f t="shared" si="438"/>
        <v>249.50000000000003</v>
      </c>
      <c r="P1708" s="69"/>
      <c r="Q1708" s="24">
        <f t="shared" si="433"/>
        <v>249.50000000000003</v>
      </c>
      <c r="R1708" s="69"/>
      <c r="S1708" s="24">
        <f t="shared" si="426"/>
        <v>249.50000000000003</v>
      </c>
      <c r="T1708" s="125">
        <v>-6.7</v>
      </c>
      <c r="U1708" s="24">
        <f t="shared" si="427"/>
        <v>242.80000000000004</v>
      </c>
      <c r="V1708" s="69"/>
      <c r="W1708" s="24">
        <f t="shared" si="424"/>
        <v>242.80000000000004</v>
      </c>
      <c r="X1708" s="43">
        <v>-10.5</v>
      </c>
      <c r="Y1708" s="24">
        <f t="shared" si="425"/>
        <v>232.30000000000004</v>
      </c>
      <c r="AA1708" s="189">
        <f t="shared" si="439"/>
        <v>232.30000000000004</v>
      </c>
    </row>
    <row r="1709" spans="1:27" ht="24.75" x14ac:dyDescent="0.25">
      <c r="A1709" s="17" t="s">
        <v>562</v>
      </c>
      <c r="B1709" s="26" t="s">
        <v>449</v>
      </c>
      <c r="C1709" s="26" t="s">
        <v>471</v>
      </c>
      <c r="D1709" s="26" t="s">
        <v>40</v>
      </c>
      <c r="E1709" s="27"/>
      <c r="F1709" s="27"/>
      <c r="G1709" s="24"/>
      <c r="H1709" s="27"/>
      <c r="I1709" s="24"/>
      <c r="J1709" s="27"/>
      <c r="K1709" s="24"/>
      <c r="L1709" s="27"/>
      <c r="M1709" s="24"/>
      <c r="N1709" s="120">
        <v>9.1</v>
      </c>
      <c r="O1709" s="24">
        <f t="shared" si="438"/>
        <v>9.1</v>
      </c>
      <c r="P1709" s="69"/>
      <c r="Q1709" s="24">
        <f t="shared" si="433"/>
        <v>9.1</v>
      </c>
      <c r="R1709" s="69"/>
      <c r="S1709" s="24">
        <f t="shared" si="426"/>
        <v>9.1</v>
      </c>
      <c r="T1709" s="125">
        <v>6.7</v>
      </c>
      <c r="U1709" s="24">
        <f t="shared" si="427"/>
        <v>15.8</v>
      </c>
      <c r="V1709" s="69"/>
      <c r="W1709" s="24">
        <f t="shared" si="424"/>
        <v>15.8</v>
      </c>
      <c r="X1709" s="43">
        <v>10.5</v>
      </c>
      <c r="Y1709" s="24">
        <f t="shared" si="425"/>
        <v>26.3</v>
      </c>
      <c r="AA1709" s="189">
        <f t="shared" si="439"/>
        <v>26.3</v>
      </c>
    </row>
    <row r="1710" spans="1:27" x14ac:dyDescent="0.25">
      <c r="A1710" s="100" t="s">
        <v>841</v>
      </c>
      <c r="B1710" s="20" t="s">
        <v>449</v>
      </c>
      <c r="C1710" s="20" t="s">
        <v>1407</v>
      </c>
      <c r="D1710" s="21"/>
      <c r="E1710" s="27"/>
      <c r="F1710" s="27"/>
      <c r="G1710" s="24"/>
      <c r="H1710" s="27"/>
      <c r="I1710" s="24"/>
      <c r="J1710" s="27"/>
      <c r="K1710" s="24"/>
      <c r="L1710" s="27"/>
      <c r="M1710" s="24"/>
      <c r="N1710" s="120"/>
      <c r="O1710" s="24"/>
      <c r="P1710" s="69"/>
      <c r="Q1710" s="24"/>
      <c r="R1710" s="69"/>
      <c r="S1710" s="24"/>
      <c r="T1710" s="125"/>
      <c r="U1710" s="24"/>
      <c r="V1710" s="47">
        <f>V1711+V1712</f>
        <v>31.9</v>
      </c>
      <c r="W1710" s="24">
        <f t="shared" si="424"/>
        <v>31.9</v>
      </c>
      <c r="X1710" s="47">
        <f>X1711+X1712</f>
        <v>-3.3</v>
      </c>
      <c r="Y1710" s="24">
        <f t="shared" si="425"/>
        <v>28.599999999999998</v>
      </c>
    </row>
    <row r="1711" spans="1:27" x14ac:dyDescent="0.25">
      <c r="A1711" s="17" t="s">
        <v>560</v>
      </c>
      <c r="B1711" s="21" t="s">
        <v>449</v>
      </c>
      <c r="C1711" s="21" t="s">
        <v>1407</v>
      </c>
      <c r="D1711" s="21" t="s">
        <v>12</v>
      </c>
      <c r="E1711" s="27"/>
      <c r="F1711" s="27"/>
      <c r="G1711" s="24"/>
      <c r="H1711" s="27"/>
      <c r="I1711" s="24"/>
      <c r="J1711" s="27"/>
      <c r="K1711" s="24"/>
      <c r="L1711" s="27"/>
      <c r="M1711" s="24"/>
      <c r="N1711" s="120"/>
      <c r="O1711" s="24"/>
      <c r="P1711" s="69"/>
      <c r="Q1711" s="24"/>
      <c r="R1711" s="69"/>
      <c r="S1711" s="24"/>
      <c r="T1711" s="125"/>
      <c r="U1711" s="24"/>
      <c r="V1711" s="181">
        <v>25.3</v>
      </c>
      <c r="W1711" s="24">
        <f t="shared" si="424"/>
        <v>25.3</v>
      </c>
      <c r="X1711" s="39">
        <v>-3.3</v>
      </c>
      <c r="Y1711" s="24">
        <f t="shared" si="425"/>
        <v>22</v>
      </c>
      <c r="AA1711" s="189">
        <f t="shared" ref="AA1711:AA1712" si="441">Y1711+Z1711</f>
        <v>22</v>
      </c>
    </row>
    <row r="1712" spans="1:27" ht="36.75" x14ac:dyDescent="0.25">
      <c r="A1712" s="17" t="s">
        <v>561</v>
      </c>
      <c r="B1712" s="21" t="s">
        <v>449</v>
      </c>
      <c r="C1712" s="21" t="s">
        <v>1407</v>
      </c>
      <c r="D1712" s="21" t="s">
        <v>13</v>
      </c>
      <c r="E1712" s="27"/>
      <c r="F1712" s="27"/>
      <c r="G1712" s="24"/>
      <c r="H1712" s="27"/>
      <c r="I1712" s="24"/>
      <c r="J1712" s="27"/>
      <c r="K1712" s="24"/>
      <c r="L1712" s="27"/>
      <c r="M1712" s="24"/>
      <c r="N1712" s="120"/>
      <c r="O1712" s="24"/>
      <c r="P1712" s="69"/>
      <c r="Q1712" s="24"/>
      <c r="R1712" s="69"/>
      <c r="S1712" s="24"/>
      <c r="T1712" s="125"/>
      <c r="U1712" s="24"/>
      <c r="V1712" s="181">
        <v>6.6</v>
      </c>
      <c r="W1712" s="24">
        <f t="shared" si="424"/>
        <v>6.6</v>
      </c>
      <c r="X1712" s="69"/>
      <c r="Y1712" s="24">
        <f t="shared" si="425"/>
        <v>6.6</v>
      </c>
      <c r="AA1712" s="189">
        <f t="shared" si="441"/>
        <v>6.6</v>
      </c>
    </row>
    <row r="1713" spans="1:27" ht="24.75" hidden="1" x14ac:dyDescent="0.25">
      <c r="A1713" s="22" t="s">
        <v>234</v>
      </c>
      <c r="B1713" s="20" t="s">
        <v>449</v>
      </c>
      <c r="C1713" s="23" t="s">
        <v>660</v>
      </c>
      <c r="D1713" s="21"/>
      <c r="E1713" s="27"/>
      <c r="F1713" s="18">
        <f>F1714</f>
        <v>1174</v>
      </c>
      <c r="G1713" s="24">
        <f t="shared" si="440"/>
        <v>1174</v>
      </c>
      <c r="H1713" s="18">
        <f>H1714</f>
        <v>0</v>
      </c>
      <c r="I1713" s="24">
        <f t="shared" si="435"/>
        <v>1174</v>
      </c>
      <c r="J1713" s="18">
        <f>J1714</f>
        <v>0</v>
      </c>
      <c r="K1713" s="24">
        <f t="shared" si="436"/>
        <v>1174</v>
      </c>
      <c r="L1713" s="18">
        <f>L1714</f>
        <v>0</v>
      </c>
      <c r="M1713" s="24">
        <f t="shared" si="437"/>
        <v>1174</v>
      </c>
      <c r="N1713" s="18">
        <f>N1714</f>
        <v>0</v>
      </c>
      <c r="O1713" s="24">
        <f t="shared" si="438"/>
        <v>1174</v>
      </c>
      <c r="P1713" s="18">
        <f>P1714</f>
        <v>-1000</v>
      </c>
      <c r="Q1713" s="24">
        <f t="shared" si="433"/>
        <v>174</v>
      </c>
      <c r="R1713" s="18">
        <f>R1714</f>
        <v>1000</v>
      </c>
      <c r="S1713" s="24">
        <f t="shared" si="426"/>
        <v>1174</v>
      </c>
      <c r="T1713" s="18">
        <f>T1714</f>
        <v>-1174</v>
      </c>
      <c r="U1713" s="24">
        <f t="shared" si="427"/>
        <v>0</v>
      </c>
      <c r="V1713" s="18">
        <f>V1714</f>
        <v>0</v>
      </c>
      <c r="W1713" s="24">
        <f t="shared" si="424"/>
        <v>0</v>
      </c>
      <c r="X1713" s="18">
        <f>X1714</f>
        <v>0</v>
      </c>
      <c r="Y1713" s="24">
        <f t="shared" si="425"/>
        <v>0</v>
      </c>
    </row>
    <row r="1714" spans="1:27" hidden="1" x14ac:dyDescent="0.25">
      <c r="A1714" s="30" t="s">
        <v>66</v>
      </c>
      <c r="B1714" s="21" t="s">
        <v>449</v>
      </c>
      <c r="C1714" s="26" t="s">
        <v>660</v>
      </c>
      <c r="D1714" s="21" t="s">
        <v>42</v>
      </c>
      <c r="E1714" s="27"/>
      <c r="F1714" s="39">
        <v>1174</v>
      </c>
      <c r="G1714" s="24">
        <f t="shared" si="440"/>
        <v>1174</v>
      </c>
      <c r="H1714" s="69"/>
      <c r="I1714" s="24">
        <f t="shared" si="435"/>
        <v>1174</v>
      </c>
      <c r="J1714" s="69"/>
      <c r="K1714" s="24">
        <f t="shared" si="436"/>
        <v>1174</v>
      </c>
      <c r="L1714" s="69"/>
      <c r="M1714" s="24">
        <f t="shared" si="437"/>
        <v>1174</v>
      </c>
      <c r="N1714" s="69"/>
      <c r="O1714" s="24">
        <f t="shared" si="438"/>
        <v>1174</v>
      </c>
      <c r="P1714" s="94">
        <v>-1000</v>
      </c>
      <c r="Q1714" s="24">
        <f t="shared" si="433"/>
        <v>174</v>
      </c>
      <c r="R1714" s="39">
        <v>1000</v>
      </c>
      <c r="S1714" s="24">
        <f t="shared" si="426"/>
        <v>1174</v>
      </c>
      <c r="T1714" s="39">
        <v>-1174</v>
      </c>
      <c r="U1714" s="24">
        <f t="shared" si="427"/>
        <v>0</v>
      </c>
      <c r="V1714" s="69"/>
      <c r="W1714" s="24">
        <f t="shared" si="424"/>
        <v>0</v>
      </c>
      <c r="X1714" s="69"/>
      <c r="Y1714" s="24">
        <f t="shared" si="425"/>
        <v>0</v>
      </c>
      <c r="AA1714" s="189">
        <f>Y1714+Z1714</f>
        <v>0</v>
      </c>
    </row>
    <row r="1715" spans="1:27" s="6" customFormat="1" x14ac:dyDescent="0.25">
      <c r="A1715" s="22" t="s">
        <v>468</v>
      </c>
      <c r="B1715" s="23" t="s">
        <v>449</v>
      </c>
      <c r="C1715" s="23" t="s">
        <v>469</v>
      </c>
      <c r="D1715" s="23" t="s">
        <v>2</v>
      </c>
      <c r="E1715" s="24">
        <f>E1716+E1717</f>
        <v>1965</v>
      </c>
      <c r="F1715" s="24">
        <f>F1716+F1717</f>
        <v>0</v>
      </c>
      <c r="G1715" s="24">
        <f t="shared" si="440"/>
        <v>1965</v>
      </c>
      <c r="H1715" s="24">
        <f>H1716+H1717</f>
        <v>0</v>
      </c>
      <c r="I1715" s="24">
        <f t="shared" si="435"/>
        <v>1965</v>
      </c>
      <c r="J1715" s="24">
        <f>J1716+J1717+J1718</f>
        <v>0</v>
      </c>
      <c r="K1715" s="24">
        <f t="shared" si="436"/>
        <v>1965</v>
      </c>
      <c r="L1715" s="24">
        <f>L1716+L1717+L1718</f>
        <v>0</v>
      </c>
      <c r="M1715" s="24">
        <f t="shared" si="437"/>
        <v>1965</v>
      </c>
      <c r="N1715" s="24">
        <f>N1716+N1717+N1718</f>
        <v>0</v>
      </c>
      <c r="O1715" s="24">
        <f t="shared" si="438"/>
        <v>1965</v>
      </c>
      <c r="P1715" s="24">
        <f>P1716+P1717+P1718</f>
        <v>0</v>
      </c>
      <c r="Q1715" s="24">
        <f t="shared" si="433"/>
        <v>1965</v>
      </c>
      <c r="R1715" s="24">
        <f>R1716+R1717+R1718</f>
        <v>-530.9</v>
      </c>
      <c r="S1715" s="24">
        <f t="shared" si="426"/>
        <v>1434.1</v>
      </c>
      <c r="T1715" s="24">
        <f>T1716+T1717+T1718</f>
        <v>0</v>
      </c>
      <c r="U1715" s="24">
        <f t="shared" si="427"/>
        <v>1434.1</v>
      </c>
      <c r="V1715" s="24">
        <f>V1716+V1717+V1718</f>
        <v>0.1</v>
      </c>
      <c r="W1715" s="24">
        <f t="shared" si="424"/>
        <v>1434.1999999999998</v>
      </c>
      <c r="X1715" s="24">
        <f>X1716+X1717+X1718</f>
        <v>0</v>
      </c>
      <c r="Y1715" s="24">
        <f t="shared" si="425"/>
        <v>1434.1999999999998</v>
      </c>
      <c r="Z1715" s="189"/>
    </row>
    <row r="1716" spans="1:27" x14ac:dyDescent="0.25">
      <c r="A1716" s="25" t="s">
        <v>560</v>
      </c>
      <c r="B1716" s="26" t="s">
        <v>449</v>
      </c>
      <c r="C1716" s="26" t="s">
        <v>469</v>
      </c>
      <c r="D1716" s="26" t="s">
        <v>12</v>
      </c>
      <c r="E1716" s="27">
        <f>27+1482</f>
        <v>1509</v>
      </c>
      <c r="F1716" s="27"/>
      <c r="G1716" s="24">
        <f t="shared" si="440"/>
        <v>1509</v>
      </c>
      <c r="H1716" s="27"/>
      <c r="I1716" s="24">
        <f t="shared" si="435"/>
        <v>1509</v>
      </c>
      <c r="J1716" s="27"/>
      <c r="K1716" s="24">
        <f t="shared" si="436"/>
        <v>1509</v>
      </c>
      <c r="L1716" s="27"/>
      <c r="M1716" s="24">
        <f t="shared" si="437"/>
        <v>1509</v>
      </c>
      <c r="N1716" s="27"/>
      <c r="O1716" s="24">
        <f t="shared" si="438"/>
        <v>1509</v>
      </c>
      <c r="P1716" s="27"/>
      <c r="Q1716" s="24">
        <f t="shared" si="433"/>
        <v>1509</v>
      </c>
      <c r="R1716" s="39">
        <v>-477.2</v>
      </c>
      <c r="S1716" s="24">
        <f t="shared" si="426"/>
        <v>1031.8</v>
      </c>
      <c r="T1716" s="69"/>
      <c r="U1716" s="24">
        <f t="shared" si="427"/>
        <v>1031.8</v>
      </c>
      <c r="V1716" s="69"/>
      <c r="W1716" s="24">
        <f t="shared" ref="W1716:W1807" si="442">U1716+V1716</f>
        <v>1031.8</v>
      </c>
      <c r="X1716" s="69"/>
      <c r="Y1716" s="24">
        <f t="shared" ref="Y1716:Y1807" si="443">W1716+X1716</f>
        <v>1031.8</v>
      </c>
      <c r="AA1716" s="189">
        <f t="shared" ref="AA1716:AA1718" si="444">Y1716+Z1716</f>
        <v>1031.8</v>
      </c>
    </row>
    <row r="1717" spans="1:27" ht="28.5" customHeight="1" x14ac:dyDescent="0.25">
      <c r="A1717" s="25" t="s">
        <v>561</v>
      </c>
      <c r="B1717" s="26" t="s">
        <v>449</v>
      </c>
      <c r="C1717" s="26" t="s">
        <v>469</v>
      </c>
      <c r="D1717" s="26" t="s">
        <v>13</v>
      </c>
      <c r="E1717" s="27">
        <v>456</v>
      </c>
      <c r="F1717" s="27"/>
      <c r="G1717" s="24">
        <f t="shared" si="440"/>
        <v>456</v>
      </c>
      <c r="H1717" s="27"/>
      <c r="I1717" s="24">
        <f t="shared" si="435"/>
        <v>456</v>
      </c>
      <c r="J1717" s="63">
        <v>-0.7</v>
      </c>
      <c r="K1717" s="24">
        <f t="shared" si="436"/>
        <v>455.3</v>
      </c>
      <c r="L1717" s="69"/>
      <c r="M1717" s="24">
        <f t="shared" si="437"/>
        <v>455.3</v>
      </c>
      <c r="N1717" s="69"/>
      <c r="O1717" s="24">
        <f t="shared" si="438"/>
        <v>455.3</v>
      </c>
      <c r="P1717" s="69"/>
      <c r="Q1717" s="24">
        <f t="shared" si="433"/>
        <v>455.3</v>
      </c>
      <c r="R1717" s="39">
        <v>-53.7</v>
      </c>
      <c r="S1717" s="24">
        <f t="shared" si="426"/>
        <v>401.6</v>
      </c>
      <c r="T1717" s="69"/>
      <c r="U1717" s="24">
        <f t="shared" si="427"/>
        <v>401.6</v>
      </c>
      <c r="V1717" s="94">
        <v>0.1</v>
      </c>
      <c r="W1717" s="24">
        <f t="shared" si="442"/>
        <v>401.70000000000005</v>
      </c>
      <c r="X1717" s="69"/>
      <c r="Y1717" s="24">
        <f t="shared" si="443"/>
        <v>401.70000000000005</v>
      </c>
      <c r="AA1717" s="189">
        <f t="shared" si="444"/>
        <v>401.70000000000005</v>
      </c>
    </row>
    <row r="1718" spans="1:27" ht="16.5" customHeight="1" x14ac:dyDescent="0.25">
      <c r="A1718" s="64" t="s">
        <v>47</v>
      </c>
      <c r="B1718" s="21" t="s">
        <v>449</v>
      </c>
      <c r="C1718" s="21" t="s">
        <v>469</v>
      </c>
      <c r="D1718" s="21" t="s">
        <v>48</v>
      </c>
      <c r="E1718" s="27"/>
      <c r="F1718" s="27"/>
      <c r="G1718" s="24"/>
      <c r="H1718" s="27"/>
      <c r="I1718" s="24"/>
      <c r="J1718" s="63">
        <v>0.7</v>
      </c>
      <c r="K1718" s="24">
        <f t="shared" si="436"/>
        <v>0.7</v>
      </c>
      <c r="L1718" s="69"/>
      <c r="M1718" s="24">
        <f t="shared" si="437"/>
        <v>0.7</v>
      </c>
      <c r="N1718" s="69"/>
      <c r="O1718" s="24">
        <f t="shared" si="438"/>
        <v>0.7</v>
      </c>
      <c r="P1718" s="69"/>
      <c r="Q1718" s="24">
        <f t="shared" si="433"/>
        <v>0.7</v>
      </c>
      <c r="R1718" s="69"/>
      <c r="S1718" s="24">
        <f t="shared" si="426"/>
        <v>0.7</v>
      </c>
      <c r="T1718" s="69"/>
      <c r="U1718" s="24">
        <f t="shared" si="427"/>
        <v>0.7</v>
      </c>
      <c r="V1718" s="69"/>
      <c r="W1718" s="24">
        <f t="shared" si="442"/>
        <v>0.7</v>
      </c>
      <c r="X1718" s="69"/>
      <c r="Y1718" s="24">
        <f t="shared" si="443"/>
        <v>0.7</v>
      </c>
      <c r="AA1718" s="189">
        <f t="shared" si="444"/>
        <v>0.7</v>
      </c>
    </row>
    <row r="1719" spans="1:27" s="6" customFormat="1" x14ac:dyDescent="0.25">
      <c r="A1719" s="22" t="s">
        <v>122</v>
      </c>
      <c r="B1719" s="23" t="s">
        <v>449</v>
      </c>
      <c r="C1719" s="23" t="s">
        <v>123</v>
      </c>
      <c r="D1719" s="23" t="s">
        <v>2</v>
      </c>
      <c r="E1719" s="24">
        <f t="shared" ref="E1719:X1721" si="445">E1720</f>
        <v>200</v>
      </c>
      <c r="F1719" s="24">
        <f t="shared" si="445"/>
        <v>0</v>
      </c>
      <c r="G1719" s="24">
        <f t="shared" si="440"/>
        <v>200</v>
      </c>
      <c r="H1719" s="24">
        <f t="shared" si="445"/>
        <v>0</v>
      </c>
      <c r="I1719" s="24">
        <f t="shared" si="435"/>
        <v>200</v>
      </c>
      <c r="J1719" s="24">
        <f t="shared" si="445"/>
        <v>0</v>
      </c>
      <c r="K1719" s="24">
        <f t="shared" si="436"/>
        <v>200</v>
      </c>
      <c r="L1719" s="24">
        <f t="shared" si="445"/>
        <v>0</v>
      </c>
      <c r="M1719" s="24">
        <f t="shared" si="437"/>
        <v>200</v>
      </c>
      <c r="N1719" s="24">
        <f t="shared" si="445"/>
        <v>0</v>
      </c>
      <c r="O1719" s="24">
        <f t="shared" si="438"/>
        <v>200</v>
      </c>
      <c r="P1719" s="24">
        <f t="shared" si="445"/>
        <v>0</v>
      </c>
      <c r="Q1719" s="24">
        <f t="shared" si="433"/>
        <v>200</v>
      </c>
      <c r="R1719" s="24">
        <f t="shared" si="445"/>
        <v>0</v>
      </c>
      <c r="S1719" s="24">
        <f t="shared" si="426"/>
        <v>200</v>
      </c>
      <c r="T1719" s="24">
        <f t="shared" si="445"/>
        <v>0</v>
      </c>
      <c r="U1719" s="24">
        <f t="shared" si="427"/>
        <v>200</v>
      </c>
      <c r="V1719" s="24">
        <f t="shared" si="445"/>
        <v>0</v>
      </c>
      <c r="W1719" s="24">
        <f t="shared" si="442"/>
        <v>200</v>
      </c>
      <c r="X1719" s="24">
        <f t="shared" si="445"/>
        <v>0</v>
      </c>
      <c r="Y1719" s="24">
        <f t="shared" si="443"/>
        <v>200</v>
      </c>
      <c r="Z1719" s="189"/>
    </row>
    <row r="1720" spans="1:27" s="6" customFormat="1" ht="15.75" customHeight="1" x14ac:dyDescent="0.25">
      <c r="A1720" s="22" t="s">
        <v>124</v>
      </c>
      <c r="B1720" s="23" t="s">
        <v>449</v>
      </c>
      <c r="C1720" s="23" t="s">
        <v>125</v>
      </c>
      <c r="D1720" s="23" t="s">
        <v>2</v>
      </c>
      <c r="E1720" s="24">
        <f t="shared" si="445"/>
        <v>200</v>
      </c>
      <c r="F1720" s="24">
        <f t="shared" si="445"/>
        <v>0</v>
      </c>
      <c r="G1720" s="24">
        <f t="shared" si="440"/>
        <v>200</v>
      </c>
      <c r="H1720" s="24">
        <f t="shared" si="445"/>
        <v>0</v>
      </c>
      <c r="I1720" s="24">
        <f t="shared" si="435"/>
        <v>200</v>
      </c>
      <c r="J1720" s="24">
        <f t="shared" si="445"/>
        <v>0</v>
      </c>
      <c r="K1720" s="24">
        <f t="shared" si="436"/>
        <v>200</v>
      </c>
      <c r="L1720" s="24">
        <f t="shared" si="445"/>
        <v>0</v>
      </c>
      <c r="M1720" s="24">
        <f t="shared" si="437"/>
        <v>200</v>
      </c>
      <c r="N1720" s="24">
        <f t="shared" si="445"/>
        <v>0</v>
      </c>
      <c r="O1720" s="24">
        <f t="shared" si="438"/>
        <v>200</v>
      </c>
      <c r="P1720" s="24">
        <f t="shared" si="445"/>
        <v>0</v>
      </c>
      <c r="Q1720" s="24">
        <f t="shared" si="433"/>
        <v>200</v>
      </c>
      <c r="R1720" s="24">
        <f t="shared" si="445"/>
        <v>0</v>
      </c>
      <c r="S1720" s="24">
        <f t="shared" si="426"/>
        <v>200</v>
      </c>
      <c r="T1720" s="24">
        <f t="shared" si="445"/>
        <v>0</v>
      </c>
      <c r="U1720" s="24">
        <f t="shared" si="427"/>
        <v>200</v>
      </c>
      <c r="V1720" s="24">
        <f t="shared" si="445"/>
        <v>0</v>
      </c>
      <c r="W1720" s="24">
        <f t="shared" si="442"/>
        <v>200</v>
      </c>
      <c r="X1720" s="24">
        <f t="shared" si="445"/>
        <v>0</v>
      </c>
      <c r="Y1720" s="24">
        <f t="shared" si="443"/>
        <v>200</v>
      </c>
      <c r="Z1720" s="189"/>
    </row>
    <row r="1721" spans="1:27" s="6" customFormat="1" ht="24.75" x14ac:dyDescent="0.25">
      <c r="A1721" s="22" t="s">
        <v>126</v>
      </c>
      <c r="B1721" s="23" t="s">
        <v>449</v>
      </c>
      <c r="C1721" s="23" t="s">
        <v>127</v>
      </c>
      <c r="D1721" s="23" t="s">
        <v>2</v>
      </c>
      <c r="E1721" s="24">
        <f t="shared" si="445"/>
        <v>200</v>
      </c>
      <c r="F1721" s="24">
        <f t="shared" si="445"/>
        <v>0</v>
      </c>
      <c r="G1721" s="24">
        <f t="shared" si="440"/>
        <v>200</v>
      </c>
      <c r="H1721" s="24">
        <f t="shared" si="445"/>
        <v>0</v>
      </c>
      <c r="I1721" s="24">
        <f t="shared" si="435"/>
        <v>200</v>
      </c>
      <c r="J1721" s="24">
        <f t="shared" si="445"/>
        <v>0</v>
      </c>
      <c r="K1721" s="24">
        <f t="shared" si="436"/>
        <v>200</v>
      </c>
      <c r="L1721" s="24">
        <f t="shared" si="445"/>
        <v>0</v>
      </c>
      <c r="M1721" s="24">
        <f t="shared" si="437"/>
        <v>200</v>
      </c>
      <c r="N1721" s="24">
        <f t="shared" si="445"/>
        <v>0</v>
      </c>
      <c r="O1721" s="24">
        <f t="shared" si="438"/>
        <v>200</v>
      </c>
      <c r="P1721" s="24">
        <f t="shared" si="445"/>
        <v>0</v>
      </c>
      <c r="Q1721" s="24">
        <f t="shared" si="433"/>
        <v>200</v>
      </c>
      <c r="R1721" s="24">
        <f t="shared" si="445"/>
        <v>0</v>
      </c>
      <c r="S1721" s="24">
        <f t="shared" si="426"/>
        <v>200</v>
      </c>
      <c r="T1721" s="24">
        <f t="shared" si="445"/>
        <v>0</v>
      </c>
      <c r="U1721" s="24">
        <f t="shared" si="427"/>
        <v>200</v>
      </c>
      <c r="V1721" s="24">
        <f t="shared" si="445"/>
        <v>0</v>
      </c>
      <c r="W1721" s="24">
        <f t="shared" si="442"/>
        <v>200</v>
      </c>
      <c r="X1721" s="24">
        <f t="shared" si="445"/>
        <v>0</v>
      </c>
      <c r="Y1721" s="24">
        <f t="shared" si="443"/>
        <v>200</v>
      </c>
      <c r="Z1721" s="189"/>
    </row>
    <row r="1722" spans="1:27" x14ac:dyDescent="0.25">
      <c r="A1722" s="25" t="s">
        <v>574</v>
      </c>
      <c r="B1722" s="26" t="s">
        <v>449</v>
      </c>
      <c r="C1722" s="26" t="s">
        <v>127</v>
      </c>
      <c r="D1722" s="26" t="s">
        <v>81</v>
      </c>
      <c r="E1722" s="27">
        <v>200</v>
      </c>
      <c r="F1722" s="27"/>
      <c r="G1722" s="24">
        <f t="shared" si="440"/>
        <v>200</v>
      </c>
      <c r="H1722" s="27"/>
      <c r="I1722" s="24">
        <f t="shared" si="435"/>
        <v>200</v>
      </c>
      <c r="J1722" s="27"/>
      <c r="K1722" s="24">
        <f t="shared" si="436"/>
        <v>200</v>
      </c>
      <c r="L1722" s="27"/>
      <c r="M1722" s="24">
        <f t="shared" si="437"/>
        <v>200</v>
      </c>
      <c r="N1722" s="27"/>
      <c r="O1722" s="24">
        <f t="shared" si="438"/>
        <v>200</v>
      </c>
      <c r="P1722" s="27"/>
      <c r="Q1722" s="24">
        <f t="shared" si="433"/>
        <v>200</v>
      </c>
      <c r="R1722" s="27"/>
      <c r="S1722" s="24">
        <f t="shared" si="426"/>
        <v>200</v>
      </c>
      <c r="T1722" s="69"/>
      <c r="U1722" s="24">
        <f t="shared" si="427"/>
        <v>200</v>
      </c>
      <c r="V1722" s="69"/>
      <c r="W1722" s="24">
        <f t="shared" si="442"/>
        <v>200</v>
      </c>
      <c r="X1722" s="69"/>
      <c r="Y1722" s="24">
        <f t="shared" si="443"/>
        <v>200</v>
      </c>
      <c r="AA1722" s="189">
        <f>Y1722+Z1722</f>
        <v>200</v>
      </c>
    </row>
    <row r="1723" spans="1:27" s="6" customFormat="1" ht="36.75" x14ac:dyDescent="0.25">
      <c r="A1723" s="22" t="s">
        <v>599</v>
      </c>
      <c r="B1723" s="23" t="s">
        <v>449</v>
      </c>
      <c r="C1723" s="23" t="s">
        <v>417</v>
      </c>
      <c r="D1723" s="23" t="s">
        <v>2</v>
      </c>
      <c r="E1723" s="24">
        <f>E1724+E1727</f>
        <v>80</v>
      </c>
      <c r="F1723" s="24">
        <f>F1724+F1727</f>
        <v>0</v>
      </c>
      <c r="G1723" s="24">
        <f t="shared" si="440"/>
        <v>80</v>
      </c>
      <c r="H1723" s="24">
        <f>H1724+H1727</f>
        <v>0</v>
      </c>
      <c r="I1723" s="24">
        <f t="shared" si="435"/>
        <v>80</v>
      </c>
      <c r="J1723" s="24">
        <f>J1724+J1727</f>
        <v>0</v>
      </c>
      <c r="K1723" s="24">
        <f t="shared" si="436"/>
        <v>80</v>
      </c>
      <c r="L1723" s="24">
        <f>L1724+L1727</f>
        <v>0</v>
      </c>
      <c r="M1723" s="24">
        <f t="shared" si="437"/>
        <v>80</v>
      </c>
      <c r="N1723" s="24">
        <f>N1724+N1727</f>
        <v>0</v>
      </c>
      <c r="O1723" s="24">
        <f t="shared" si="438"/>
        <v>80</v>
      </c>
      <c r="P1723" s="24">
        <f>P1724+P1727</f>
        <v>0</v>
      </c>
      <c r="Q1723" s="24">
        <f t="shared" si="433"/>
        <v>80</v>
      </c>
      <c r="R1723" s="24">
        <f>R1724+R1727</f>
        <v>0</v>
      </c>
      <c r="S1723" s="24">
        <f t="shared" si="426"/>
        <v>80</v>
      </c>
      <c r="T1723" s="24">
        <f>T1724+T1727</f>
        <v>0</v>
      </c>
      <c r="U1723" s="24">
        <f t="shared" si="427"/>
        <v>80</v>
      </c>
      <c r="V1723" s="24">
        <f>V1724+V1727</f>
        <v>0</v>
      </c>
      <c r="W1723" s="24">
        <f t="shared" si="442"/>
        <v>80</v>
      </c>
      <c r="X1723" s="24">
        <f>X1724+X1727</f>
        <v>0</v>
      </c>
      <c r="Y1723" s="24">
        <f t="shared" si="443"/>
        <v>80</v>
      </c>
      <c r="Z1723" s="189"/>
    </row>
    <row r="1724" spans="1:27" s="6" customFormat="1" x14ac:dyDescent="0.25">
      <c r="A1724" s="16" t="s">
        <v>418</v>
      </c>
      <c r="B1724" s="23" t="s">
        <v>449</v>
      </c>
      <c r="C1724" s="20" t="s">
        <v>419</v>
      </c>
      <c r="D1724" s="20" t="s">
        <v>2</v>
      </c>
      <c r="E1724" s="24">
        <f>E1725</f>
        <v>5</v>
      </c>
      <c r="F1724" s="24">
        <f>F1725</f>
        <v>0</v>
      </c>
      <c r="G1724" s="24">
        <f t="shared" si="440"/>
        <v>5</v>
      </c>
      <c r="H1724" s="24">
        <f>H1725</f>
        <v>0</v>
      </c>
      <c r="I1724" s="24">
        <f t="shared" si="435"/>
        <v>5</v>
      </c>
      <c r="J1724" s="24">
        <f>J1725</f>
        <v>0</v>
      </c>
      <c r="K1724" s="24">
        <f t="shared" si="436"/>
        <v>5</v>
      </c>
      <c r="L1724" s="24">
        <f>L1725</f>
        <v>0</v>
      </c>
      <c r="M1724" s="24">
        <f t="shared" si="437"/>
        <v>5</v>
      </c>
      <c r="N1724" s="24">
        <f>N1725</f>
        <v>0</v>
      </c>
      <c r="O1724" s="24">
        <f t="shared" si="438"/>
        <v>5</v>
      </c>
      <c r="P1724" s="24">
        <f>P1725</f>
        <v>0</v>
      </c>
      <c r="Q1724" s="24">
        <f t="shared" si="433"/>
        <v>5</v>
      </c>
      <c r="R1724" s="24">
        <f>R1725</f>
        <v>0</v>
      </c>
      <c r="S1724" s="24">
        <f t="shared" si="426"/>
        <v>5</v>
      </c>
      <c r="T1724" s="24">
        <f>T1725</f>
        <v>0</v>
      </c>
      <c r="U1724" s="24">
        <f t="shared" si="427"/>
        <v>5</v>
      </c>
      <c r="V1724" s="24">
        <f>V1725</f>
        <v>0</v>
      </c>
      <c r="W1724" s="24">
        <f t="shared" si="442"/>
        <v>5</v>
      </c>
      <c r="X1724" s="24">
        <f>X1725</f>
        <v>0</v>
      </c>
      <c r="Y1724" s="24">
        <f t="shared" si="443"/>
        <v>5</v>
      </c>
      <c r="Z1724" s="189"/>
    </row>
    <row r="1725" spans="1:27" s="6" customFormat="1" ht="24.75" x14ac:dyDescent="0.25">
      <c r="A1725" s="16" t="s">
        <v>420</v>
      </c>
      <c r="B1725" s="23" t="s">
        <v>449</v>
      </c>
      <c r="C1725" s="20" t="s">
        <v>421</v>
      </c>
      <c r="D1725" s="20" t="s">
        <v>2</v>
      </c>
      <c r="E1725" s="24">
        <f>E1726</f>
        <v>5</v>
      </c>
      <c r="F1725" s="24">
        <f>F1726</f>
        <v>0</v>
      </c>
      <c r="G1725" s="24">
        <f t="shared" si="440"/>
        <v>5</v>
      </c>
      <c r="H1725" s="24">
        <f>H1726</f>
        <v>0</v>
      </c>
      <c r="I1725" s="24">
        <f t="shared" si="435"/>
        <v>5</v>
      </c>
      <c r="J1725" s="24">
        <f>J1726</f>
        <v>0</v>
      </c>
      <c r="K1725" s="24">
        <f t="shared" si="436"/>
        <v>5</v>
      </c>
      <c r="L1725" s="24">
        <f>L1726</f>
        <v>0</v>
      </c>
      <c r="M1725" s="24">
        <f t="shared" si="437"/>
        <v>5</v>
      </c>
      <c r="N1725" s="24">
        <f>N1726</f>
        <v>0</v>
      </c>
      <c r="O1725" s="24">
        <f t="shared" si="438"/>
        <v>5</v>
      </c>
      <c r="P1725" s="24">
        <f>P1726</f>
        <v>0</v>
      </c>
      <c r="Q1725" s="24">
        <f t="shared" si="433"/>
        <v>5</v>
      </c>
      <c r="R1725" s="24">
        <f>R1726</f>
        <v>0</v>
      </c>
      <c r="S1725" s="24">
        <f t="shared" si="426"/>
        <v>5</v>
      </c>
      <c r="T1725" s="24">
        <f>T1726</f>
        <v>0</v>
      </c>
      <c r="U1725" s="24">
        <f t="shared" si="427"/>
        <v>5</v>
      </c>
      <c r="V1725" s="24">
        <f>V1726</f>
        <v>0</v>
      </c>
      <c r="W1725" s="24">
        <f t="shared" si="442"/>
        <v>5</v>
      </c>
      <c r="X1725" s="24">
        <f>X1726</f>
        <v>0</v>
      </c>
      <c r="Y1725" s="24">
        <f t="shared" si="443"/>
        <v>5</v>
      </c>
      <c r="Z1725" s="189"/>
    </row>
    <row r="1726" spans="1:27" s="6" customFormat="1" x14ac:dyDescent="0.25">
      <c r="A1726" s="30" t="s">
        <v>574</v>
      </c>
      <c r="B1726" s="26" t="s">
        <v>449</v>
      </c>
      <c r="C1726" s="21" t="s">
        <v>421</v>
      </c>
      <c r="D1726" s="21" t="s">
        <v>81</v>
      </c>
      <c r="E1726" s="27">
        <v>5</v>
      </c>
      <c r="F1726" s="27"/>
      <c r="G1726" s="24">
        <f t="shared" si="440"/>
        <v>5</v>
      </c>
      <c r="H1726" s="27"/>
      <c r="I1726" s="24">
        <f t="shared" si="435"/>
        <v>5</v>
      </c>
      <c r="J1726" s="27"/>
      <c r="K1726" s="24">
        <f t="shared" si="436"/>
        <v>5</v>
      </c>
      <c r="L1726" s="27"/>
      <c r="M1726" s="24">
        <f t="shared" si="437"/>
        <v>5</v>
      </c>
      <c r="N1726" s="27"/>
      <c r="O1726" s="24">
        <f t="shared" si="438"/>
        <v>5</v>
      </c>
      <c r="P1726" s="27"/>
      <c r="Q1726" s="24">
        <f t="shared" si="433"/>
        <v>5</v>
      </c>
      <c r="R1726" s="27"/>
      <c r="S1726" s="24">
        <f t="shared" si="426"/>
        <v>5</v>
      </c>
      <c r="T1726" s="69"/>
      <c r="U1726" s="24">
        <f t="shared" si="427"/>
        <v>5</v>
      </c>
      <c r="V1726" s="69"/>
      <c r="W1726" s="24">
        <f t="shared" si="442"/>
        <v>5</v>
      </c>
      <c r="X1726" s="69"/>
      <c r="Y1726" s="24">
        <f t="shared" si="443"/>
        <v>5</v>
      </c>
      <c r="Z1726" s="189"/>
      <c r="AA1726" s="189">
        <f>Y1726+Z1726</f>
        <v>5</v>
      </c>
    </row>
    <row r="1727" spans="1:27" s="6" customFormat="1" ht="24.75" x14ac:dyDescent="0.25">
      <c r="A1727" s="22" t="s">
        <v>422</v>
      </c>
      <c r="B1727" s="23" t="s">
        <v>449</v>
      </c>
      <c r="C1727" s="23" t="s">
        <v>423</v>
      </c>
      <c r="D1727" s="23" t="s">
        <v>2</v>
      </c>
      <c r="E1727" s="24">
        <f>E1728</f>
        <v>75</v>
      </c>
      <c r="F1727" s="24">
        <f>F1728</f>
        <v>0</v>
      </c>
      <c r="G1727" s="24">
        <f t="shared" si="440"/>
        <v>75</v>
      </c>
      <c r="H1727" s="24">
        <f>H1728</f>
        <v>0</v>
      </c>
      <c r="I1727" s="24">
        <f t="shared" si="435"/>
        <v>75</v>
      </c>
      <c r="J1727" s="24">
        <f>J1728</f>
        <v>0</v>
      </c>
      <c r="K1727" s="24">
        <f t="shared" si="436"/>
        <v>75</v>
      </c>
      <c r="L1727" s="24">
        <f>L1728</f>
        <v>0</v>
      </c>
      <c r="M1727" s="24">
        <f t="shared" si="437"/>
        <v>75</v>
      </c>
      <c r="N1727" s="24">
        <f>N1728</f>
        <v>0</v>
      </c>
      <c r="O1727" s="24">
        <f t="shared" si="438"/>
        <v>75</v>
      </c>
      <c r="P1727" s="24">
        <f>P1728</f>
        <v>0</v>
      </c>
      <c r="Q1727" s="24">
        <f t="shared" si="433"/>
        <v>75</v>
      </c>
      <c r="R1727" s="24">
        <f>R1728</f>
        <v>0</v>
      </c>
      <c r="S1727" s="24">
        <f t="shared" si="426"/>
        <v>75</v>
      </c>
      <c r="T1727" s="24">
        <f>T1728</f>
        <v>0</v>
      </c>
      <c r="U1727" s="24">
        <f t="shared" si="427"/>
        <v>75</v>
      </c>
      <c r="V1727" s="24">
        <f>V1728</f>
        <v>0</v>
      </c>
      <c r="W1727" s="24">
        <f t="shared" si="442"/>
        <v>75</v>
      </c>
      <c r="X1727" s="24">
        <f>X1728</f>
        <v>0</v>
      </c>
      <c r="Y1727" s="24">
        <f t="shared" si="443"/>
        <v>75</v>
      </c>
      <c r="Z1727" s="189"/>
    </row>
    <row r="1728" spans="1:27" s="6" customFormat="1" ht="24.75" x14ac:dyDescent="0.25">
      <c r="A1728" s="22" t="s">
        <v>472</v>
      </c>
      <c r="B1728" s="23" t="s">
        <v>449</v>
      </c>
      <c r="C1728" s="23" t="s">
        <v>473</v>
      </c>
      <c r="D1728" s="23" t="s">
        <v>2</v>
      </c>
      <c r="E1728" s="24">
        <f>E1729</f>
        <v>75</v>
      </c>
      <c r="F1728" s="24">
        <f>F1729</f>
        <v>0</v>
      </c>
      <c r="G1728" s="24">
        <f t="shared" si="440"/>
        <v>75</v>
      </c>
      <c r="H1728" s="24">
        <f>H1729</f>
        <v>0</v>
      </c>
      <c r="I1728" s="24">
        <f t="shared" si="435"/>
        <v>75</v>
      </c>
      <c r="J1728" s="24">
        <f>J1729</f>
        <v>0</v>
      </c>
      <c r="K1728" s="24">
        <f t="shared" si="436"/>
        <v>75</v>
      </c>
      <c r="L1728" s="24">
        <f>L1729</f>
        <v>0</v>
      </c>
      <c r="M1728" s="24">
        <f t="shared" si="437"/>
        <v>75</v>
      </c>
      <c r="N1728" s="24">
        <f>N1729</f>
        <v>0</v>
      </c>
      <c r="O1728" s="24">
        <f t="shared" si="438"/>
        <v>75</v>
      </c>
      <c r="P1728" s="24">
        <f>P1729</f>
        <v>0</v>
      </c>
      <c r="Q1728" s="24">
        <f t="shared" si="433"/>
        <v>75</v>
      </c>
      <c r="R1728" s="24">
        <f>R1729</f>
        <v>0</v>
      </c>
      <c r="S1728" s="24">
        <f t="shared" si="426"/>
        <v>75</v>
      </c>
      <c r="T1728" s="24">
        <f>T1729</f>
        <v>0</v>
      </c>
      <c r="U1728" s="24">
        <f t="shared" si="427"/>
        <v>75</v>
      </c>
      <c r="V1728" s="24">
        <f>V1729</f>
        <v>0</v>
      </c>
      <c r="W1728" s="24">
        <f t="shared" si="442"/>
        <v>75</v>
      </c>
      <c r="X1728" s="24">
        <f>X1729</f>
        <v>0</v>
      </c>
      <c r="Y1728" s="24">
        <f t="shared" si="443"/>
        <v>75</v>
      </c>
      <c r="Z1728" s="189"/>
    </row>
    <row r="1729" spans="1:27" x14ac:dyDescent="0.25">
      <c r="A1729" s="25" t="s">
        <v>574</v>
      </c>
      <c r="B1729" s="26" t="s">
        <v>449</v>
      </c>
      <c r="C1729" s="26" t="s">
        <v>473</v>
      </c>
      <c r="D1729" s="26" t="s">
        <v>81</v>
      </c>
      <c r="E1729" s="27">
        <v>75</v>
      </c>
      <c r="F1729" s="27"/>
      <c r="G1729" s="24">
        <f t="shared" si="440"/>
        <v>75</v>
      </c>
      <c r="H1729" s="27"/>
      <c r="I1729" s="24">
        <f t="shared" si="435"/>
        <v>75</v>
      </c>
      <c r="J1729" s="27"/>
      <c r="K1729" s="24">
        <f t="shared" si="436"/>
        <v>75</v>
      </c>
      <c r="L1729" s="27"/>
      <c r="M1729" s="24">
        <f t="shared" si="437"/>
        <v>75</v>
      </c>
      <c r="N1729" s="27"/>
      <c r="O1729" s="24">
        <f t="shared" si="438"/>
        <v>75</v>
      </c>
      <c r="P1729" s="27"/>
      <c r="Q1729" s="24">
        <f t="shared" si="433"/>
        <v>75</v>
      </c>
      <c r="R1729" s="27"/>
      <c r="S1729" s="24">
        <f t="shared" si="426"/>
        <v>75</v>
      </c>
      <c r="T1729" s="69"/>
      <c r="U1729" s="24">
        <f t="shared" si="427"/>
        <v>75</v>
      </c>
      <c r="V1729" s="69"/>
      <c r="W1729" s="24">
        <f t="shared" si="442"/>
        <v>75</v>
      </c>
      <c r="X1729" s="69"/>
      <c r="Y1729" s="24">
        <f t="shared" si="443"/>
        <v>75</v>
      </c>
      <c r="AA1729" s="189">
        <f>Y1729+Z1729</f>
        <v>75</v>
      </c>
    </row>
    <row r="1730" spans="1:27" s="6" customFormat="1" ht="36.75" x14ac:dyDescent="0.25">
      <c r="A1730" s="22" t="s">
        <v>626</v>
      </c>
      <c r="B1730" s="23" t="s">
        <v>449</v>
      </c>
      <c r="C1730" s="23" t="s">
        <v>144</v>
      </c>
      <c r="D1730" s="23" t="s">
        <v>2</v>
      </c>
      <c r="E1730" s="24">
        <f t="shared" ref="E1730:X1732" si="446">E1731</f>
        <v>3</v>
      </c>
      <c r="F1730" s="24">
        <f t="shared" si="446"/>
        <v>0</v>
      </c>
      <c r="G1730" s="24">
        <f t="shared" si="440"/>
        <v>3</v>
      </c>
      <c r="H1730" s="24">
        <f t="shared" si="446"/>
        <v>0</v>
      </c>
      <c r="I1730" s="24">
        <f t="shared" si="435"/>
        <v>3</v>
      </c>
      <c r="J1730" s="24">
        <f t="shared" si="446"/>
        <v>0</v>
      </c>
      <c r="K1730" s="24">
        <f t="shared" si="436"/>
        <v>3</v>
      </c>
      <c r="L1730" s="24">
        <f t="shared" si="446"/>
        <v>0</v>
      </c>
      <c r="M1730" s="24">
        <f t="shared" si="437"/>
        <v>3</v>
      </c>
      <c r="N1730" s="24">
        <f t="shared" si="446"/>
        <v>0</v>
      </c>
      <c r="O1730" s="24">
        <f t="shared" si="438"/>
        <v>3</v>
      </c>
      <c r="P1730" s="24">
        <f t="shared" si="446"/>
        <v>0</v>
      </c>
      <c r="Q1730" s="24">
        <f t="shared" si="433"/>
        <v>3</v>
      </c>
      <c r="R1730" s="24">
        <f t="shared" si="446"/>
        <v>0</v>
      </c>
      <c r="S1730" s="24">
        <f t="shared" si="426"/>
        <v>3</v>
      </c>
      <c r="T1730" s="24">
        <f t="shared" si="446"/>
        <v>0</v>
      </c>
      <c r="U1730" s="24">
        <f t="shared" si="427"/>
        <v>3</v>
      </c>
      <c r="V1730" s="24">
        <f t="shared" si="446"/>
        <v>0</v>
      </c>
      <c r="W1730" s="24">
        <f t="shared" si="442"/>
        <v>3</v>
      </c>
      <c r="X1730" s="24">
        <f t="shared" si="446"/>
        <v>0</v>
      </c>
      <c r="Y1730" s="24">
        <f t="shared" si="443"/>
        <v>3</v>
      </c>
      <c r="Z1730" s="189"/>
    </row>
    <row r="1731" spans="1:27" s="6" customFormat="1" x14ac:dyDescent="0.25">
      <c r="A1731" s="22" t="s">
        <v>474</v>
      </c>
      <c r="B1731" s="23" t="s">
        <v>449</v>
      </c>
      <c r="C1731" s="23" t="s">
        <v>475</v>
      </c>
      <c r="D1731" s="23" t="s">
        <v>2</v>
      </c>
      <c r="E1731" s="24">
        <f t="shared" si="446"/>
        <v>3</v>
      </c>
      <c r="F1731" s="24">
        <f t="shared" si="446"/>
        <v>0</v>
      </c>
      <c r="G1731" s="24">
        <f t="shared" si="440"/>
        <v>3</v>
      </c>
      <c r="H1731" s="24">
        <f t="shared" si="446"/>
        <v>0</v>
      </c>
      <c r="I1731" s="24">
        <f t="shared" si="435"/>
        <v>3</v>
      </c>
      <c r="J1731" s="24">
        <f t="shared" si="446"/>
        <v>0</v>
      </c>
      <c r="K1731" s="24">
        <f t="shared" si="436"/>
        <v>3</v>
      </c>
      <c r="L1731" s="24">
        <f t="shared" si="446"/>
        <v>0</v>
      </c>
      <c r="M1731" s="24">
        <f t="shared" si="437"/>
        <v>3</v>
      </c>
      <c r="N1731" s="24">
        <f t="shared" si="446"/>
        <v>0</v>
      </c>
      <c r="O1731" s="24">
        <f t="shared" si="438"/>
        <v>3</v>
      </c>
      <c r="P1731" s="24">
        <f t="shared" si="446"/>
        <v>0</v>
      </c>
      <c r="Q1731" s="24">
        <f t="shared" si="433"/>
        <v>3</v>
      </c>
      <c r="R1731" s="24">
        <f t="shared" si="446"/>
        <v>0</v>
      </c>
      <c r="S1731" s="24">
        <f t="shared" si="426"/>
        <v>3</v>
      </c>
      <c r="T1731" s="24">
        <f t="shared" si="446"/>
        <v>0</v>
      </c>
      <c r="U1731" s="24">
        <f t="shared" si="427"/>
        <v>3</v>
      </c>
      <c r="V1731" s="24">
        <f t="shared" si="446"/>
        <v>0</v>
      </c>
      <c r="W1731" s="24">
        <f t="shared" si="442"/>
        <v>3</v>
      </c>
      <c r="X1731" s="24">
        <f t="shared" si="446"/>
        <v>0</v>
      </c>
      <c r="Y1731" s="24">
        <f t="shared" si="443"/>
        <v>3</v>
      </c>
      <c r="Z1731" s="189"/>
    </row>
    <row r="1732" spans="1:27" s="6" customFormat="1" ht="24.75" x14ac:dyDescent="0.25">
      <c r="A1732" s="22" t="s">
        <v>142</v>
      </c>
      <c r="B1732" s="23" t="s">
        <v>449</v>
      </c>
      <c r="C1732" s="23" t="s">
        <v>476</v>
      </c>
      <c r="D1732" s="23" t="s">
        <v>2</v>
      </c>
      <c r="E1732" s="24">
        <f t="shared" si="446"/>
        <v>3</v>
      </c>
      <c r="F1732" s="24">
        <f t="shared" si="446"/>
        <v>0</v>
      </c>
      <c r="G1732" s="24">
        <f t="shared" si="440"/>
        <v>3</v>
      </c>
      <c r="H1732" s="24">
        <f t="shared" si="446"/>
        <v>0</v>
      </c>
      <c r="I1732" s="24">
        <f t="shared" si="435"/>
        <v>3</v>
      </c>
      <c r="J1732" s="24">
        <f t="shared" si="446"/>
        <v>0</v>
      </c>
      <c r="K1732" s="24">
        <f t="shared" si="436"/>
        <v>3</v>
      </c>
      <c r="L1732" s="24">
        <f t="shared" si="446"/>
        <v>0</v>
      </c>
      <c r="M1732" s="24">
        <f t="shared" si="437"/>
        <v>3</v>
      </c>
      <c r="N1732" s="24">
        <f t="shared" si="446"/>
        <v>0</v>
      </c>
      <c r="O1732" s="24">
        <f t="shared" si="438"/>
        <v>3</v>
      </c>
      <c r="P1732" s="24">
        <f t="shared" si="446"/>
        <v>0</v>
      </c>
      <c r="Q1732" s="24">
        <f t="shared" si="433"/>
        <v>3</v>
      </c>
      <c r="R1732" s="24">
        <f t="shared" si="446"/>
        <v>0</v>
      </c>
      <c r="S1732" s="24">
        <f t="shared" si="426"/>
        <v>3</v>
      </c>
      <c r="T1732" s="24">
        <f t="shared" si="446"/>
        <v>0</v>
      </c>
      <c r="U1732" s="24">
        <f t="shared" si="427"/>
        <v>3</v>
      </c>
      <c r="V1732" s="24">
        <f t="shared" si="446"/>
        <v>0</v>
      </c>
      <c r="W1732" s="24">
        <f t="shared" si="442"/>
        <v>3</v>
      </c>
      <c r="X1732" s="24">
        <f t="shared" si="446"/>
        <v>0</v>
      </c>
      <c r="Y1732" s="24">
        <f t="shared" si="443"/>
        <v>3</v>
      </c>
      <c r="Z1732" s="189"/>
    </row>
    <row r="1733" spans="1:27" x14ac:dyDescent="0.25">
      <c r="A1733" s="25" t="s">
        <v>574</v>
      </c>
      <c r="B1733" s="26" t="s">
        <v>449</v>
      </c>
      <c r="C1733" s="26" t="s">
        <v>476</v>
      </c>
      <c r="D1733" s="26" t="s">
        <v>81</v>
      </c>
      <c r="E1733" s="27">
        <v>3</v>
      </c>
      <c r="F1733" s="27"/>
      <c r="G1733" s="24">
        <f t="shared" si="440"/>
        <v>3</v>
      </c>
      <c r="H1733" s="27"/>
      <c r="I1733" s="24">
        <f t="shared" si="435"/>
        <v>3</v>
      </c>
      <c r="J1733" s="27"/>
      <c r="K1733" s="24">
        <f t="shared" si="436"/>
        <v>3</v>
      </c>
      <c r="L1733" s="27"/>
      <c r="M1733" s="24">
        <f t="shared" si="437"/>
        <v>3</v>
      </c>
      <c r="N1733" s="27"/>
      <c r="O1733" s="24">
        <f t="shared" si="438"/>
        <v>3</v>
      </c>
      <c r="P1733" s="27"/>
      <c r="Q1733" s="24">
        <f t="shared" si="433"/>
        <v>3</v>
      </c>
      <c r="R1733" s="27"/>
      <c r="S1733" s="24">
        <f t="shared" si="426"/>
        <v>3</v>
      </c>
      <c r="T1733" s="69"/>
      <c r="U1733" s="24">
        <f t="shared" si="427"/>
        <v>3</v>
      </c>
      <c r="V1733" s="69"/>
      <c r="W1733" s="24">
        <f t="shared" si="442"/>
        <v>3</v>
      </c>
      <c r="X1733" s="69"/>
      <c r="Y1733" s="24">
        <f t="shared" si="443"/>
        <v>3</v>
      </c>
      <c r="AA1733" s="189">
        <f>Y1733+Z1733</f>
        <v>3</v>
      </c>
    </row>
    <row r="1734" spans="1:27" s="6" customFormat="1" x14ac:dyDescent="0.25">
      <c r="A1734" s="34" t="s">
        <v>477</v>
      </c>
      <c r="B1734" s="35" t="s">
        <v>478</v>
      </c>
      <c r="C1734" s="35" t="s">
        <v>2</v>
      </c>
      <c r="D1734" s="35" t="s">
        <v>2</v>
      </c>
      <c r="E1734" s="36">
        <f>E1735</f>
        <v>449.4</v>
      </c>
      <c r="F1734" s="36">
        <f>F1735</f>
        <v>0</v>
      </c>
      <c r="G1734" s="36">
        <f t="shared" si="440"/>
        <v>449.4</v>
      </c>
      <c r="H1734" s="36">
        <f>H1735</f>
        <v>0</v>
      </c>
      <c r="I1734" s="36">
        <f t="shared" si="435"/>
        <v>449.4</v>
      </c>
      <c r="J1734" s="36">
        <f>J1735</f>
        <v>0</v>
      </c>
      <c r="K1734" s="36">
        <f t="shared" si="436"/>
        <v>449.4</v>
      </c>
      <c r="L1734" s="36">
        <f>L1735</f>
        <v>0</v>
      </c>
      <c r="M1734" s="36">
        <f t="shared" si="437"/>
        <v>449.4</v>
      </c>
      <c r="N1734" s="36">
        <f>N1735</f>
        <v>0</v>
      </c>
      <c r="O1734" s="36">
        <f t="shared" si="438"/>
        <v>449.4</v>
      </c>
      <c r="P1734" s="36">
        <f>P1735</f>
        <v>0</v>
      </c>
      <c r="Q1734" s="36">
        <f t="shared" si="433"/>
        <v>449.4</v>
      </c>
      <c r="R1734" s="36">
        <f>R1735</f>
        <v>0</v>
      </c>
      <c r="S1734" s="36">
        <f t="shared" si="426"/>
        <v>449.4</v>
      </c>
      <c r="T1734" s="36">
        <f>T1735</f>
        <v>-38</v>
      </c>
      <c r="U1734" s="36">
        <f t="shared" si="427"/>
        <v>411.4</v>
      </c>
      <c r="V1734" s="36">
        <f>V1735</f>
        <v>-27.2</v>
      </c>
      <c r="W1734" s="36">
        <f t="shared" si="442"/>
        <v>384.2</v>
      </c>
      <c r="X1734" s="36">
        <f>X1735</f>
        <v>0</v>
      </c>
      <c r="Y1734" s="36">
        <f t="shared" si="443"/>
        <v>384.2</v>
      </c>
      <c r="Z1734" s="189"/>
    </row>
    <row r="1735" spans="1:27" s="6" customFormat="1" x14ac:dyDescent="0.25">
      <c r="A1735" s="22" t="s">
        <v>479</v>
      </c>
      <c r="B1735" s="23" t="s">
        <v>480</v>
      </c>
      <c r="C1735" s="23" t="s">
        <v>2</v>
      </c>
      <c r="D1735" s="23" t="s">
        <v>2</v>
      </c>
      <c r="E1735" s="24">
        <f>E1736+E1745</f>
        <v>449.4</v>
      </c>
      <c r="F1735" s="24">
        <f>F1736+F1745</f>
        <v>0</v>
      </c>
      <c r="G1735" s="24">
        <f t="shared" si="440"/>
        <v>449.4</v>
      </c>
      <c r="H1735" s="24">
        <f>H1736+H1745</f>
        <v>0</v>
      </c>
      <c r="I1735" s="24">
        <f t="shared" si="435"/>
        <v>449.4</v>
      </c>
      <c r="J1735" s="24">
        <f>J1736+J1745</f>
        <v>0</v>
      </c>
      <c r="K1735" s="24">
        <f t="shared" si="436"/>
        <v>449.4</v>
      </c>
      <c r="L1735" s="24">
        <f>L1736+L1745</f>
        <v>0</v>
      </c>
      <c r="M1735" s="24">
        <f t="shared" si="437"/>
        <v>449.4</v>
      </c>
      <c r="N1735" s="24">
        <f>N1736+N1745</f>
        <v>0</v>
      </c>
      <c r="O1735" s="24">
        <f t="shared" si="438"/>
        <v>449.4</v>
      </c>
      <c r="P1735" s="24">
        <f>P1736+P1745</f>
        <v>0</v>
      </c>
      <c r="Q1735" s="24">
        <f t="shared" si="433"/>
        <v>449.4</v>
      </c>
      <c r="R1735" s="24">
        <f>R1736+R1745</f>
        <v>0</v>
      </c>
      <c r="S1735" s="24">
        <f t="shared" si="426"/>
        <v>449.4</v>
      </c>
      <c r="T1735" s="24">
        <f>T1736+T1745</f>
        <v>-38</v>
      </c>
      <c r="U1735" s="24">
        <f t="shared" si="427"/>
        <v>411.4</v>
      </c>
      <c r="V1735" s="24">
        <f>V1736+V1745</f>
        <v>-27.2</v>
      </c>
      <c r="W1735" s="24">
        <f t="shared" si="442"/>
        <v>384.2</v>
      </c>
      <c r="X1735" s="24">
        <f>X1736+X1745</f>
        <v>0</v>
      </c>
      <c r="Y1735" s="24">
        <f t="shared" si="443"/>
        <v>384.2</v>
      </c>
      <c r="Z1735" s="189"/>
    </row>
    <row r="1736" spans="1:27" s="6" customFormat="1" ht="24.75" x14ac:dyDescent="0.25">
      <c r="A1736" s="22" t="s">
        <v>400</v>
      </c>
      <c r="B1736" s="23" t="s">
        <v>480</v>
      </c>
      <c r="C1736" s="23" t="s">
        <v>401</v>
      </c>
      <c r="D1736" s="23" t="s">
        <v>2</v>
      </c>
      <c r="E1736" s="24">
        <f>E1737+E1742</f>
        <v>369.4</v>
      </c>
      <c r="F1736" s="24">
        <f>F1737+F1742</f>
        <v>0</v>
      </c>
      <c r="G1736" s="24">
        <f t="shared" si="440"/>
        <v>369.4</v>
      </c>
      <c r="H1736" s="24">
        <f>H1737+H1742</f>
        <v>0</v>
      </c>
      <c r="I1736" s="24">
        <f t="shared" si="435"/>
        <v>369.4</v>
      </c>
      <c r="J1736" s="24">
        <f>J1737+J1742</f>
        <v>0</v>
      </c>
      <c r="K1736" s="24">
        <f t="shared" si="436"/>
        <v>369.4</v>
      </c>
      <c r="L1736" s="24">
        <f>L1737+L1742</f>
        <v>0</v>
      </c>
      <c r="M1736" s="24">
        <f t="shared" si="437"/>
        <v>369.4</v>
      </c>
      <c r="N1736" s="24">
        <f>N1737+N1742</f>
        <v>0</v>
      </c>
      <c r="O1736" s="24">
        <f t="shared" si="438"/>
        <v>369.4</v>
      </c>
      <c r="P1736" s="24">
        <f>P1737+P1742</f>
        <v>0</v>
      </c>
      <c r="Q1736" s="24">
        <f t="shared" si="433"/>
        <v>369.4</v>
      </c>
      <c r="R1736" s="24">
        <f>R1737+R1742</f>
        <v>0</v>
      </c>
      <c r="S1736" s="24">
        <f t="shared" si="426"/>
        <v>369.4</v>
      </c>
      <c r="T1736" s="24">
        <f>T1737+T1742</f>
        <v>-38</v>
      </c>
      <c r="U1736" s="24">
        <f t="shared" si="427"/>
        <v>331.4</v>
      </c>
      <c r="V1736" s="24">
        <f>V1737+V1742</f>
        <v>-27.2</v>
      </c>
      <c r="W1736" s="24">
        <f t="shared" si="442"/>
        <v>304.2</v>
      </c>
      <c r="X1736" s="24">
        <f>X1737+X1742</f>
        <v>0</v>
      </c>
      <c r="Y1736" s="24">
        <f t="shared" si="443"/>
        <v>304.2</v>
      </c>
      <c r="Z1736" s="189"/>
    </row>
    <row r="1737" spans="1:27" s="6" customFormat="1" ht="24.75" x14ac:dyDescent="0.25">
      <c r="A1737" s="22" t="s">
        <v>402</v>
      </c>
      <c r="B1737" s="23" t="s">
        <v>480</v>
      </c>
      <c r="C1737" s="23" t="s">
        <v>403</v>
      </c>
      <c r="D1737" s="23" t="s">
        <v>2</v>
      </c>
      <c r="E1737" s="24">
        <f>E1738+E1740</f>
        <v>50</v>
      </c>
      <c r="F1737" s="24">
        <f>F1738+F1740</f>
        <v>0</v>
      </c>
      <c r="G1737" s="24">
        <f t="shared" si="440"/>
        <v>50</v>
      </c>
      <c r="H1737" s="24">
        <f>H1738+H1740</f>
        <v>0</v>
      </c>
      <c r="I1737" s="24">
        <f t="shared" si="435"/>
        <v>50</v>
      </c>
      <c r="J1737" s="24">
        <f>J1738+J1740</f>
        <v>0</v>
      </c>
      <c r="K1737" s="24">
        <f t="shared" si="436"/>
        <v>50</v>
      </c>
      <c r="L1737" s="24">
        <f>L1738+L1740</f>
        <v>0</v>
      </c>
      <c r="M1737" s="24">
        <f t="shared" si="437"/>
        <v>50</v>
      </c>
      <c r="N1737" s="24">
        <f>N1738+N1740</f>
        <v>0</v>
      </c>
      <c r="O1737" s="24">
        <f t="shared" si="438"/>
        <v>50</v>
      </c>
      <c r="P1737" s="24">
        <f>P1738+P1740</f>
        <v>0</v>
      </c>
      <c r="Q1737" s="24">
        <f t="shared" si="433"/>
        <v>50</v>
      </c>
      <c r="R1737" s="24">
        <f>R1738+R1740</f>
        <v>0</v>
      </c>
      <c r="S1737" s="24">
        <f t="shared" si="426"/>
        <v>50</v>
      </c>
      <c r="T1737" s="24">
        <f>T1738+T1740</f>
        <v>0</v>
      </c>
      <c r="U1737" s="24">
        <f t="shared" si="427"/>
        <v>50</v>
      </c>
      <c r="V1737" s="24">
        <f>V1738+V1740</f>
        <v>0</v>
      </c>
      <c r="W1737" s="24">
        <f t="shared" si="442"/>
        <v>50</v>
      </c>
      <c r="X1737" s="24">
        <f>X1738+X1740</f>
        <v>0</v>
      </c>
      <c r="Y1737" s="24">
        <f t="shared" si="443"/>
        <v>50</v>
      </c>
      <c r="Z1737" s="189"/>
    </row>
    <row r="1738" spans="1:27" s="6" customFormat="1" ht="36.75" x14ac:dyDescent="0.25">
      <c r="A1738" s="22" t="s">
        <v>481</v>
      </c>
      <c r="B1738" s="23" t="s">
        <v>480</v>
      </c>
      <c r="C1738" s="23" t="s">
        <v>482</v>
      </c>
      <c r="D1738" s="23" t="s">
        <v>2</v>
      </c>
      <c r="E1738" s="24">
        <f>E1739</f>
        <v>30</v>
      </c>
      <c r="F1738" s="24">
        <f>F1739</f>
        <v>0</v>
      </c>
      <c r="G1738" s="24">
        <f t="shared" si="440"/>
        <v>30</v>
      </c>
      <c r="H1738" s="24">
        <f>H1739</f>
        <v>0</v>
      </c>
      <c r="I1738" s="24">
        <f t="shared" si="435"/>
        <v>30</v>
      </c>
      <c r="J1738" s="24">
        <f>J1739</f>
        <v>0</v>
      </c>
      <c r="K1738" s="24">
        <f t="shared" si="436"/>
        <v>30</v>
      </c>
      <c r="L1738" s="24">
        <f>L1739</f>
        <v>0</v>
      </c>
      <c r="M1738" s="24">
        <f t="shared" si="437"/>
        <v>30</v>
      </c>
      <c r="N1738" s="24">
        <f>N1739</f>
        <v>0</v>
      </c>
      <c r="O1738" s="24">
        <f t="shared" si="438"/>
        <v>30</v>
      </c>
      <c r="P1738" s="24">
        <f>P1739</f>
        <v>0</v>
      </c>
      <c r="Q1738" s="24">
        <f t="shared" si="433"/>
        <v>30</v>
      </c>
      <c r="R1738" s="24">
        <f>R1739</f>
        <v>0</v>
      </c>
      <c r="S1738" s="24">
        <f t="shared" si="426"/>
        <v>30</v>
      </c>
      <c r="T1738" s="24">
        <f>T1739</f>
        <v>0</v>
      </c>
      <c r="U1738" s="24">
        <f t="shared" si="427"/>
        <v>30</v>
      </c>
      <c r="V1738" s="24">
        <f>V1739</f>
        <v>0</v>
      </c>
      <c r="W1738" s="24">
        <f t="shared" si="442"/>
        <v>30</v>
      </c>
      <c r="X1738" s="24">
        <f>X1739</f>
        <v>0</v>
      </c>
      <c r="Y1738" s="24">
        <f t="shared" si="443"/>
        <v>30</v>
      </c>
      <c r="Z1738" s="189"/>
    </row>
    <row r="1739" spans="1:27" x14ac:dyDescent="0.25">
      <c r="A1739" s="25" t="s">
        <v>66</v>
      </c>
      <c r="B1739" s="26" t="s">
        <v>480</v>
      </c>
      <c r="C1739" s="26" t="s">
        <v>482</v>
      </c>
      <c r="D1739" s="26" t="s">
        <v>42</v>
      </c>
      <c r="E1739" s="27">
        <v>30</v>
      </c>
      <c r="F1739" s="27"/>
      <c r="G1739" s="24">
        <f t="shared" si="440"/>
        <v>30</v>
      </c>
      <c r="H1739" s="27"/>
      <c r="I1739" s="24">
        <f t="shared" si="435"/>
        <v>30</v>
      </c>
      <c r="J1739" s="27"/>
      <c r="K1739" s="24">
        <f t="shared" si="436"/>
        <v>30</v>
      </c>
      <c r="L1739" s="27"/>
      <c r="M1739" s="24">
        <f t="shared" si="437"/>
        <v>30</v>
      </c>
      <c r="N1739" s="27"/>
      <c r="O1739" s="24">
        <f t="shared" si="438"/>
        <v>30</v>
      </c>
      <c r="P1739" s="27"/>
      <c r="Q1739" s="24">
        <f t="shared" si="433"/>
        <v>30</v>
      </c>
      <c r="R1739" s="27"/>
      <c r="S1739" s="24">
        <f t="shared" si="426"/>
        <v>30</v>
      </c>
      <c r="T1739" s="69"/>
      <c r="U1739" s="24">
        <f t="shared" si="427"/>
        <v>30</v>
      </c>
      <c r="V1739" s="69"/>
      <c r="W1739" s="24">
        <f t="shared" si="442"/>
        <v>30</v>
      </c>
      <c r="X1739" s="69"/>
      <c r="Y1739" s="24">
        <f t="shared" si="443"/>
        <v>30</v>
      </c>
      <c r="AA1739" s="189">
        <f>Y1739+Z1739</f>
        <v>30</v>
      </c>
    </row>
    <row r="1740" spans="1:27" s="6" customFormat="1" ht="24.75" x14ac:dyDescent="0.25">
      <c r="A1740" s="22" t="s">
        <v>404</v>
      </c>
      <c r="B1740" s="23" t="s">
        <v>480</v>
      </c>
      <c r="C1740" s="23" t="s">
        <v>405</v>
      </c>
      <c r="D1740" s="23" t="s">
        <v>2</v>
      </c>
      <c r="E1740" s="24">
        <f>E1741</f>
        <v>20</v>
      </c>
      <c r="F1740" s="24">
        <f>F1741</f>
        <v>0</v>
      </c>
      <c r="G1740" s="24">
        <f t="shared" si="440"/>
        <v>20</v>
      </c>
      <c r="H1740" s="24">
        <f>H1741</f>
        <v>0</v>
      </c>
      <c r="I1740" s="24">
        <f t="shared" si="435"/>
        <v>20</v>
      </c>
      <c r="J1740" s="24">
        <f>J1741</f>
        <v>0</v>
      </c>
      <c r="K1740" s="24">
        <f t="shared" si="436"/>
        <v>20</v>
      </c>
      <c r="L1740" s="24">
        <f>L1741</f>
        <v>0</v>
      </c>
      <c r="M1740" s="24">
        <f t="shared" si="437"/>
        <v>20</v>
      </c>
      <c r="N1740" s="24">
        <f>N1741</f>
        <v>0</v>
      </c>
      <c r="O1740" s="24">
        <f t="shared" si="438"/>
        <v>20</v>
      </c>
      <c r="P1740" s="24">
        <f>P1741</f>
        <v>0</v>
      </c>
      <c r="Q1740" s="24">
        <f t="shared" si="433"/>
        <v>20</v>
      </c>
      <c r="R1740" s="24">
        <f>R1741</f>
        <v>0</v>
      </c>
      <c r="S1740" s="24">
        <f t="shared" si="426"/>
        <v>20</v>
      </c>
      <c r="T1740" s="24">
        <f>T1741</f>
        <v>0</v>
      </c>
      <c r="U1740" s="24">
        <f t="shared" si="427"/>
        <v>20</v>
      </c>
      <c r="V1740" s="24">
        <f>V1741</f>
        <v>0</v>
      </c>
      <c r="W1740" s="24">
        <f t="shared" si="442"/>
        <v>20</v>
      </c>
      <c r="X1740" s="24">
        <f>X1741</f>
        <v>0</v>
      </c>
      <c r="Y1740" s="24">
        <f t="shared" si="443"/>
        <v>20</v>
      </c>
      <c r="Z1740" s="189"/>
    </row>
    <row r="1741" spans="1:27" x14ac:dyDescent="0.25">
      <c r="A1741" s="25" t="s">
        <v>66</v>
      </c>
      <c r="B1741" s="26" t="s">
        <v>480</v>
      </c>
      <c r="C1741" s="26" t="s">
        <v>405</v>
      </c>
      <c r="D1741" s="26" t="s">
        <v>42</v>
      </c>
      <c r="E1741" s="27">
        <v>20</v>
      </c>
      <c r="F1741" s="27"/>
      <c r="G1741" s="24">
        <f t="shared" si="440"/>
        <v>20</v>
      </c>
      <c r="H1741" s="27"/>
      <c r="I1741" s="24">
        <f t="shared" si="435"/>
        <v>20</v>
      </c>
      <c r="J1741" s="27"/>
      <c r="K1741" s="24">
        <f t="shared" si="436"/>
        <v>20</v>
      </c>
      <c r="L1741" s="27"/>
      <c r="M1741" s="24">
        <f t="shared" si="437"/>
        <v>20</v>
      </c>
      <c r="N1741" s="27"/>
      <c r="O1741" s="24">
        <f t="shared" si="438"/>
        <v>20</v>
      </c>
      <c r="P1741" s="27"/>
      <c r="Q1741" s="24">
        <f t="shared" si="433"/>
        <v>20</v>
      </c>
      <c r="R1741" s="27"/>
      <c r="S1741" s="24">
        <f t="shared" si="426"/>
        <v>20</v>
      </c>
      <c r="T1741" s="69"/>
      <c r="U1741" s="24">
        <f t="shared" si="427"/>
        <v>20</v>
      </c>
      <c r="V1741" s="69"/>
      <c r="W1741" s="24">
        <f t="shared" si="442"/>
        <v>20</v>
      </c>
      <c r="X1741" s="69"/>
      <c r="Y1741" s="24">
        <f t="shared" si="443"/>
        <v>20</v>
      </c>
      <c r="AA1741" s="189">
        <f>Y1741+Z1741</f>
        <v>20</v>
      </c>
    </row>
    <row r="1742" spans="1:27" s="6" customFormat="1" ht="17.25" customHeight="1" x14ac:dyDescent="0.25">
      <c r="A1742" s="22" t="s">
        <v>483</v>
      </c>
      <c r="B1742" s="23" t="s">
        <v>480</v>
      </c>
      <c r="C1742" s="23" t="s">
        <v>484</v>
      </c>
      <c r="D1742" s="23" t="s">
        <v>2</v>
      </c>
      <c r="E1742" s="24">
        <f>E1743</f>
        <v>319.39999999999998</v>
      </c>
      <c r="F1742" s="24">
        <f>F1743</f>
        <v>0</v>
      </c>
      <c r="G1742" s="24">
        <f t="shared" si="440"/>
        <v>319.39999999999998</v>
      </c>
      <c r="H1742" s="24">
        <f>H1743</f>
        <v>0</v>
      </c>
      <c r="I1742" s="24">
        <f t="shared" si="435"/>
        <v>319.39999999999998</v>
      </c>
      <c r="J1742" s="24">
        <f>J1743</f>
        <v>0</v>
      </c>
      <c r="K1742" s="24">
        <f t="shared" si="436"/>
        <v>319.39999999999998</v>
      </c>
      <c r="L1742" s="24">
        <f>L1743</f>
        <v>0</v>
      </c>
      <c r="M1742" s="24">
        <f t="shared" si="437"/>
        <v>319.39999999999998</v>
      </c>
      <c r="N1742" s="24">
        <f>N1743</f>
        <v>0</v>
      </c>
      <c r="O1742" s="24">
        <f t="shared" si="438"/>
        <v>319.39999999999998</v>
      </c>
      <c r="P1742" s="24">
        <f>P1743</f>
        <v>0</v>
      </c>
      <c r="Q1742" s="24">
        <f t="shared" si="433"/>
        <v>319.39999999999998</v>
      </c>
      <c r="R1742" s="24">
        <f>R1743</f>
        <v>0</v>
      </c>
      <c r="S1742" s="24">
        <f t="shared" si="426"/>
        <v>319.39999999999998</v>
      </c>
      <c r="T1742" s="24">
        <f>T1743</f>
        <v>-38</v>
      </c>
      <c r="U1742" s="24">
        <f t="shared" si="427"/>
        <v>281.39999999999998</v>
      </c>
      <c r="V1742" s="24">
        <f>V1743</f>
        <v>-27.2</v>
      </c>
      <c r="W1742" s="24">
        <f t="shared" si="442"/>
        <v>254.2</v>
      </c>
      <c r="X1742" s="24">
        <f>X1743</f>
        <v>0</v>
      </c>
      <c r="Y1742" s="24">
        <f t="shared" si="443"/>
        <v>254.2</v>
      </c>
      <c r="Z1742" s="189"/>
    </row>
    <row r="1743" spans="1:27" s="6" customFormat="1" ht="24.75" x14ac:dyDescent="0.25">
      <c r="A1743" s="22" t="s">
        <v>404</v>
      </c>
      <c r="B1743" s="23" t="s">
        <v>480</v>
      </c>
      <c r="C1743" s="23" t="s">
        <v>485</v>
      </c>
      <c r="D1743" s="23" t="s">
        <v>2</v>
      </c>
      <c r="E1743" s="24">
        <f>E1744</f>
        <v>319.39999999999998</v>
      </c>
      <c r="F1743" s="24">
        <f>F1744</f>
        <v>0</v>
      </c>
      <c r="G1743" s="24">
        <f t="shared" si="440"/>
        <v>319.39999999999998</v>
      </c>
      <c r="H1743" s="24">
        <f>H1744</f>
        <v>0</v>
      </c>
      <c r="I1743" s="24">
        <f t="shared" si="435"/>
        <v>319.39999999999998</v>
      </c>
      <c r="J1743" s="24">
        <f>J1744</f>
        <v>0</v>
      </c>
      <c r="K1743" s="24">
        <f t="shared" si="436"/>
        <v>319.39999999999998</v>
      </c>
      <c r="L1743" s="24">
        <f>L1744</f>
        <v>0</v>
      </c>
      <c r="M1743" s="24">
        <f t="shared" si="437"/>
        <v>319.39999999999998</v>
      </c>
      <c r="N1743" s="24">
        <f>N1744</f>
        <v>0</v>
      </c>
      <c r="O1743" s="24">
        <f t="shared" si="438"/>
        <v>319.39999999999998</v>
      </c>
      <c r="P1743" s="24">
        <f>P1744</f>
        <v>0</v>
      </c>
      <c r="Q1743" s="24">
        <f t="shared" si="433"/>
        <v>319.39999999999998</v>
      </c>
      <c r="R1743" s="24">
        <f>R1744</f>
        <v>0</v>
      </c>
      <c r="S1743" s="24">
        <f t="shared" si="426"/>
        <v>319.39999999999998</v>
      </c>
      <c r="T1743" s="24">
        <f>T1744</f>
        <v>-38</v>
      </c>
      <c r="U1743" s="24">
        <f t="shared" si="427"/>
        <v>281.39999999999998</v>
      </c>
      <c r="V1743" s="24">
        <f>V1744</f>
        <v>-27.2</v>
      </c>
      <c r="W1743" s="24">
        <f t="shared" si="442"/>
        <v>254.2</v>
      </c>
      <c r="X1743" s="24">
        <f>X1744</f>
        <v>0</v>
      </c>
      <c r="Y1743" s="24">
        <f t="shared" si="443"/>
        <v>254.2</v>
      </c>
      <c r="Z1743" s="189"/>
    </row>
    <row r="1744" spans="1:27" x14ac:dyDescent="0.25">
      <c r="A1744" s="25" t="s">
        <v>66</v>
      </c>
      <c r="B1744" s="26" t="s">
        <v>480</v>
      </c>
      <c r="C1744" s="26" t="s">
        <v>485</v>
      </c>
      <c r="D1744" s="26" t="s">
        <v>42</v>
      </c>
      <c r="E1744" s="27">
        <v>319.39999999999998</v>
      </c>
      <c r="F1744" s="27"/>
      <c r="G1744" s="24">
        <f t="shared" si="440"/>
        <v>319.39999999999998</v>
      </c>
      <c r="H1744" s="27"/>
      <c r="I1744" s="24">
        <f t="shared" si="435"/>
        <v>319.39999999999998</v>
      </c>
      <c r="J1744" s="27"/>
      <c r="K1744" s="24">
        <f t="shared" si="436"/>
        <v>319.39999999999998</v>
      </c>
      <c r="L1744" s="27"/>
      <c r="M1744" s="24">
        <f t="shared" si="437"/>
        <v>319.39999999999998</v>
      </c>
      <c r="N1744" s="27"/>
      <c r="O1744" s="24">
        <f t="shared" si="438"/>
        <v>319.39999999999998</v>
      </c>
      <c r="P1744" s="27"/>
      <c r="Q1744" s="24">
        <f t="shared" si="433"/>
        <v>319.39999999999998</v>
      </c>
      <c r="R1744" s="27"/>
      <c r="S1744" s="24">
        <f t="shared" si="426"/>
        <v>319.39999999999998</v>
      </c>
      <c r="T1744" s="39">
        <v>-38</v>
      </c>
      <c r="U1744" s="24">
        <f t="shared" si="427"/>
        <v>281.39999999999998</v>
      </c>
      <c r="V1744" s="94">
        <v>-27.2</v>
      </c>
      <c r="W1744" s="24">
        <f t="shared" si="442"/>
        <v>254.2</v>
      </c>
      <c r="X1744" s="69"/>
      <c r="Y1744" s="24">
        <f t="shared" si="443"/>
        <v>254.2</v>
      </c>
      <c r="AA1744" s="189">
        <f>Y1744+Z1744</f>
        <v>254.2</v>
      </c>
    </row>
    <row r="1745" spans="1:27" s="6" customFormat="1" ht="36.75" x14ac:dyDescent="0.25">
      <c r="A1745" s="22" t="s">
        <v>599</v>
      </c>
      <c r="B1745" s="23" t="s">
        <v>480</v>
      </c>
      <c r="C1745" s="23" t="s">
        <v>417</v>
      </c>
      <c r="D1745" s="23" t="s">
        <v>2</v>
      </c>
      <c r="E1745" s="24">
        <f>E1746+E1749</f>
        <v>80</v>
      </c>
      <c r="F1745" s="24">
        <f>F1746+F1749</f>
        <v>0</v>
      </c>
      <c r="G1745" s="24">
        <f t="shared" si="440"/>
        <v>80</v>
      </c>
      <c r="H1745" s="24">
        <f>H1746+H1749</f>
        <v>0</v>
      </c>
      <c r="I1745" s="24">
        <f t="shared" si="435"/>
        <v>80</v>
      </c>
      <c r="J1745" s="24">
        <f>J1746+J1749</f>
        <v>0</v>
      </c>
      <c r="K1745" s="24">
        <f t="shared" si="436"/>
        <v>80</v>
      </c>
      <c r="L1745" s="24">
        <f>L1746+L1749</f>
        <v>0</v>
      </c>
      <c r="M1745" s="24">
        <f t="shared" si="437"/>
        <v>80</v>
      </c>
      <c r="N1745" s="24">
        <f>N1746+N1749</f>
        <v>0</v>
      </c>
      <c r="O1745" s="24">
        <f t="shared" si="438"/>
        <v>80</v>
      </c>
      <c r="P1745" s="24">
        <f>P1746+P1749</f>
        <v>0</v>
      </c>
      <c r="Q1745" s="24">
        <f t="shared" si="433"/>
        <v>80</v>
      </c>
      <c r="R1745" s="24">
        <f>R1746+R1749</f>
        <v>0</v>
      </c>
      <c r="S1745" s="24">
        <f t="shared" si="426"/>
        <v>80</v>
      </c>
      <c r="T1745" s="24">
        <f>T1746+T1749</f>
        <v>0</v>
      </c>
      <c r="U1745" s="24">
        <f t="shared" si="427"/>
        <v>80</v>
      </c>
      <c r="V1745" s="24">
        <f>V1746+V1749</f>
        <v>0</v>
      </c>
      <c r="W1745" s="24">
        <f t="shared" si="442"/>
        <v>80</v>
      </c>
      <c r="X1745" s="24">
        <f>X1746+X1749</f>
        <v>0</v>
      </c>
      <c r="Y1745" s="24">
        <f t="shared" si="443"/>
        <v>80</v>
      </c>
      <c r="Z1745" s="189"/>
    </row>
    <row r="1746" spans="1:27" s="6" customFormat="1" x14ac:dyDescent="0.25">
      <c r="A1746" s="22" t="s">
        <v>418</v>
      </c>
      <c r="B1746" s="23" t="s">
        <v>480</v>
      </c>
      <c r="C1746" s="23" t="s">
        <v>419</v>
      </c>
      <c r="D1746" s="23" t="s">
        <v>2</v>
      </c>
      <c r="E1746" s="24">
        <f>E1747</f>
        <v>65</v>
      </c>
      <c r="F1746" s="24">
        <f>F1747</f>
        <v>0</v>
      </c>
      <c r="G1746" s="24">
        <f t="shared" si="440"/>
        <v>65</v>
      </c>
      <c r="H1746" s="24">
        <f>H1747</f>
        <v>0</v>
      </c>
      <c r="I1746" s="24">
        <f t="shared" si="435"/>
        <v>65</v>
      </c>
      <c r="J1746" s="24">
        <f>J1747</f>
        <v>0</v>
      </c>
      <c r="K1746" s="24">
        <f t="shared" si="436"/>
        <v>65</v>
      </c>
      <c r="L1746" s="24">
        <f>L1747</f>
        <v>0</v>
      </c>
      <c r="M1746" s="24">
        <f t="shared" si="437"/>
        <v>65</v>
      </c>
      <c r="N1746" s="24">
        <f>N1747</f>
        <v>0</v>
      </c>
      <c r="O1746" s="24">
        <f t="shared" si="438"/>
        <v>65</v>
      </c>
      <c r="P1746" s="24">
        <f>P1747</f>
        <v>0</v>
      </c>
      <c r="Q1746" s="24">
        <f t="shared" si="433"/>
        <v>65</v>
      </c>
      <c r="R1746" s="24">
        <f>R1747</f>
        <v>0</v>
      </c>
      <c r="S1746" s="24">
        <f t="shared" si="426"/>
        <v>65</v>
      </c>
      <c r="T1746" s="24">
        <f>T1747</f>
        <v>0</v>
      </c>
      <c r="U1746" s="24">
        <f t="shared" si="427"/>
        <v>65</v>
      </c>
      <c r="V1746" s="24">
        <f>V1747</f>
        <v>0</v>
      </c>
      <c r="W1746" s="24">
        <f t="shared" si="442"/>
        <v>65</v>
      </c>
      <c r="X1746" s="24">
        <f>X1747</f>
        <v>0</v>
      </c>
      <c r="Y1746" s="24">
        <f t="shared" si="443"/>
        <v>65</v>
      </c>
      <c r="Z1746" s="189"/>
    </row>
    <row r="1747" spans="1:27" s="6" customFormat="1" ht="24.75" x14ac:dyDescent="0.25">
      <c r="A1747" s="22" t="s">
        <v>420</v>
      </c>
      <c r="B1747" s="23" t="s">
        <v>480</v>
      </c>
      <c r="C1747" s="23" t="s">
        <v>421</v>
      </c>
      <c r="D1747" s="23" t="s">
        <v>2</v>
      </c>
      <c r="E1747" s="24">
        <f>E1748</f>
        <v>65</v>
      </c>
      <c r="F1747" s="24">
        <f>F1748</f>
        <v>0</v>
      </c>
      <c r="G1747" s="24">
        <f t="shared" si="440"/>
        <v>65</v>
      </c>
      <c r="H1747" s="24">
        <f>H1748</f>
        <v>0</v>
      </c>
      <c r="I1747" s="24">
        <f t="shared" si="435"/>
        <v>65</v>
      </c>
      <c r="J1747" s="24">
        <f>J1748</f>
        <v>0</v>
      </c>
      <c r="K1747" s="24">
        <f t="shared" si="436"/>
        <v>65</v>
      </c>
      <c r="L1747" s="24">
        <f>L1748</f>
        <v>0</v>
      </c>
      <c r="M1747" s="24">
        <f t="shared" si="437"/>
        <v>65</v>
      </c>
      <c r="N1747" s="24">
        <f>N1748</f>
        <v>0</v>
      </c>
      <c r="O1747" s="24">
        <f t="shared" si="438"/>
        <v>65</v>
      </c>
      <c r="P1747" s="24">
        <f>P1748</f>
        <v>0</v>
      </c>
      <c r="Q1747" s="24">
        <f t="shared" si="433"/>
        <v>65</v>
      </c>
      <c r="R1747" s="24">
        <f>R1748</f>
        <v>0</v>
      </c>
      <c r="S1747" s="24">
        <f t="shared" si="426"/>
        <v>65</v>
      </c>
      <c r="T1747" s="24">
        <f>T1748</f>
        <v>0</v>
      </c>
      <c r="U1747" s="24">
        <f t="shared" si="427"/>
        <v>65</v>
      </c>
      <c r="V1747" s="24">
        <f>V1748</f>
        <v>0</v>
      </c>
      <c r="W1747" s="24">
        <f t="shared" si="442"/>
        <v>65</v>
      </c>
      <c r="X1747" s="24">
        <f>X1748</f>
        <v>0</v>
      </c>
      <c r="Y1747" s="24">
        <f t="shared" si="443"/>
        <v>65</v>
      </c>
      <c r="Z1747" s="189"/>
    </row>
    <row r="1748" spans="1:27" x14ac:dyDescent="0.25">
      <c r="A1748" s="25" t="s">
        <v>66</v>
      </c>
      <c r="B1748" s="26" t="s">
        <v>480</v>
      </c>
      <c r="C1748" s="26" t="s">
        <v>421</v>
      </c>
      <c r="D1748" s="26" t="s">
        <v>42</v>
      </c>
      <c r="E1748" s="27">
        <v>65</v>
      </c>
      <c r="F1748" s="27"/>
      <c r="G1748" s="24">
        <f t="shared" si="440"/>
        <v>65</v>
      </c>
      <c r="H1748" s="27"/>
      <c r="I1748" s="24">
        <f t="shared" si="435"/>
        <v>65</v>
      </c>
      <c r="J1748" s="27"/>
      <c r="K1748" s="24">
        <f t="shared" si="436"/>
        <v>65</v>
      </c>
      <c r="L1748" s="27"/>
      <c r="M1748" s="24">
        <f t="shared" si="437"/>
        <v>65</v>
      </c>
      <c r="N1748" s="27"/>
      <c r="O1748" s="24">
        <f t="shared" si="438"/>
        <v>65</v>
      </c>
      <c r="P1748" s="27"/>
      <c r="Q1748" s="24">
        <f t="shared" si="433"/>
        <v>65</v>
      </c>
      <c r="R1748" s="27"/>
      <c r="S1748" s="24">
        <f t="shared" ref="S1748:S1840" si="447">Q1748+R1748</f>
        <v>65</v>
      </c>
      <c r="T1748" s="69"/>
      <c r="U1748" s="24">
        <f t="shared" ref="U1748:U1840" si="448">S1748+T1748</f>
        <v>65</v>
      </c>
      <c r="V1748" s="69"/>
      <c r="W1748" s="24">
        <f t="shared" si="442"/>
        <v>65</v>
      </c>
      <c r="X1748" s="69"/>
      <c r="Y1748" s="24">
        <f t="shared" si="443"/>
        <v>65</v>
      </c>
      <c r="AA1748" s="189">
        <f>Y1748+Z1748</f>
        <v>65</v>
      </c>
    </row>
    <row r="1749" spans="1:27" s="6" customFormat="1" x14ac:dyDescent="0.25">
      <c r="A1749" s="22" t="s">
        <v>486</v>
      </c>
      <c r="B1749" s="23" t="s">
        <v>480</v>
      </c>
      <c r="C1749" s="23" t="s">
        <v>487</v>
      </c>
      <c r="D1749" s="23" t="s">
        <v>2</v>
      </c>
      <c r="E1749" s="24">
        <f>E1750</f>
        <v>15</v>
      </c>
      <c r="F1749" s="24">
        <f>F1750</f>
        <v>0</v>
      </c>
      <c r="G1749" s="24">
        <f t="shared" si="440"/>
        <v>15</v>
      </c>
      <c r="H1749" s="24">
        <f>H1750</f>
        <v>0</v>
      </c>
      <c r="I1749" s="24">
        <f t="shared" si="435"/>
        <v>15</v>
      </c>
      <c r="J1749" s="24">
        <f>J1750</f>
        <v>0</v>
      </c>
      <c r="K1749" s="24">
        <f t="shared" si="436"/>
        <v>15</v>
      </c>
      <c r="L1749" s="24">
        <f>L1750</f>
        <v>0</v>
      </c>
      <c r="M1749" s="24">
        <f t="shared" si="437"/>
        <v>15</v>
      </c>
      <c r="N1749" s="24">
        <f>N1750</f>
        <v>0</v>
      </c>
      <c r="O1749" s="24">
        <f t="shared" si="438"/>
        <v>15</v>
      </c>
      <c r="P1749" s="24">
        <f>P1750</f>
        <v>0</v>
      </c>
      <c r="Q1749" s="24">
        <f t="shared" si="433"/>
        <v>15</v>
      </c>
      <c r="R1749" s="24">
        <f>R1750</f>
        <v>0</v>
      </c>
      <c r="S1749" s="24">
        <f t="shared" si="447"/>
        <v>15</v>
      </c>
      <c r="T1749" s="24">
        <f>T1750</f>
        <v>0</v>
      </c>
      <c r="U1749" s="24">
        <f t="shared" si="448"/>
        <v>15</v>
      </c>
      <c r="V1749" s="24">
        <f>V1750</f>
        <v>0</v>
      </c>
      <c r="W1749" s="24">
        <f t="shared" si="442"/>
        <v>15</v>
      </c>
      <c r="X1749" s="24">
        <f>X1750</f>
        <v>0</v>
      </c>
      <c r="Y1749" s="24">
        <f t="shared" si="443"/>
        <v>15</v>
      </c>
      <c r="Z1749" s="189"/>
    </row>
    <row r="1750" spans="1:27" s="6" customFormat="1" ht="24.75" x14ac:dyDescent="0.25">
      <c r="A1750" s="22" t="s">
        <v>420</v>
      </c>
      <c r="B1750" s="23" t="s">
        <v>480</v>
      </c>
      <c r="C1750" s="23" t="s">
        <v>488</v>
      </c>
      <c r="D1750" s="23" t="s">
        <v>2</v>
      </c>
      <c r="E1750" s="24">
        <f>E1751</f>
        <v>15</v>
      </c>
      <c r="F1750" s="24">
        <f>F1751</f>
        <v>0</v>
      </c>
      <c r="G1750" s="24">
        <f t="shared" si="440"/>
        <v>15</v>
      </c>
      <c r="H1750" s="24">
        <f>H1751</f>
        <v>0</v>
      </c>
      <c r="I1750" s="24">
        <f t="shared" si="435"/>
        <v>15</v>
      </c>
      <c r="J1750" s="24">
        <f>J1751</f>
        <v>0</v>
      </c>
      <c r="K1750" s="24">
        <f t="shared" si="436"/>
        <v>15</v>
      </c>
      <c r="L1750" s="24">
        <f>L1751</f>
        <v>0</v>
      </c>
      <c r="M1750" s="24">
        <f t="shared" si="437"/>
        <v>15</v>
      </c>
      <c r="N1750" s="24">
        <f>N1751</f>
        <v>0</v>
      </c>
      <c r="O1750" s="24">
        <f t="shared" si="438"/>
        <v>15</v>
      </c>
      <c r="P1750" s="24">
        <f>P1751</f>
        <v>0</v>
      </c>
      <c r="Q1750" s="24">
        <f t="shared" si="433"/>
        <v>15</v>
      </c>
      <c r="R1750" s="24">
        <f>R1751</f>
        <v>0</v>
      </c>
      <c r="S1750" s="24">
        <f t="shared" si="447"/>
        <v>15</v>
      </c>
      <c r="T1750" s="24">
        <f>T1751</f>
        <v>0</v>
      </c>
      <c r="U1750" s="24">
        <f t="shared" si="448"/>
        <v>15</v>
      </c>
      <c r="V1750" s="24">
        <f>V1751</f>
        <v>0</v>
      </c>
      <c r="W1750" s="24">
        <f t="shared" si="442"/>
        <v>15</v>
      </c>
      <c r="X1750" s="24">
        <f>X1751</f>
        <v>0</v>
      </c>
      <c r="Y1750" s="24">
        <f t="shared" si="443"/>
        <v>15</v>
      </c>
      <c r="Z1750" s="189"/>
    </row>
    <row r="1751" spans="1:27" x14ac:dyDescent="0.25">
      <c r="A1751" s="25" t="s">
        <v>66</v>
      </c>
      <c r="B1751" s="26" t="s">
        <v>480</v>
      </c>
      <c r="C1751" s="26" t="s">
        <v>488</v>
      </c>
      <c r="D1751" s="26" t="s">
        <v>42</v>
      </c>
      <c r="E1751" s="27">
        <v>15</v>
      </c>
      <c r="F1751" s="27"/>
      <c r="G1751" s="24">
        <f t="shared" si="440"/>
        <v>15</v>
      </c>
      <c r="H1751" s="27"/>
      <c r="I1751" s="24">
        <f t="shared" si="435"/>
        <v>15</v>
      </c>
      <c r="J1751" s="27"/>
      <c r="K1751" s="24">
        <f t="shared" si="436"/>
        <v>15</v>
      </c>
      <c r="L1751" s="27"/>
      <c r="M1751" s="24">
        <f t="shared" si="437"/>
        <v>15</v>
      </c>
      <c r="N1751" s="27"/>
      <c r="O1751" s="24">
        <f t="shared" si="438"/>
        <v>15</v>
      </c>
      <c r="P1751" s="27"/>
      <c r="Q1751" s="24">
        <f t="shared" si="433"/>
        <v>15</v>
      </c>
      <c r="R1751" s="27"/>
      <c r="S1751" s="24">
        <f t="shared" si="447"/>
        <v>15</v>
      </c>
      <c r="T1751" s="69"/>
      <c r="U1751" s="24">
        <f t="shared" si="448"/>
        <v>15</v>
      </c>
      <c r="V1751" s="69"/>
      <c r="W1751" s="24">
        <f t="shared" si="442"/>
        <v>15</v>
      </c>
      <c r="X1751" s="69"/>
      <c r="Y1751" s="24">
        <f t="shared" si="443"/>
        <v>15</v>
      </c>
      <c r="AA1751" s="189">
        <f>Y1751+Z1751</f>
        <v>15</v>
      </c>
    </row>
    <row r="1752" spans="1:27" s="6" customFormat="1" x14ac:dyDescent="0.25">
      <c r="A1752" s="34" t="s">
        <v>489</v>
      </c>
      <c r="B1752" s="35" t="s">
        <v>490</v>
      </c>
      <c r="C1752" s="35" t="s">
        <v>2</v>
      </c>
      <c r="D1752" s="35" t="s">
        <v>2</v>
      </c>
      <c r="E1752" s="36">
        <f>E1753+E1759+E1799</f>
        <v>35759.699999999997</v>
      </c>
      <c r="F1752" s="36">
        <f>F1753+F1759+F1799</f>
        <v>7289.4</v>
      </c>
      <c r="G1752" s="36">
        <f t="shared" si="440"/>
        <v>43049.1</v>
      </c>
      <c r="H1752" s="36">
        <f>H1753+H1759+H1799</f>
        <v>46737.7</v>
      </c>
      <c r="I1752" s="36">
        <f t="shared" si="435"/>
        <v>89786.799999999988</v>
      </c>
      <c r="J1752" s="36">
        <f>J1753+J1759+J1799</f>
        <v>2392.1</v>
      </c>
      <c r="K1752" s="36">
        <f t="shared" si="436"/>
        <v>92178.9</v>
      </c>
      <c r="L1752" s="36">
        <f>L1753+L1759+L1799</f>
        <v>-57621.499999999993</v>
      </c>
      <c r="M1752" s="36">
        <f t="shared" si="437"/>
        <v>34557.4</v>
      </c>
      <c r="N1752" s="36">
        <f>N1753+N1759+N1799</f>
        <v>93.5</v>
      </c>
      <c r="O1752" s="36">
        <f t="shared" si="438"/>
        <v>34650.9</v>
      </c>
      <c r="P1752" s="36">
        <f>P1753+P1759+P1799</f>
        <v>76.2</v>
      </c>
      <c r="Q1752" s="36">
        <f t="shared" si="433"/>
        <v>34727.1</v>
      </c>
      <c r="R1752" s="36">
        <f>R1753+R1759+R1799</f>
        <v>417.2</v>
      </c>
      <c r="S1752" s="36">
        <f t="shared" si="447"/>
        <v>35144.299999999996</v>
      </c>
      <c r="T1752" s="36">
        <f>T1753+T1759+T1799</f>
        <v>2014.0000000000002</v>
      </c>
      <c r="U1752" s="36">
        <f t="shared" si="448"/>
        <v>37158.299999999996</v>
      </c>
      <c r="V1752" s="36">
        <f>V1753+V1759+V1799</f>
        <v>4.5</v>
      </c>
      <c r="W1752" s="36">
        <f t="shared" si="442"/>
        <v>37162.799999999996</v>
      </c>
      <c r="X1752" s="36">
        <f>X1753+X1759+X1799</f>
        <v>312</v>
      </c>
      <c r="Y1752" s="36">
        <f t="shared" si="443"/>
        <v>37474.799999999996</v>
      </c>
      <c r="Z1752" s="189"/>
    </row>
    <row r="1753" spans="1:27" s="6" customFormat="1" x14ac:dyDescent="0.25">
      <c r="A1753" s="22" t="s">
        <v>491</v>
      </c>
      <c r="B1753" s="23" t="s">
        <v>492</v>
      </c>
      <c r="C1753" s="23" t="s">
        <v>2</v>
      </c>
      <c r="D1753" s="23" t="s">
        <v>2</v>
      </c>
      <c r="E1753" s="24">
        <f t="shared" ref="E1753:X1757" si="449">E1754</f>
        <v>2033.8</v>
      </c>
      <c r="F1753" s="24">
        <f t="shared" si="449"/>
        <v>0</v>
      </c>
      <c r="G1753" s="24">
        <f t="shared" si="440"/>
        <v>2033.8</v>
      </c>
      <c r="H1753" s="24">
        <f t="shared" si="449"/>
        <v>0</v>
      </c>
      <c r="I1753" s="24">
        <f t="shared" si="435"/>
        <v>2033.8</v>
      </c>
      <c r="J1753" s="24">
        <f t="shared" si="449"/>
        <v>0</v>
      </c>
      <c r="K1753" s="24">
        <f t="shared" si="436"/>
        <v>2033.8</v>
      </c>
      <c r="L1753" s="24">
        <f t="shared" si="449"/>
        <v>0</v>
      </c>
      <c r="M1753" s="24">
        <f t="shared" si="437"/>
        <v>2033.8</v>
      </c>
      <c r="N1753" s="24">
        <f t="shared" si="449"/>
        <v>0</v>
      </c>
      <c r="O1753" s="24">
        <f t="shared" si="438"/>
        <v>2033.8</v>
      </c>
      <c r="P1753" s="24">
        <f t="shared" si="449"/>
        <v>0</v>
      </c>
      <c r="Q1753" s="24">
        <f t="shared" si="433"/>
        <v>2033.8</v>
      </c>
      <c r="R1753" s="24">
        <f t="shared" si="449"/>
        <v>0</v>
      </c>
      <c r="S1753" s="24">
        <f t="shared" si="447"/>
        <v>2033.8</v>
      </c>
      <c r="T1753" s="24">
        <f t="shared" si="449"/>
        <v>0</v>
      </c>
      <c r="U1753" s="24">
        <f t="shared" si="448"/>
        <v>2033.8</v>
      </c>
      <c r="V1753" s="24">
        <f t="shared" si="449"/>
        <v>0</v>
      </c>
      <c r="W1753" s="24">
        <f t="shared" si="442"/>
        <v>2033.8</v>
      </c>
      <c r="X1753" s="24">
        <f t="shared" si="449"/>
        <v>99.5</v>
      </c>
      <c r="Y1753" s="24">
        <f t="shared" si="443"/>
        <v>2133.3000000000002</v>
      </c>
      <c r="Z1753" s="189"/>
    </row>
    <row r="1754" spans="1:27" s="6" customFormat="1" ht="24.75" x14ac:dyDescent="0.25">
      <c r="A1754" s="22" t="s">
        <v>590</v>
      </c>
      <c r="B1754" s="23" t="s">
        <v>492</v>
      </c>
      <c r="C1754" s="23" t="s">
        <v>32</v>
      </c>
      <c r="D1754" s="23" t="s">
        <v>2</v>
      </c>
      <c r="E1754" s="24">
        <f t="shared" si="449"/>
        <v>2033.8</v>
      </c>
      <c r="F1754" s="24">
        <f t="shared" si="449"/>
        <v>0</v>
      </c>
      <c r="G1754" s="24">
        <f t="shared" si="440"/>
        <v>2033.8</v>
      </c>
      <c r="H1754" s="24">
        <f t="shared" si="449"/>
        <v>0</v>
      </c>
      <c r="I1754" s="24">
        <f t="shared" si="435"/>
        <v>2033.8</v>
      </c>
      <c r="J1754" s="24">
        <f t="shared" si="449"/>
        <v>0</v>
      </c>
      <c r="K1754" s="24">
        <f t="shared" si="436"/>
        <v>2033.8</v>
      </c>
      <c r="L1754" s="24">
        <f t="shared" si="449"/>
        <v>0</v>
      </c>
      <c r="M1754" s="24">
        <f t="shared" si="437"/>
        <v>2033.8</v>
      </c>
      <c r="N1754" s="24">
        <f t="shared" si="449"/>
        <v>0</v>
      </c>
      <c r="O1754" s="24">
        <f t="shared" si="438"/>
        <v>2033.8</v>
      </c>
      <c r="P1754" s="24">
        <f t="shared" si="449"/>
        <v>0</v>
      </c>
      <c r="Q1754" s="24">
        <f t="shared" si="433"/>
        <v>2033.8</v>
      </c>
      <c r="R1754" s="24">
        <f t="shared" si="449"/>
        <v>0</v>
      </c>
      <c r="S1754" s="24">
        <f t="shared" si="447"/>
        <v>2033.8</v>
      </c>
      <c r="T1754" s="24">
        <f t="shared" si="449"/>
        <v>0</v>
      </c>
      <c r="U1754" s="24">
        <f t="shared" si="448"/>
        <v>2033.8</v>
      </c>
      <c r="V1754" s="24">
        <f t="shared" si="449"/>
        <v>0</v>
      </c>
      <c r="W1754" s="24">
        <f t="shared" si="442"/>
        <v>2033.8</v>
      </c>
      <c r="X1754" s="24">
        <f t="shared" si="449"/>
        <v>99.5</v>
      </c>
      <c r="Y1754" s="24">
        <f t="shared" si="443"/>
        <v>2133.3000000000002</v>
      </c>
      <c r="Z1754" s="189"/>
    </row>
    <row r="1755" spans="1:27" s="6" customFormat="1" x14ac:dyDescent="0.25">
      <c r="A1755" s="22" t="s">
        <v>33</v>
      </c>
      <c r="B1755" s="23" t="s">
        <v>492</v>
      </c>
      <c r="C1755" s="23" t="s">
        <v>34</v>
      </c>
      <c r="D1755" s="23" t="s">
        <v>2</v>
      </c>
      <c r="E1755" s="24">
        <f t="shared" si="449"/>
        <v>2033.8</v>
      </c>
      <c r="F1755" s="24">
        <f t="shared" si="449"/>
        <v>0</v>
      </c>
      <c r="G1755" s="24">
        <f t="shared" si="440"/>
        <v>2033.8</v>
      </c>
      <c r="H1755" s="24">
        <f t="shared" si="449"/>
        <v>0</v>
      </c>
      <c r="I1755" s="24">
        <f t="shared" si="435"/>
        <v>2033.8</v>
      </c>
      <c r="J1755" s="24">
        <f t="shared" si="449"/>
        <v>0</v>
      </c>
      <c r="K1755" s="24">
        <f t="shared" si="436"/>
        <v>2033.8</v>
      </c>
      <c r="L1755" s="24">
        <f t="shared" si="449"/>
        <v>0</v>
      </c>
      <c r="M1755" s="24">
        <f t="shared" si="437"/>
        <v>2033.8</v>
      </c>
      <c r="N1755" s="24">
        <f t="shared" si="449"/>
        <v>0</v>
      </c>
      <c r="O1755" s="24">
        <f t="shared" si="438"/>
        <v>2033.8</v>
      </c>
      <c r="P1755" s="24">
        <f t="shared" si="449"/>
        <v>0</v>
      </c>
      <c r="Q1755" s="24">
        <f t="shared" si="433"/>
        <v>2033.8</v>
      </c>
      <c r="R1755" s="24">
        <f t="shared" si="449"/>
        <v>0</v>
      </c>
      <c r="S1755" s="24">
        <f t="shared" si="447"/>
        <v>2033.8</v>
      </c>
      <c r="T1755" s="24">
        <f t="shared" si="449"/>
        <v>0</v>
      </c>
      <c r="U1755" s="24">
        <f t="shared" si="448"/>
        <v>2033.8</v>
      </c>
      <c r="V1755" s="24">
        <f t="shared" si="449"/>
        <v>0</v>
      </c>
      <c r="W1755" s="24">
        <f t="shared" si="442"/>
        <v>2033.8</v>
      </c>
      <c r="X1755" s="24">
        <f t="shared" si="449"/>
        <v>99.5</v>
      </c>
      <c r="Y1755" s="24">
        <f t="shared" si="443"/>
        <v>2133.3000000000002</v>
      </c>
      <c r="Z1755" s="189"/>
    </row>
    <row r="1756" spans="1:27" s="6" customFormat="1" x14ac:dyDescent="0.25">
      <c r="A1756" s="22" t="s">
        <v>493</v>
      </c>
      <c r="B1756" s="23" t="s">
        <v>492</v>
      </c>
      <c r="C1756" s="23" t="s">
        <v>494</v>
      </c>
      <c r="D1756" s="23" t="s">
        <v>2</v>
      </c>
      <c r="E1756" s="24">
        <f t="shared" si="449"/>
        <v>2033.8</v>
      </c>
      <c r="F1756" s="24">
        <f t="shared" si="449"/>
        <v>0</v>
      </c>
      <c r="G1756" s="24">
        <f t="shared" si="440"/>
        <v>2033.8</v>
      </c>
      <c r="H1756" s="24">
        <f t="shared" si="449"/>
        <v>0</v>
      </c>
      <c r="I1756" s="24">
        <f t="shared" si="435"/>
        <v>2033.8</v>
      </c>
      <c r="J1756" s="24">
        <f t="shared" si="449"/>
        <v>0</v>
      </c>
      <c r="K1756" s="24">
        <f t="shared" si="436"/>
        <v>2033.8</v>
      </c>
      <c r="L1756" s="24">
        <f t="shared" si="449"/>
        <v>0</v>
      </c>
      <c r="M1756" s="24">
        <f t="shared" si="437"/>
        <v>2033.8</v>
      </c>
      <c r="N1756" s="24">
        <f t="shared" si="449"/>
        <v>0</v>
      </c>
      <c r="O1756" s="24">
        <f t="shared" si="438"/>
        <v>2033.8</v>
      </c>
      <c r="P1756" s="24">
        <f t="shared" si="449"/>
        <v>0</v>
      </c>
      <c r="Q1756" s="24">
        <f t="shared" si="433"/>
        <v>2033.8</v>
      </c>
      <c r="R1756" s="24">
        <f t="shared" si="449"/>
        <v>0</v>
      </c>
      <c r="S1756" s="24">
        <f t="shared" si="447"/>
        <v>2033.8</v>
      </c>
      <c r="T1756" s="24">
        <f t="shared" si="449"/>
        <v>0</v>
      </c>
      <c r="U1756" s="24">
        <f t="shared" si="448"/>
        <v>2033.8</v>
      </c>
      <c r="V1756" s="24">
        <f t="shared" si="449"/>
        <v>0</v>
      </c>
      <c r="W1756" s="24">
        <f t="shared" si="442"/>
        <v>2033.8</v>
      </c>
      <c r="X1756" s="24">
        <f t="shared" si="449"/>
        <v>99.5</v>
      </c>
      <c r="Y1756" s="24">
        <f t="shared" si="443"/>
        <v>2133.3000000000002</v>
      </c>
      <c r="Z1756" s="189"/>
    </row>
    <row r="1757" spans="1:27" s="6" customFormat="1" x14ac:dyDescent="0.25">
      <c r="A1757" s="22" t="s">
        <v>495</v>
      </c>
      <c r="B1757" s="23" t="s">
        <v>492</v>
      </c>
      <c r="C1757" s="23" t="s">
        <v>496</v>
      </c>
      <c r="D1757" s="23" t="s">
        <v>2</v>
      </c>
      <c r="E1757" s="24">
        <f t="shared" si="449"/>
        <v>2033.8</v>
      </c>
      <c r="F1757" s="24">
        <f t="shared" si="449"/>
        <v>0</v>
      </c>
      <c r="G1757" s="24">
        <f t="shared" si="440"/>
        <v>2033.8</v>
      </c>
      <c r="H1757" s="24">
        <f t="shared" si="449"/>
        <v>0</v>
      </c>
      <c r="I1757" s="24">
        <f t="shared" si="435"/>
        <v>2033.8</v>
      </c>
      <c r="J1757" s="24">
        <f t="shared" si="449"/>
        <v>0</v>
      </c>
      <c r="K1757" s="24">
        <f t="shared" si="436"/>
        <v>2033.8</v>
      </c>
      <c r="L1757" s="24">
        <f t="shared" si="449"/>
        <v>0</v>
      </c>
      <c r="M1757" s="24">
        <f t="shared" si="437"/>
        <v>2033.8</v>
      </c>
      <c r="N1757" s="24">
        <f t="shared" si="449"/>
        <v>0</v>
      </c>
      <c r="O1757" s="24">
        <f t="shared" si="438"/>
        <v>2033.8</v>
      </c>
      <c r="P1757" s="24">
        <f t="shared" si="449"/>
        <v>0</v>
      </c>
      <c r="Q1757" s="24">
        <f t="shared" si="433"/>
        <v>2033.8</v>
      </c>
      <c r="R1757" s="24">
        <f t="shared" si="449"/>
        <v>0</v>
      </c>
      <c r="S1757" s="24">
        <f t="shared" si="447"/>
        <v>2033.8</v>
      </c>
      <c r="T1757" s="24">
        <f t="shared" si="449"/>
        <v>0</v>
      </c>
      <c r="U1757" s="24">
        <f t="shared" si="448"/>
        <v>2033.8</v>
      </c>
      <c r="V1757" s="24">
        <f t="shared" si="449"/>
        <v>0</v>
      </c>
      <c r="W1757" s="24">
        <f t="shared" si="442"/>
        <v>2033.8</v>
      </c>
      <c r="X1757" s="24">
        <f t="shared" si="449"/>
        <v>99.5</v>
      </c>
      <c r="Y1757" s="24">
        <f t="shared" si="443"/>
        <v>2133.3000000000002</v>
      </c>
      <c r="Z1757" s="189"/>
    </row>
    <row r="1758" spans="1:27" ht="24.75" x14ac:dyDescent="0.25">
      <c r="A1758" s="25" t="s">
        <v>568</v>
      </c>
      <c r="B1758" s="26" t="s">
        <v>492</v>
      </c>
      <c r="C1758" s="26" t="s">
        <v>496</v>
      </c>
      <c r="D1758" s="26" t="s">
        <v>497</v>
      </c>
      <c r="E1758" s="27">
        <v>2033.8</v>
      </c>
      <c r="F1758" s="27"/>
      <c r="G1758" s="24">
        <f t="shared" si="440"/>
        <v>2033.8</v>
      </c>
      <c r="H1758" s="27"/>
      <c r="I1758" s="24">
        <f t="shared" si="435"/>
        <v>2033.8</v>
      </c>
      <c r="J1758" s="27"/>
      <c r="K1758" s="24">
        <f t="shared" si="436"/>
        <v>2033.8</v>
      </c>
      <c r="L1758" s="27"/>
      <c r="M1758" s="24">
        <f t="shared" si="437"/>
        <v>2033.8</v>
      </c>
      <c r="N1758" s="27"/>
      <c r="O1758" s="24">
        <f t="shared" si="438"/>
        <v>2033.8</v>
      </c>
      <c r="P1758" s="27"/>
      <c r="Q1758" s="24">
        <f t="shared" si="433"/>
        <v>2033.8</v>
      </c>
      <c r="R1758" s="27"/>
      <c r="S1758" s="24">
        <f t="shared" si="447"/>
        <v>2033.8</v>
      </c>
      <c r="T1758" s="69"/>
      <c r="U1758" s="24">
        <f t="shared" si="448"/>
        <v>2033.8</v>
      </c>
      <c r="V1758" s="69"/>
      <c r="W1758" s="24">
        <f t="shared" si="442"/>
        <v>2033.8</v>
      </c>
      <c r="X1758" s="39">
        <v>99.5</v>
      </c>
      <c r="Y1758" s="24">
        <f t="shared" si="443"/>
        <v>2133.3000000000002</v>
      </c>
      <c r="AA1758" s="189">
        <f>Y1758+Z1758</f>
        <v>2133.3000000000002</v>
      </c>
    </row>
    <row r="1759" spans="1:27" s="6" customFormat="1" x14ac:dyDescent="0.25">
      <c r="A1759" s="22" t="s">
        <v>498</v>
      </c>
      <c r="B1759" s="23" t="s">
        <v>499</v>
      </c>
      <c r="C1759" s="23" t="s">
        <v>2</v>
      </c>
      <c r="D1759" s="23" t="s">
        <v>2</v>
      </c>
      <c r="E1759" s="24">
        <f>E1760+E1794</f>
        <v>2171.5</v>
      </c>
      <c r="F1759" s="24">
        <f>F1760+F1794</f>
        <v>7289.4</v>
      </c>
      <c r="G1759" s="24">
        <f t="shared" si="440"/>
        <v>9460.9</v>
      </c>
      <c r="H1759" s="24">
        <f>H1760+H1794</f>
        <v>46737.7</v>
      </c>
      <c r="I1759" s="24">
        <f t="shared" si="435"/>
        <v>56198.6</v>
      </c>
      <c r="J1759" s="24">
        <f>J1760+J1794+J1785</f>
        <v>2392.1</v>
      </c>
      <c r="K1759" s="24">
        <f t="shared" si="436"/>
        <v>58590.7</v>
      </c>
      <c r="L1759" s="24">
        <f>L1760+L1794+L1785</f>
        <v>-53995.499999999993</v>
      </c>
      <c r="M1759" s="24">
        <f t="shared" si="437"/>
        <v>4595.2000000000044</v>
      </c>
      <c r="N1759" s="24">
        <f>N1760+N1794+N1785</f>
        <v>0</v>
      </c>
      <c r="O1759" s="24">
        <f t="shared" si="438"/>
        <v>4595.2000000000044</v>
      </c>
      <c r="P1759" s="24">
        <f>P1760+P1794+P1785</f>
        <v>0</v>
      </c>
      <c r="Q1759" s="24">
        <f t="shared" si="433"/>
        <v>4595.2000000000044</v>
      </c>
      <c r="R1759" s="24">
        <f>R1760+R1794+R1785</f>
        <v>317.2</v>
      </c>
      <c r="S1759" s="24">
        <f t="shared" si="447"/>
        <v>4912.4000000000042</v>
      </c>
      <c r="T1759" s="24">
        <f>T1760+T1794+T1785+T1789</f>
        <v>2014.0000000000002</v>
      </c>
      <c r="U1759" s="24">
        <f t="shared" si="448"/>
        <v>6926.4000000000042</v>
      </c>
      <c r="V1759" s="24">
        <f>V1760+V1794+V1785+V1789</f>
        <v>4.5</v>
      </c>
      <c r="W1759" s="24">
        <f t="shared" si="442"/>
        <v>6930.9000000000042</v>
      </c>
      <c r="X1759" s="24">
        <f>X1760+X1794+X1785+X1789</f>
        <v>212.5</v>
      </c>
      <c r="Y1759" s="24">
        <f t="shared" si="443"/>
        <v>7143.4000000000042</v>
      </c>
      <c r="Z1759" s="189"/>
    </row>
    <row r="1760" spans="1:27" s="6" customFormat="1" ht="24.75" x14ac:dyDescent="0.25">
      <c r="A1760" s="22" t="s">
        <v>587</v>
      </c>
      <c r="B1760" s="23" t="s">
        <v>499</v>
      </c>
      <c r="C1760" s="23" t="s">
        <v>20</v>
      </c>
      <c r="D1760" s="23" t="s">
        <v>2</v>
      </c>
      <c r="E1760" s="24">
        <f>E1761+E1765+E1769</f>
        <v>1121.5</v>
      </c>
      <c r="F1760" s="24">
        <f>F1761+F1765+F1769</f>
        <v>7289.4</v>
      </c>
      <c r="G1760" s="24">
        <f t="shared" si="440"/>
        <v>8410.9</v>
      </c>
      <c r="H1760" s="24">
        <f>H1761+H1765+H1769</f>
        <v>46737.7</v>
      </c>
      <c r="I1760" s="24">
        <f t="shared" si="435"/>
        <v>55148.6</v>
      </c>
      <c r="J1760" s="24">
        <f>J1761+J1765+J1769</f>
        <v>2357.6</v>
      </c>
      <c r="K1760" s="24">
        <f t="shared" si="436"/>
        <v>57506.2</v>
      </c>
      <c r="L1760" s="24">
        <f>L1761+L1765+L1769</f>
        <v>-54052.999999999993</v>
      </c>
      <c r="M1760" s="24">
        <f t="shared" si="437"/>
        <v>3453.2000000000044</v>
      </c>
      <c r="N1760" s="24">
        <f>N1761+N1765+N1769</f>
        <v>0</v>
      </c>
      <c r="O1760" s="24">
        <f t="shared" si="438"/>
        <v>3453.2000000000044</v>
      </c>
      <c r="P1760" s="24">
        <f>P1761+P1765+P1769</f>
        <v>0</v>
      </c>
      <c r="Q1760" s="24">
        <f t="shared" si="433"/>
        <v>3453.2000000000044</v>
      </c>
      <c r="R1760" s="24">
        <f>R1761+R1765+R1769</f>
        <v>300</v>
      </c>
      <c r="S1760" s="24">
        <f t="shared" si="447"/>
        <v>3753.2000000000044</v>
      </c>
      <c r="T1760" s="24">
        <f>T1761+T1765+T1769</f>
        <v>0</v>
      </c>
      <c r="U1760" s="24">
        <f t="shared" si="448"/>
        <v>3753.2000000000044</v>
      </c>
      <c r="V1760" s="24">
        <f>V1761+V1765+V1769</f>
        <v>-30</v>
      </c>
      <c r="W1760" s="24">
        <f t="shared" si="442"/>
        <v>3723.2000000000044</v>
      </c>
      <c r="X1760" s="24">
        <f>X1761+X1765+X1769</f>
        <v>250</v>
      </c>
      <c r="Y1760" s="24">
        <f t="shared" si="443"/>
        <v>3973.2000000000044</v>
      </c>
      <c r="Z1760" s="189"/>
    </row>
    <row r="1761" spans="1:27" s="6" customFormat="1" hidden="1" x14ac:dyDescent="0.25">
      <c r="A1761" s="22" t="s">
        <v>457</v>
      </c>
      <c r="B1761" s="23" t="s">
        <v>499</v>
      </c>
      <c r="C1761" s="23" t="s">
        <v>458</v>
      </c>
      <c r="D1761" s="23" t="s">
        <v>2</v>
      </c>
      <c r="E1761" s="24">
        <f t="shared" ref="E1761:X1763" si="450">E1762</f>
        <v>30</v>
      </c>
      <c r="F1761" s="24">
        <f t="shared" si="450"/>
        <v>0</v>
      </c>
      <c r="G1761" s="24">
        <f t="shared" si="440"/>
        <v>30</v>
      </c>
      <c r="H1761" s="24">
        <f t="shared" si="450"/>
        <v>0</v>
      </c>
      <c r="I1761" s="24">
        <f t="shared" si="435"/>
        <v>30</v>
      </c>
      <c r="J1761" s="24">
        <f t="shared" si="450"/>
        <v>0</v>
      </c>
      <c r="K1761" s="24">
        <f t="shared" si="436"/>
        <v>30</v>
      </c>
      <c r="L1761" s="24">
        <f t="shared" si="450"/>
        <v>0</v>
      </c>
      <c r="M1761" s="24">
        <f t="shared" si="437"/>
        <v>30</v>
      </c>
      <c r="N1761" s="24">
        <f t="shared" si="450"/>
        <v>0</v>
      </c>
      <c r="O1761" s="24">
        <f t="shared" si="438"/>
        <v>30</v>
      </c>
      <c r="P1761" s="24">
        <f t="shared" si="450"/>
        <v>0</v>
      </c>
      <c r="Q1761" s="24">
        <f t="shared" si="433"/>
        <v>30</v>
      </c>
      <c r="R1761" s="24">
        <f t="shared" si="450"/>
        <v>0</v>
      </c>
      <c r="S1761" s="24">
        <f t="shared" si="447"/>
        <v>30</v>
      </c>
      <c r="T1761" s="24">
        <f t="shared" si="450"/>
        <v>0</v>
      </c>
      <c r="U1761" s="24">
        <f t="shared" si="448"/>
        <v>30</v>
      </c>
      <c r="V1761" s="24">
        <f t="shared" si="450"/>
        <v>-30</v>
      </c>
      <c r="W1761" s="24">
        <f t="shared" si="442"/>
        <v>0</v>
      </c>
      <c r="X1761" s="24">
        <f t="shared" si="450"/>
        <v>0</v>
      </c>
      <c r="Y1761" s="24">
        <f t="shared" si="443"/>
        <v>0</v>
      </c>
      <c r="Z1761" s="189"/>
    </row>
    <row r="1762" spans="1:27" s="6" customFormat="1" ht="24.75" hidden="1" x14ac:dyDescent="0.25">
      <c r="A1762" s="22" t="s">
        <v>500</v>
      </c>
      <c r="B1762" s="23" t="s">
        <v>499</v>
      </c>
      <c r="C1762" s="23" t="s">
        <v>501</v>
      </c>
      <c r="D1762" s="23" t="s">
        <v>2</v>
      </c>
      <c r="E1762" s="24">
        <f t="shared" si="450"/>
        <v>30</v>
      </c>
      <c r="F1762" s="24">
        <f t="shared" si="450"/>
        <v>0</v>
      </c>
      <c r="G1762" s="24">
        <f t="shared" si="440"/>
        <v>30</v>
      </c>
      <c r="H1762" s="24">
        <f t="shared" si="450"/>
        <v>0</v>
      </c>
      <c r="I1762" s="24">
        <f t="shared" si="435"/>
        <v>30</v>
      </c>
      <c r="J1762" s="24">
        <f t="shared" si="450"/>
        <v>0</v>
      </c>
      <c r="K1762" s="24">
        <f t="shared" si="436"/>
        <v>30</v>
      </c>
      <c r="L1762" s="24">
        <f t="shared" si="450"/>
        <v>0</v>
      </c>
      <c r="M1762" s="24">
        <f t="shared" si="437"/>
        <v>30</v>
      </c>
      <c r="N1762" s="24">
        <f t="shared" si="450"/>
        <v>0</v>
      </c>
      <c r="O1762" s="24">
        <f t="shared" si="438"/>
        <v>30</v>
      </c>
      <c r="P1762" s="24">
        <f t="shared" si="450"/>
        <v>0</v>
      </c>
      <c r="Q1762" s="24">
        <f t="shared" si="433"/>
        <v>30</v>
      </c>
      <c r="R1762" s="24">
        <f t="shared" si="450"/>
        <v>0</v>
      </c>
      <c r="S1762" s="24">
        <f t="shared" si="447"/>
        <v>30</v>
      </c>
      <c r="T1762" s="24">
        <f t="shared" si="450"/>
        <v>0</v>
      </c>
      <c r="U1762" s="24">
        <f t="shared" si="448"/>
        <v>30</v>
      </c>
      <c r="V1762" s="24">
        <f t="shared" si="450"/>
        <v>-30</v>
      </c>
      <c r="W1762" s="24">
        <f t="shared" si="442"/>
        <v>0</v>
      </c>
      <c r="X1762" s="24">
        <f t="shared" si="450"/>
        <v>0</v>
      </c>
      <c r="Y1762" s="24">
        <f t="shared" si="443"/>
        <v>0</v>
      </c>
      <c r="Z1762" s="189"/>
    </row>
    <row r="1763" spans="1:27" s="6" customFormat="1" hidden="1" x14ac:dyDescent="0.25">
      <c r="A1763" s="22" t="s">
        <v>461</v>
      </c>
      <c r="B1763" s="23" t="s">
        <v>499</v>
      </c>
      <c r="C1763" s="23" t="s">
        <v>502</v>
      </c>
      <c r="D1763" s="23" t="s">
        <v>2</v>
      </c>
      <c r="E1763" s="24">
        <f t="shared" si="450"/>
        <v>30</v>
      </c>
      <c r="F1763" s="24">
        <f t="shared" si="450"/>
        <v>0</v>
      </c>
      <c r="G1763" s="24">
        <f t="shared" si="440"/>
        <v>30</v>
      </c>
      <c r="H1763" s="24">
        <f t="shared" si="450"/>
        <v>0</v>
      </c>
      <c r="I1763" s="24">
        <f t="shared" si="435"/>
        <v>30</v>
      </c>
      <c r="J1763" s="24">
        <f t="shared" si="450"/>
        <v>0</v>
      </c>
      <c r="K1763" s="24">
        <f t="shared" si="436"/>
        <v>30</v>
      </c>
      <c r="L1763" s="24">
        <f t="shared" si="450"/>
        <v>0</v>
      </c>
      <c r="M1763" s="24">
        <f t="shared" si="437"/>
        <v>30</v>
      </c>
      <c r="N1763" s="24">
        <f t="shared" si="450"/>
        <v>0</v>
      </c>
      <c r="O1763" s="24">
        <f t="shared" si="438"/>
        <v>30</v>
      </c>
      <c r="P1763" s="24">
        <f t="shared" si="450"/>
        <v>0</v>
      </c>
      <c r="Q1763" s="24">
        <f t="shared" si="433"/>
        <v>30</v>
      </c>
      <c r="R1763" s="24">
        <f t="shared" si="450"/>
        <v>0</v>
      </c>
      <c r="S1763" s="24">
        <f t="shared" si="447"/>
        <v>30</v>
      </c>
      <c r="T1763" s="24">
        <f t="shared" si="450"/>
        <v>0</v>
      </c>
      <c r="U1763" s="24">
        <f t="shared" si="448"/>
        <v>30</v>
      </c>
      <c r="V1763" s="24">
        <f t="shared" si="450"/>
        <v>-30</v>
      </c>
      <c r="W1763" s="24">
        <f t="shared" si="442"/>
        <v>0</v>
      </c>
      <c r="X1763" s="24">
        <f t="shared" si="450"/>
        <v>0</v>
      </c>
      <c r="Y1763" s="24">
        <f t="shared" si="443"/>
        <v>0</v>
      </c>
      <c r="Z1763" s="189"/>
    </row>
    <row r="1764" spans="1:27" hidden="1" x14ac:dyDescent="0.25">
      <c r="A1764" s="25" t="s">
        <v>66</v>
      </c>
      <c r="B1764" s="26" t="s">
        <v>499</v>
      </c>
      <c r="C1764" s="26" t="s">
        <v>502</v>
      </c>
      <c r="D1764" s="26" t="s">
        <v>42</v>
      </c>
      <c r="E1764" s="27">
        <v>30</v>
      </c>
      <c r="F1764" s="27"/>
      <c r="G1764" s="24">
        <f t="shared" si="440"/>
        <v>30</v>
      </c>
      <c r="H1764" s="27"/>
      <c r="I1764" s="24">
        <f t="shared" si="435"/>
        <v>30</v>
      </c>
      <c r="J1764" s="27"/>
      <c r="K1764" s="24">
        <f t="shared" si="436"/>
        <v>30</v>
      </c>
      <c r="L1764" s="27"/>
      <c r="M1764" s="24">
        <f t="shared" si="437"/>
        <v>30</v>
      </c>
      <c r="N1764" s="27"/>
      <c r="O1764" s="24">
        <f t="shared" si="438"/>
        <v>30</v>
      </c>
      <c r="P1764" s="27"/>
      <c r="Q1764" s="24">
        <f t="shared" si="433"/>
        <v>30</v>
      </c>
      <c r="R1764" s="27"/>
      <c r="S1764" s="24">
        <f t="shared" si="447"/>
        <v>30</v>
      </c>
      <c r="T1764" s="69"/>
      <c r="U1764" s="24">
        <f t="shared" si="448"/>
        <v>30</v>
      </c>
      <c r="V1764" s="94">
        <v>-30</v>
      </c>
      <c r="W1764" s="24">
        <f t="shared" si="442"/>
        <v>0</v>
      </c>
      <c r="X1764" s="69"/>
      <c r="Y1764" s="24">
        <f t="shared" si="443"/>
        <v>0</v>
      </c>
      <c r="AA1764" s="189">
        <f>Y1764+Z1764</f>
        <v>0</v>
      </c>
    </row>
    <row r="1765" spans="1:27" s="6" customFormat="1" x14ac:dyDescent="0.25">
      <c r="A1765" s="22" t="s">
        <v>21</v>
      </c>
      <c r="B1765" s="23" t="s">
        <v>499</v>
      </c>
      <c r="C1765" s="23" t="s">
        <v>22</v>
      </c>
      <c r="D1765" s="23" t="s">
        <v>2</v>
      </c>
      <c r="E1765" s="24">
        <f t="shared" ref="E1765:X1767" si="451">E1766</f>
        <v>70</v>
      </c>
      <c r="F1765" s="24">
        <f t="shared" si="451"/>
        <v>0</v>
      </c>
      <c r="G1765" s="24">
        <f t="shared" si="440"/>
        <v>70</v>
      </c>
      <c r="H1765" s="24">
        <f t="shared" si="451"/>
        <v>0</v>
      </c>
      <c r="I1765" s="24">
        <f t="shared" si="435"/>
        <v>70</v>
      </c>
      <c r="J1765" s="24">
        <f t="shared" si="451"/>
        <v>0</v>
      </c>
      <c r="K1765" s="24">
        <f t="shared" si="436"/>
        <v>70</v>
      </c>
      <c r="L1765" s="24">
        <f t="shared" si="451"/>
        <v>0</v>
      </c>
      <c r="M1765" s="24">
        <f t="shared" si="437"/>
        <v>70</v>
      </c>
      <c r="N1765" s="24">
        <f t="shared" si="451"/>
        <v>0</v>
      </c>
      <c r="O1765" s="24">
        <f t="shared" si="438"/>
        <v>70</v>
      </c>
      <c r="P1765" s="24">
        <f t="shared" si="451"/>
        <v>0</v>
      </c>
      <c r="Q1765" s="24">
        <f t="shared" si="433"/>
        <v>70</v>
      </c>
      <c r="R1765" s="24">
        <f t="shared" si="451"/>
        <v>0</v>
      </c>
      <c r="S1765" s="24">
        <f t="shared" si="447"/>
        <v>70</v>
      </c>
      <c r="T1765" s="24">
        <f t="shared" si="451"/>
        <v>0</v>
      </c>
      <c r="U1765" s="24">
        <f t="shared" si="448"/>
        <v>70</v>
      </c>
      <c r="V1765" s="24">
        <f t="shared" si="451"/>
        <v>0</v>
      </c>
      <c r="W1765" s="24">
        <f t="shared" si="442"/>
        <v>70</v>
      </c>
      <c r="X1765" s="24">
        <f t="shared" si="451"/>
        <v>0</v>
      </c>
      <c r="Y1765" s="24">
        <f t="shared" si="443"/>
        <v>70</v>
      </c>
      <c r="Z1765" s="189"/>
    </row>
    <row r="1766" spans="1:27" s="6" customFormat="1" ht="24.75" x14ac:dyDescent="0.25">
      <c r="A1766" s="22" t="s">
        <v>23</v>
      </c>
      <c r="B1766" s="23" t="s">
        <v>499</v>
      </c>
      <c r="C1766" s="23" t="s">
        <v>24</v>
      </c>
      <c r="D1766" s="23" t="s">
        <v>2</v>
      </c>
      <c r="E1766" s="24">
        <f t="shared" si="451"/>
        <v>70</v>
      </c>
      <c r="F1766" s="24">
        <f t="shared" si="451"/>
        <v>0</v>
      </c>
      <c r="G1766" s="24">
        <f t="shared" si="440"/>
        <v>70</v>
      </c>
      <c r="H1766" s="24">
        <f t="shared" si="451"/>
        <v>0</v>
      </c>
      <c r="I1766" s="24">
        <f t="shared" si="435"/>
        <v>70</v>
      </c>
      <c r="J1766" s="24">
        <f t="shared" si="451"/>
        <v>0</v>
      </c>
      <c r="K1766" s="24">
        <f t="shared" si="436"/>
        <v>70</v>
      </c>
      <c r="L1766" s="24">
        <f t="shared" si="451"/>
        <v>0</v>
      </c>
      <c r="M1766" s="24">
        <f t="shared" si="437"/>
        <v>70</v>
      </c>
      <c r="N1766" s="24">
        <f t="shared" si="451"/>
        <v>0</v>
      </c>
      <c r="O1766" s="24">
        <f t="shared" si="438"/>
        <v>70</v>
      </c>
      <c r="P1766" s="24">
        <f t="shared" si="451"/>
        <v>0</v>
      </c>
      <c r="Q1766" s="24">
        <f t="shared" si="433"/>
        <v>70</v>
      </c>
      <c r="R1766" s="24">
        <f t="shared" si="451"/>
        <v>0</v>
      </c>
      <c r="S1766" s="24">
        <f t="shared" si="447"/>
        <v>70</v>
      </c>
      <c r="T1766" s="24">
        <f t="shared" si="451"/>
        <v>0</v>
      </c>
      <c r="U1766" s="24">
        <f t="shared" si="448"/>
        <v>70</v>
      </c>
      <c r="V1766" s="24">
        <f t="shared" si="451"/>
        <v>0</v>
      </c>
      <c r="W1766" s="24">
        <f t="shared" si="442"/>
        <v>70</v>
      </c>
      <c r="X1766" s="24">
        <f t="shared" si="451"/>
        <v>0</v>
      </c>
      <c r="Y1766" s="24">
        <f t="shared" si="443"/>
        <v>70</v>
      </c>
      <c r="Z1766" s="189"/>
    </row>
    <row r="1767" spans="1:27" s="6" customFormat="1" x14ac:dyDescent="0.25">
      <c r="A1767" s="22" t="s">
        <v>503</v>
      </c>
      <c r="B1767" s="23" t="s">
        <v>499</v>
      </c>
      <c r="C1767" s="23" t="s">
        <v>504</v>
      </c>
      <c r="D1767" s="23" t="s">
        <v>2</v>
      </c>
      <c r="E1767" s="24">
        <f t="shared" si="451"/>
        <v>70</v>
      </c>
      <c r="F1767" s="24">
        <f t="shared" si="451"/>
        <v>0</v>
      </c>
      <c r="G1767" s="24">
        <f t="shared" si="440"/>
        <v>70</v>
      </c>
      <c r="H1767" s="24">
        <f t="shared" si="451"/>
        <v>0</v>
      </c>
      <c r="I1767" s="24">
        <f t="shared" si="435"/>
        <v>70</v>
      </c>
      <c r="J1767" s="24">
        <f t="shared" si="451"/>
        <v>0</v>
      </c>
      <c r="K1767" s="24">
        <f t="shared" si="436"/>
        <v>70</v>
      </c>
      <c r="L1767" s="24">
        <f t="shared" si="451"/>
        <v>0</v>
      </c>
      <c r="M1767" s="24">
        <f t="shared" si="437"/>
        <v>70</v>
      </c>
      <c r="N1767" s="24">
        <f t="shared" si="451"/>
        <v>0</v>
      </c>
      <c r="O1767" s="24">
        <f t="shared" si="438"/>
        <v>70</v>
      </c>
      <c r="P1767" s="24">
        <f t="shared" si="451"/>
        <v>0</v>
      </c>
      <c r="Q1767" s="24">
        <f t="shared" si="433"/>
        <v>70</v>
      </c>
      <c r="R1767" s="24">
        <f t="shared" si="451"/>
        <v>0</v>
      </c>
      <c r="S1767" s="24">
        <f t="shared" si="447"/>
        <v>70</v>
      </c>
      <c r="T1767" s="24">
        <f t="shared" si="451"/>
        <v>0</v>
      </c>
      <c r="U1767" s="24">
        <f t="shared" si="448"/>
        <v>70</v>
      </c>
      <c r="V1767" s="24">
        <f t="shared" si="451"/>
        <v>0</v>
      </c>
      <c r="W1767" s="24">
        <f t="shared" si="442"/>
        <v>70</v>
      </c>
      <c r="X1767" s="24">
        <f t="shared" si="451"/>
        <v>0</v>
      </c>
      <c r="Y1767" s="24">
        <f t="shared" si="443"/>
        <v>70</v>
      </c>
      <c r="Z1767" s="189"/>
    </row>
    <row r="1768" spans="1:27" x14ac:dyDescent="0.25">
      <c r="A1768" s="25" t="s">
        <v>66</v>
      </c>
      <c r="B1768" s="26" t="s">
        <v>499</v>
      </c>
      <c r="C1768" s="26" t="s">
        <v>504</v>
      </c>
      <c r="D1768" s="26" t="s">
        <v>42</v>
      </c>
      <c r="E1768" s="27">
        <v>70</v>
      </c>
      <c r="F1768" s="27"/>
      <c r="G1768" s="24">
        <f t="shared" si="440"/>
        <v>70</v>
      </c>
      <c r="H1768" s="27"/>
      <c r="I1768" s="24">
        <f t="shared" si="435"/>
        <v>70</v>
      </c>
      <c r="J1768" s="27"/>
      <c r="K1768" s="24">
        <f t="shared" si="436"/>
        <v>70</v>
      </c>
      <c r="L1768" s="27"/>
      <c r="M1768" s="24">
        <f t="shared" si="437"/>
        <v>70</v>
      </c>
      <c r="N1768" s="27"/>
      <c r="O1768" s="24">
        <f t="shared" si="438"/>
        <v>70</v>
      </c>
      <c r="P1768" s="27"/>
      <c r="Q1768" s="24">
        <f t="shared" si="433"/>
        <v>70</v>
      </c>
      <c r="R1768" s="27"/>
      <c r="S1768" s="24">
        <f t="shared" si="447"/>
        <v>70</v>
      </c>
      <c r="T1768" s="69"/>
      <c r="U1768" s="24">
        <f t="shared" si="448"/>
        <v>70</v>
      </c>
      <c r="V1768" s="69"/>
      <c r="W1768" s="24">
        <f t="shared" si="442"/>
        <v>70</v>
      </c>
      <c r="X1768" s="69"/>
      <c r="Y1768" s="24">
        <f t="shared" si="443"/>
        <v>70</v>
      </c>
      <c r="AA1768" s="189">
        <f>Y1768+Z1768</f>
        <v>70</v>
      </c>
    </row>
    <row r="1769" spans="1:27" s="6" customFormat="1" ht="36.75" x14ac:dyDescent="0.25">
      <c r="A1769" s="22" t="s">
        <v>27</v>
      </c>
      <c r="B1769" s="23" t="s">
        <v>499</v>
      </c>
      <c r="C1769" s="23" t="s">
        <v>28</v>
      </c>
      <c r="D1769" s="23" t="s">
        <v>2</v>
      </c>
      <c r="E1769" s="24">
        <f>E1770+E1773+E1776</f>
        <v>1021.5</v>
      </c>
      <c r="F1769" s="24">
        <f>F1770+F1773+F1776</f>
        <v>7289.4</v>
      </c>
      <c r="G1769" s="24">
        <f t="shared" si="440"/>
        <v>8310.9</v>
      </c>
      <c r="H1769" s="24">
        <f>H1770+H1773+H1776</f>
        <v>46737.7</v>
      </c>
      <c r="I1769" s="24">
        <f t="shared" si="435"/>
        <v>55048.6</v>
      </c>
      <c r="J1769" s="24">
        <f>J1770+J1773+J1776</f>
        <v>2357.6</v>
      </c>
      <c r="K1769" s="24">
        <f t="shared" si="436"/>
        <v>57406.2</v>
      </c>
      <c r="L1769" s="24">
        <f>L1770+L1773+L1776</f>
        <v>-54052.999999999993</v>
      </c>
      <c r="M1769" s="24">
        <f t="shared" si="437"/>
        <v>3353.2000000000044</v>
      </c>
      <c r="N1769" s="24">
        <f>N1770+N1773+N1776</f>
        <v>0</v>
      </c>
      <c r="O1769" s="24">
        <f t="shared" si="438"/>
        <v>3353.2000000000044</v>
      </c>
      <c r="P1769" s="24">
        <f>P1770+P1773+P1776</f>
        <v>0</v>
      </c>
      <c r="Q1769" s="24">
        <f t="shared" si="433"/>
        <v>3353.2000000000044</v>
      </c>
      <c r="R1769" s="24">
        <f>R1770+R1773+R1776</f>
        <v>300</v>
      </c>
      <c r="S1769" s="24">
        <f t="shared" si="447"/>
        <v>3653.2000000000044</v>
      </c>
      <c r="T1769" s="24">
        <f>T1770+T1773+T1776</f>
        <v>0</v>
      </c>
      <c r="U1769" s="24">
        <f t="shared" si="448"/>
        <v>3653.2000000000044</v>
      </c>
      <c r="V1769" s="24">
        <f>V1770+V1773+V1776</f>
        <v>0</v>
      </c>
      <c r="W1769" s="24">
        <f t="shared" si="442"/>
        <v>3653.2000000000044</v>
      </c>
      <c r="X1769" s="24">
        <f>X1770+X1773+X1776</f>
        <v>250</v>
      </c>
      <c r="Y1769" s="24">
        <f t="shared" si="443"/>
        <v>3903.2000000000044</v>
      </c>
      <c r="Z1769" s="189"/>
    </row>
    <row r="1770" spans="1:27" s="6" customFormat="1" x14ac:dyDescent="0.25">
      <c r="A1770" s="22" t="s">
        <v>505</v>
      </c>
      <c r="B1770" s="23" t="s">
        <v>499</v>
      </c>
      <c r="C1770" s="23" t="s">
        <v>506</v>
      </c>
      <c r="D1770" s="23" t="s">
        <v>2</v>
      </c>
      <c r="E1770" s="24">
        <f>E1771</f>
        <v>604</v>
      </c>
      <c r="F1770" s="24">
        <f>F1771</f>
        <v>0</v>
      </c>
      <c r="G1770" s="24">
        <f t="shared" si="440"/>
        <v>604</v>
      </c>
      <c r="H1770" s="24">
        <f>H1771</f>
        <v>0</v>
      </c>
      <c r="I1770" s="24">
        <f t="shared" si="435"/>
        <v>604</v>
      </c>
      <c r="J1770" s="24">
        <f>J1771</f>
        <v>0</v>
      </c>
      <c r="K1770" s="24">
        <f t="shared" si="436"/>
        <v>604</v>
      </c>
      <c r="L1770" s="24">
        <f>L1771</f>
        <v>0</v>
      </c>
      <c r="M1770" s="24">
        <f t="shared" si="437"/>
        <v>604</v>
      </c>
      <c r="N1770" s="24">
        <f>N1771</f>
        <v>0</v>
      </c>
      <c r="O1770" s="24">
        <f t="shared" si="438"/>
        <v>604</v>
      </c>
      <c r="P1770" s="24">
        <f>P1771</f>
        <v>0</v>
      </c>
      <c r="Q1770" s="24">
        <f t="shared" si="433"/>
        <v>604</v>
      </c>
      <c r="R1770" s="24">
        <f>R1771</f>
        <v>300</v>
      </c>
      <c r="S1770" s="24">
        <f t="shared" si="447"/>
        <v>904</v>
      </c>
      <c r="T1770" s="24">
        <f>T1771</f>
        <v>0</v>
      </c>
      <c r="U1770" s="24">
        <f t="shared" si="448"/>
        <v>904</v>
      </c>
      <c r="V1770" s="24">
        <f>V1771</f>
        <v>0</v>
      </c>
      <c r="W1770" s="24">
        <f t="shared" si="442"/>
        <v>904</v>
      </c>
      <c r="X1770" s="24">
        <f>X1771</f>
        <v>250</v>
      </c>
      <c r="Y1770" s="24">
        <f t="shared" si="443"/>
        <v>1154</v>
      </c>
      <c r="Z1770" s="189"/>
    </row>
    <row r="1771" spans="1:27" s="6" customFormat="1" x14ac:dyDescent="0.25">
      <c r="A1771" s="22" t="s">
        <v>507</v>
      </c>
      <c r="B1771" s="23" t="s">
        <v>499</v>
      </c>
      <c r="C1771" s="23" t="s">
        <v>508</v>
      </c>
      <c r="D1771" s="23" t="s">
        <v>2</v>
      </c>
      <c r="E1771" s="24">
        <f>E1772</f>
        <v>604</v>
      </c>
      <c r="F1771" s="24">
        <f>F1772</f>
        <v>0</v>
      </c>
      <c r="G1771" s="24">
        <f t="shared" si="440"/>
        <v>604</v>
      </c>
      <c r="H1771" s="24">
        <f>H1772</f>
        <v>0</v>
      </c>
      <c r="I1771" s="24">
        <f t="shared" si="435"/>
        <v>604</v>
      </c>
      <c r="J1771" s="24">
        <f>J1772</f>
        <v>0</v>
      </c>
      <c r="K1771" s="24">
        <f t="shared" si="436"/>
        <v>604</v>
      </c>
      <c r="L1771" s="24">
        <f>L1772</f>
        <v>0</v>
      </c>
      <c r="M1771" s="24">
        <f t="shared" si="437"/>
        <v>604</v>
      </c>
      <c r="N1771" s="24">
        <f>N1772</f>
        <v>0</v>
      </c>
      <c r="O1771" s="24">
        <f t="shared" si="438"/>
        <v>604</v>
      </c>
      <c r="P1771" s="24">
        <f>P1772</f>
        <v>0</v>
      </c>
      <c r="Q1771" s="24">
        <f t="shared" si="433"/>
        <v>604</v>
      </c>
      <c r="R1771" s="87">
        <f>R1772</f>
        <v>300</v>
      </c>
      <c r="S1771" s="24">
        <f t="shared" si="447"/>
        <v>904</v>
      </c>
      <c r="T1771" s="47">
        <f>T1772</f>
        <v>0</v>
      </c>
      <c r="U1771" s="24">
        <f t="shared" si="448"/>
        <v>904</v>
      </c>
      <c r="V1771" s="47">
        <f>V1772</f>
        <v>0</v>
      </c>
      <c r="W1771" s="24">
        <f t="shared" si="442"/>
        <v>904</v>
      </c>
      <c r="X1771" s="47">
        <f>X1772</f>
        <v>250</v>
      </c>
      <c r="Y1771" s="24">
        <f t="shared" si="443"/>
        <v>1154</v>
      </c>
      <c r="Z1771" s="189"/>
    </row>
    <row r="1772" spans="1:27" ht="24.75" x14ac:dyDescent="0.25">
      <c r="A1772" s="25" t="s">
        <v>563</v>
      </c>
      <c r="B1772" s="26" t="s">
        <v>499</v>
      </c>
      <c r="C1772" s="26" t="s">
        <v>508</v>
      </c>
      <c r="D1772" s="26" t="s">
        <v>315</v>
      </c>
      <c r="E1772" s="27">
        <v>604</v>
      </c>
      <c r="F1772" s="27"/>
      <c r="G1772" s="24">
        <f t="shared" si="440"/>
        <v>604</v>
      </c>
      <c r="H1772" s="27"/>
      <c r="I1772" s="24">
        <f t="shared" si="435"/>
        <v>604</v>
      </c>
      <c r="J1772" s="27"/>
      <c r="K1772" s="24">
        <f t="shared" si="436"/>
        <v>604</v>
      </c>
      <c r="L1772" s="27"/>
      <c r="M1772" s="24">
        <f t="shared" si="437"/>
        <v>604</v>
      </c>
      <c r="N1772" s="27"/>
      <c r="O1772" s="24">
        <f t="shared" si="438"/>
        <v>604</v>
      </c>
      <c r="P1772" s="27"/>
      <c r="Q1772" s="24">
        <f t="shared" ref="Q1772:Q1850" si="452">O1772+P1772</f>
        <v>604</v>
      </c>
      <c r="R1772" s="39">
        <v>300</v>
      </c>
      <c r="S1772" s="24">
        <f t="shared" si="447"/>
        <v>904</v>
      </c>
      <c r="T1772" s="69"/>
      <c r="U1772" s="24">
        <f t="shared" si="448"/>
        <v>904</v>
      </c>
      <c r="V1772" s="69"/>
      <c r="W1772" s="24">
        <f t="shared" si="442"/>
        <v>904</v>
      </c>
      <c r="X1772" s="39">
        <v>250</v>
      </c>
      <c r="Y1772" s="24">
        <f t="shared" si="443"/>
        <v>1154</v>
      </c>
      <c r="Z1772" s="61">
        <v>250</v>
      </c>
      <c r="AA1772" s="189">
        <f>Y1772+Z1772</f>
        <v>1404</v>
      </c>
    </row>
    <row r="1773" spans="1:27" s="6" customFormat="1" ht="24.75" x14ac:dyDescent="0.25">
      <c r="A1773" s="22" t="s">
        <v>410</v>
      </c>
      <c r="B1773" s="23" t="s">
        <v>499</v>
      </c>
      <c r="C1773" s="23" t="s">
        <v>411</v>
      </c>
      <c r="D1773" s="23" t="s">
        <v>2</v>
      </c>
      <c r="E1773" s="24">
        <f>E1774</f>
        <v>50</v>
      </c>
      <c r="F1773" s="24">
        <f>F1774</f>
        <v>0</v>
      </c>
      <c r="G1773" s="24">
        <f t="shared" si="440"/>
        <v>50</v>
      </c>
      <c r="H1773" s="24">
        <f>H1774</f>
        <v>0</v>
      </c>
      <c r="I1773" s="24">
        <f t="shared" si="435"/>
        <v>50</v>
      </c>
      <c r="J1773" s="24">
        <f>J1774</f>
        <v>0</v>
      </c>
      <c r="K1773" s="24">
        <f t="shared" si="436"/>
        <v>50</v>
      </c>
      <c r="L1773" s="24">
        <f>L1774</f>
        <v>0</v>
      </c>
      <c r="M1773" s="24">
        <f t="shared" si="437"/>
        <v>50</v>
      </c>
      <c r="N1773" s="24">
        <f>N1774</f>
        <v>0</v>
      </c>
      <c r="O1773" s="24">
        <f t="shared" si="438"/>
        <v>50</v>
      </c>
      <c r="P1773" s="24">
        <f>P1774</f>
        <v>0</v>
      </c>
      <c r="Q1773" s="24">
        <f t="shared" si="452"/>
        <v>50</v>
      </c>
      <c r="R1773" s="24">
        <f>R1774</f>
        <v>0</v>
      </c>
      <c r="S1773" s="24">
        <f t="shared" si="447"/>
        <v>50</v>
      </c>
      <c r="T1773" s="24">
        <f>T1774</f>
        <v>0</v>
      </c>
      <c r="U1773" s="24">
        <f t="shared" si="448"/>
        <v>50</v>
      </c>
      <c r="V1773" s="24">
        <f>V1774</f>
        <v>0</v>
      </c>
      <c r="W1773" s="24">
        <f t="shared" si="442"/>
        <v>50</v>
      </c>
      <c r="X1773" s="24">
        <f>X1774</f>
        <v>0</v>
      </c>
      <c r="Y1773" s="24">
        <f t="shared" si="443"/>
        <v>50</v>
      </c>
      <c r="Z1773" s="189"/>
    </row>
    <row r="1774" spans="1:27" s="6" customFormat="1" ht="24.75" x14ac:dyDescent="0.25">
      <c r="A1774" s="22" t="s">
        <v>412</v>
      </c>
      <c r="B1774" s="23" t="s">
        <v>499</v>
      </c>
      <c r="C1774" s="23" t="s">
        <v>413</v>
      </c>
      <c r="D1774" s="23" t="s">
        <v>2</v>
      </c>
      <c r="E1774" s="24">
        <f>E1775</f>
        <v>50</v>
      </c>
      <c r="F1774" s="24">
        <f>F1775</f>
        <v>0</v>
      </c>
      <c r="G1774" s="24">
        <f t="shared" si="440"/>
        <v>50</v>
      </c>
      <c r="H1774" s="24">
        <f>H1775</f>
        <v>0</v>
      </c>
      <c r="I1774" s="24">
        <f t="shared" si="435"/>
        <v>50</v>
      </c>
      <c r="J1774" s="24">
        <f>J1775</f>
        <v>0</v>
      </c>
      <c r="K1774" s="24">
        <f t="shared" si="436"/>
        <v>50</v>
      </c>
      <c r="L1774" s="24">
        <f>L1775</f>
        <v>0</v>
      </c>
      <c r="M1774" s="24">
        <f t="shared" si="437"/>
        <v>50</v>
      </c>
      <c r="N1774" s="24">
        <f>N1775</f>
        <v>0</v>
      </c>
      <c r="O1774" s="24">
        <f t="shared" si="438"/>
        <v>50</v>
      </c>
      <c r="P1774" s="24">
        <f>P1775</f>
        <v>0</v>
      </c>
      <c r="Q1774" s="24">
        <f t="shared" si="452"/>
        <v>50</v>
      </c>
      <c r="R1774" s="24">
        <f>R1775</f>
        <v>0</v>
      </c>
      <c r="S1774" s="24">
        <f t="shared" si="447"/>
        <v>50</v>
      </c>
      <c r="T1774" s="24">
        <f>T1775</f>
        <v>0</v>
      </c>
      <c r="U1774" s="24">
        <f t="shared" si="448"/>
        <v>50</v>
      </c>
      <c r="V1774" s="24">
        <f>V1775</f>
        <v>0</v>
      </c>
      <c r="W1774" s="24">
        <f t="shared" si="442"/>
        <v>50</v>
      </c>
      <c r="X1774" s="24">
        <f>X1775</f>
        <v>0</v>
      </c>
      <c r="Y1774" s="24">
        <f t="shared" si="443"/>
        <v>50</v>
      </c>
      <c r="Z1774" s="189"/>
    </row>
    <row r="1775" spans="1:27" x14ac:dyDescent="0.25">
      <c r="A1775" s="25" t="s">
        <v>66</v>
      </c>
      <c r="B1775" s="26" t="s">
        <v>499</v>
      </c>
      <c r="C1775" s="26" t="s">
        <v>413</v>
      </c>
      <c r="D1775" s="26" t="s">
        <v>42</v>
      </c>
      <c r="E1775" s="27">
        <v>50</v>
      </c>
      <c r="F1775" s="27"/>
      <c r="G1775" s="24">
        <f t="shared" si="440"/>
        <v>50</v>
      </c>
      <c r="H1775" s="27"/>
      <c r="I1775" s="24">
        <f t="shared" ref="I1775:I1867" si="453">G1775+H1775</f>
        <v>50</v>
      </c>
      <c r="J1775" s="27"/>
      <c r="K1775" s="24">
        <f t="shared" ref="K1775:K1867" si="454">I1775+J1775</f>
        <v>50</v>
      </c>
      <c r="L1775" s="27"/>
      <c r="M1775" s="24">
        <f t="shared" ref="M1775:M1867" si="455">K1775+L1775</f>
        <v>50</v>
      </c>
      <c r="N1775" s="27"/>
      <c r="O1775" s="24">
        <f t="shared" ref="O1775:O1867" si="456">M1775+N1775</f>
        <v>50</v>
      </c>
      <c r="P1775" s="27"/>
      <c r="Q1775" s="24">
        <f t="shared" si="452"/>
        <v>50</v>
      </c>
      <c r="R1775" s="27"/>
      <c r="S1775" s="24">
        <f t="shared" si="447"/>
        <v>50</v>
      </c>
      <c r="T1775" s="69"/>
      <c r="U1775" s="24">
        <f t="shared" si="448"/>
        <v>50</v>
      </c>
      <c r="V1775" s="69"/>
      <c r="W1775" s="24">
        <f t="shared" si="442"/>
        <v>50</v>
      </c>
      <c r="X1775" s="69"/>
      <c r="Y1775" s="24">
        <f t="shared" si="443"/>
        <v>50</v>
      </c>
      <c r="AA1775" s="189">
        <f>Y1775+Z1775</f>
        <v>50</v>
      </c>
    </row>
    <row r="1776" spans="1:27" s="6" customFormat="1" x14ac:dyDescent="0.25">
      <c r="A1776" s="22" t="s">
        <v>29</v>
      </c>
      <c r="B1776" s="23" t="s">
        <v>499</v>
      </c>
      <c r="C1776" s="23" t="s">
        <v>30</v>
      </c>
      <c r="D1776" s="23" t="s">
        <v>2</v>
      </c>
      <c r="E1776" s="24">
        <f>E1777+E1782</f>
        <v>367.5</v>
      </c>
      <c r="F1776" s="24">
        <f>F1777+F1782+F1779</f>
        <v>7289.4</v>
      </c>
      <c r="G1776" s="24">
        <f t="shared" si="440"/>
        <v>7656.9</v>
      </c>
      <c r="H1776" s="24">
        <f>H1777+H1782+H1779</f>
        <v>46737.7</v>
      </c>
      <c r="I1776" s="24">
        <f t="shared" si="453"/>
        <v>54394.6</v>
      </c>
      <c r="J1776" s="24">
        <f>J1777+J1782+J1779</f>
        <v>2357.6</v>
      </c>
      <c r="K1776" s="24">
        <f t="shared" si="454"/>
        <v>56752.2</v>
      </c>
      <c r="L1776" s="24">
        <f>L1777+L1782+L1779</f>
        <v>-54052.999999999993</v>
      </c>
      <c r="M1776" s="24">
        <f t="shared" si="455"/>
        <v>2699.2000000000044</v>
      </c>
      <c r="N1776" s="24">
        <f>N1777+N1782+N1779</f>
        <v>0</v>
      </c>
      <c r="O1776" s="24">
        <f t="shared" si="456"/>
        <v>2699.2000000000044</v>
      </c>
      <c r="P1776" s="24">
        <f>P1777+P1782+P1779</f>
        <v>0</v>
      </c>
      <c r="Q1776" s="24">
        <f t="shared" si="452"/>
        <v>2699.2000000000044</v>
      </c>
      <c r="R1776" s="24">
        <f>R1777+R1782+R1779</f>
        <v>0</v>
      </c>
      <c r="S1776" s="24">
        <f t="shared" si="447"/>
        <v>2699.2000000000044</v>
      </c>
      <c r="T1776" s="24">
        <f>T1777+T1782+T1779</f>
        <v>0</v>
      </c>
      <c r="U1776" s="24">
        <f t="shared" si="448"/>
        <v>2699.2000000000044</v>
      </c>
      <c r="V1776" s="24">
        <f>V1777+V1782+V1779</f>
        <v>0</v>
      </c>
      <c r="W1776" s="24">
        <f t="shared" si="442"/>
        <v>2699.2000000000044</v>
      </c>
      <c r="X1776" s="24">
        <f>X1777+X1782+X1779</f>
        <v>0</v>
      </c>
      <c r="Y1776" s="24">
        <f t="shared" si="443"/>
        <v>2699.2000000000044</v>
      </c>
      <c r="Z1776" s="189"/>
    </row>
    <row r="1777" spans="1:27" s="6" customFormat="1" ht="24.75" x14ac:dyDescent="0.25">
      <c r="A1777" s="22" t="s">
        <v>412</v>
      </c>
      <c r="B1777" s="23" t="s">
        <v>499</v>
      </c>
      <c r="C1777" s="23" t="s">
        <v>509</v>
      </c>
      <c r="D1777" s="23" t="s">
        <v>2</v>
      </c>
      <c r="E1777" s="24">
        <f>E1778</f>
        <v>343.7</v>
      </c>
      <c r="F1777" s="24">
        <f>F1778</f>
        <v>0</v>
      </c>
      <c r="G1777" s="24">
        <f t="shared" si="440"/>
        <v>343.7</v>
      </c>
      <c r="H1777" s="24">
        <f>H1778</f>
        <v>0</v>
      </c>
      <c r="I1777" s="24">
        <f t="shared" si="453"/>
        <v>343.7</v>
      </c>
      <c r="J1777" s="24">
        <f>J1778</f>
        <v>0</v>
      </c>
      <c r="K1777" s="24">
        <f t="shared" si="454"/>
        <v>343.7</v>
      </c>
      <c r="L1777" s="24">
        <f>L1778</f>
        <v>-43.7</v>
      </c>
      <c r="M1777" s="24">
        <f t="shared" si="455"/>
        <v>300</v>
      </c>
      <c r="N1777" s="24">
        <f>N1778</f>
        <v>0</v>
      </c>
      <c r="O1777" s="24">
        <f t="shared" si="456"/>
        <v>300</v>
      </c>
      <c r="P1777" s="24">
        <f>P1778</f>
        <v>0</v>
      </c>
      <c r="Q1777" s="24">
        <f t="shared" si="452"/>
        <v>300</v>
      </c>
      <c r="R1777" s="24">
        <f>R1778</f>
        <v>0</v>
      </c>
      <c r="S1777" s="24">
        <f t="shared" si="447"/>
        <v>300</v>
      </c>
      <c r="T1777" s="24">
        <f>T1778</f>
        <v>0</v>
      </c>
      <c r="U1777" s="24">
        <f t="shared" si="448"/>
        <v>300</v>
      </c>
      <c r="V1777" s="24">
        <f>V1778</f>
        <v>0</v>
      </c>
      <c r="W1777" s="24">
        <f t="shared" si="442"/>
        <v>300</v>
      </c>
      <c r="X1777" s="24">
        <f>X1778</f>
        <v>0</v>
      </c>
      <c r="Y1777" s="24">
        <f t="shared" si="443"/>
        <v>300</v>
      </c>
      <c r="Z1777" s="189"/>
    </row>
    <row r="1778" spans="1:27" x14ac:dyDescent="0.25">
      <c r="A1778" s="25" t="s">
        <v>569</v>
      </c>
      <c r="B1778" s="26" t="s">
        <v>499</v>
      </c>
      <c r="C1778" s="26" t="s">
        <v>509</v>
      </c>
      <c r="D1778" s="26" t="s">
        <v>510</v>
      </c>
      <c r="E1778" s="27">
        <v>343.7</v>
      </c>
      <c r="F1778" s="27"/>
      <c r="G1778" s="24">
        <f t="shared" si="440"/>
        <v>343.7</v>
      </c>
      <c r="H1778" s="27"/>
      <c r="I1778" s="24">
        <f t="shared" si="453"/>
        <v>343.7</v>
      </c>
      <c r="J1778" s="27"/>
      <c r="K1778" s="24">
        <f t="shared" si="454"/>
        <v>343.7</v>
      </c>
      <c r="L1778" s="107">
        <v>-43.7</v>
      </c>
      <c r="M1778" s="24">
        <f t="shared" si="455"/>
        <v>300</v>
      </c>
      <c r="N1778" s="69"/>
      <c r="O1778" s="24">
        <f t="shared" si="456"/>
        <v>300</v>
      </c>
      <c r="P1778" s="69"/>
      <c r="Q1778" s="24">
        <f t="shared" si="452"/>
        <v>300</v>
      </c>
      <c r="R1778" s="69"/>
      <c r="S1778" s="24">
        <f t="shared" si="447"/>
        <v>300</v>
      </c>
      <c r="T1778" s="69"/>
      <c r="U1778" s="24">
        <f t="shared" si="448"/>
        <v>300</v>
      </c>
      <c r="V1778" s="69"/>
      <c r="W1778" s="24">
        <f t="shared" si="442"/>
        <v>300</v>
      </c>
      <c r="X1778" s="69"/>
      <c r="Y1778" s="24">
        <f t="shared" si="443"/>
        <v>300</v>
      </c>
      <c r="AA1778" s="189">
        <f>Y1778+Z1778</f>
        <v>300</v>
      </c>
    </row>
    <row r="1779" spans="1:27" ht="24.75" x14ac:dyDescent="0.25">
      <c r="A1779" s="40" t="s">
        <v>270</v>
      </c>
      <c r="B1779" s="23" t="s">
        <v>499</v>
      </c>
      <c r="C1779" s="41" t="s">
        <v>656</v>
      </c>
      <c r="D1779" s="41" t="s">
        <v>2</v>
      </c>
      <c r="E1779" s="27"/>
      <c r="F1779" s="24">
        <f>F1780</f>
        <v>7289.4</v>
      </c>
      <c r="G1779" s="24">
        <f t="shared" si="440"/>
        <v>7289.4</v>
      </c>
      <c r="H1779" s="24">
        <f>H1780</f>
        <v>46737.7</v>
      </c>
      <c r="I1779" s="24">
        <f t="shared" si="453"/>
        <v>54027.1</v>
      </c>
      <c r="J1779" s="24">
        <f>J1780+J1781</f>
        <v>0</v>
      </c>
      <c r="K1779" s="24">
        <f t="shared" si="454"/>
        <v>54027.1</v>
      </c>
      <c r="L1779" s="47">
        <f>L1780+L1781</f>
        <v>-54009.299999999996</v>
      </c>
      <c r="M1779" s="24">
        <f t="shared" si="455"/>
        <v>17.80000000000291</v>
      </c>
      <c r="N1779" s="47">
        <f>N1780+N1781</f>
        <v>0</v>
      </c>
      <c r="O1779" s="24">
        <f t="shared" si="456"/>
        <v>17.80000000000291</v>
      </c>
      <c r="P1779" s="47">
        <f>P1780+P1781</f>
        <v>0</v>
      </c>
      <c r="Q1779" s="24">
        <f t="shared" si="452"/>
        <v>17.80000000000291</v>
      </c>
      <c r="R1779" s="47">
        <f>R1780+R1781</f>
        <v>0</v>
      </c>
      <c r="S1779" s="24">
        <f t="shared" si="447"/>
        <v>17.80000000000291</v>
      </c>
      <c r="T1779" s="47">
        <f>T1780+T1781</f>
        <v>0</v>
      </c>
      <c r="U1779" s="24">
        <f t="shared" si="448"/>
        <v>17.80000000000291</v>
      </c>
      <c r="V1779" s="47">
        <f>V1780+V1781</f>
        <v>0</v>
      </c>
      <c r="W1779" s="24">
        <f t="shared" si="442"/>
        <v>17.80000000000291</v>
      </c>
      <c r="X1779" s="47">
        <f>X1780+X1781</f>
        <v>0</v>
      </c>
      <c r="Y1779" s="24">
        <f t="shared" si="443"/>
        <v>17.80000000000291</v>
      </c>
    </row>
    <row r="1780" spans="1:27" x14ac:dyDescent="0.25">
      <c r="A1780" s="30" t="s">
        <v>66</v>
      </c>
      <c r="B1780" s="26" t="s">
        <v>499</v>
      </c>
      <c r="C1780" s="42" t="s">
        <v>656</v>
      </c>
      <c r="D1780" s="42" t="s">
        <v>42</v>
      </c>
      <c r="E1780" s="27"/>
      <c r="F1780" s="39">
        <v>7289.4</v>
      </c>
      <c r="G1780" s="24">
        <f t="shared" ref="G1780" si="457">E1780+F1780</f>
        <v>7289.4</v>
      </c>
      <c r="H1780" s="39">
        <f>39000+7737.7</f>
        <v>46737.7</v>
      </c>
      <c r="I1780" s="24">
        <f t="shared" si="453"/>
        <v>54027.1</v>
      </c>
      <c r="J1780" s="63">
        <v>-54009.3</v>
      </c>
      <c r="K1780" s="24">
        <f t="shared" si="454"/>
        <v>17.799999999995634</v>
      </c>
      <c r="L1780" s="69"/>
      <c r="M1780" s="24">
        <f t="shared" si="455"/>
        <v>17.799999999995634</v>
      </c>
      <c r="N1780" s="69"/>
      <c r="O1780" s="24">
        <f t="shared" si="456"/>
        <v>17.799999999995634</v>
      </c>
      <c r="P1780" s="69"/>
      <c r="Q1780" s="24">
        <f t="shared" si="452"/>
        <v>17.799999999995634</v>
      </c>
      <c r="R1780" s="69"/>
      <c r="S1780" s="24">
        <f t="shared" si="447"/>
        <v>17.799999999995634</v>
      </c>
      <c r="T1780" s="69"/>
      <c r="U1780" s="24">
        <f t="shared" si="448"/>
        <v>17.799999999995634</v>
      </c>
      <c r="V1780" s="69"/>
      <c r="W1780" s="24">
        <f t="shared" si="442"/>
        <v>17.799999999995634</v>
      </c>
      <c r="X1780" s="69"/>
      <c r="Y1780" s="24">
        <f t="shared" si="443"/>
        <v>17.799999999995634</v>
      </c>
      <c r="AA1780" s="189">
        <f t="shared" ref="AA1780:AA1781" si="458">Y1780+Z1780</f>
        <v>17.799999999995634</v>
      </c>
    </row>
    <row r="1781" spans="1:27" ht="24.75" hidden="1" x14ac:dyDescent="0.25">
      <c r="A1781" s="17" t="s">
        <v>572</v>
      </c>
      <c r="B1781" s="21" t="s">
        <v>499</v>
      </c>
      <c r="C1781" s="42" t="s">
        <v>656</v>
      </c>
      <c r="D1781" s="42" t="s">
        <v>241</v>
      </c>
      <c r="E1781" s="27"/>
      <c r="F1781" s="39"/>
      <c r="G1781" s="24"/>
      <c r="H1781" s="39"/>
      <c r="I1781" s="24"/>
      <c r="J1781" s="63">
        <v>54009.3</v>
      </c>
      <c r="K1781" s="24">
        <f t="shared" si="454"/>
        <v>54009.3</v>
      </c>
      <c r="L1781" s="96">
        <f>-41149.9-5121.7-7737.7</f>
        <v>-54009.299999999996</v>
      </c>
      <c r="M1781" s="24">
        <f t="shared" si="455"/>
        <v>0</v>
      </c>
      <c r="N1781" s="69"/>
      <c r="O1781" s="24">
        <f t="shared" si="456"/>
        <v>0</v>
      </c>
      <c r="P1781" s="69"/>
      <c r="Q1781" s="24">
        <f t="shared" si="452"/>
        <v>0</v>
      </c>
      <c r="R1781" s="69"/>
      <c r="S1781" s="24">
        <f t="shared" si="447"/>
        <v>0</v>
      </c>
      <c r="T1781" s="69"/>
      <c r="U1781" s="24">
        <f t="shared" si="448"/>
        <v>0</v>
      </c>
      <c r="V1781" s="69"/>
      <c r="W1781" s="24">
        <f t="shared" si="442"/>
        <v>0</v>
      </c>
      <c r="X1781" s="69"/>
      <c r="Y1781" s="24">
        <f t="shared" si="443"/>
        <v>0</v>
      </c>
      <c r="AA1781" s="189">
        <f t="shared" si="458"/>
        <v>0</v>
      </c>
    </row>
    <row r="1782" spans="1:27" s="6" customFormat="1" ht="16.5" customHeight="1" x14ac:dyDescent="0.25">
      <c r="A1782" s="22" t="s">
        <v>511</v>
      </c>
      <c r="B1782" s="23" t="s">
        <v>499</v>
      </c>
      <c r="C1782" s="23" t="s">
        <v>512</v>
      </c>
      <c r="D1782" s="23" t="s">
        <v>2</v>
      </c>
      <c r="E1782" s="24">
        <f>E1784</f>
        <v>23.8</v>
      </c>
      <c r="F1782" s="24">
        <f>F1784</f>
        <v>0</v>
      </c>
      <c r="G1782" s="24">
        <f t="shared" ref="G1782:G1868" si="459">E1782+F1782</f>
        <v>23.8</v>
      </c>
      <c r="H1782" s="24">
        <f>H1784</f>
        <v>0</v>
      </c>
      <c r="I1782" s="24">
        <f t="shared" si="453"/>
        <v>23.8</v>
      </c>
      <c r="J1782" s="24">
        <f>J1784+J1783</f>
        <v>2357.6</v>
      </c>
      <c r="K1782" s="24">
        <f t="shared" si="454"/>
        <v>2381.4</v>
      </c>
      <c r="L1782" s="47">
        <f>L1784+L1783</f>
        <v>0</v>
      </c>
      <c r="M1782" s="24">
        <f t="shared" si="455"/>
        <v>2381.4</v>
      </c>
      <c r="N1782" s="47">
        <f>N1784+N1783</f>
        <v>0</v>
      </c>
      <c r="O1782" s="24">
        <f t="shared" si="456"/>
        <v>2381.4</v>
      </c>
      <c r="P1782" s="47">
        <f>P1784+P1783</f>
        <v>0</v>
      </c>
      <c r="Q1782" s="24">
        <f t="shared" si="452"/>
        <v>2381.4</v>
      </c>
      <c r="R1782" s="47">
        <f>R1784+R1783</f>
        <v>0</v>
      </c>
      <c r="S1782" s="24">
        <f t="shared" si="447"/>
        <v>2381.4</v>
      </c>
      <c r="T1782" s="47">
        <f>T1784+T1783</f>
        <v>0</v>
      </c>
      <c r="U1782" s="24">
        <f t="shared" si="448"/>
        <v>2381.4</v>
      </c>
      <c r="V1782" s="47">
        <f>V1784+V1783</f>
        <v>0</v>
      </c>
      <c r="W1782" s="24">
        <f t="shared" si="442"/>
        <v>2381.4</v>
      </c>
      <c r="X1782" s="47">
        <f>X1784+X1783</f>
        <v>0</v>
      </c>
      <c r="Y1782" s="24">
        <f t="shared" si="443"/>
        <v>2381.4</v>
      </c>
      <c r="Z1782" s="189"/>
    </row>
    <row r="1783" spans="1:27" s="6" customFormat="1" ht="16.5" customHeight="1" x14ac:dyDescent="0.25">
      <c r="A1783" s="25" t="s">
        <v>569</v>
      </c>
      <c r="B1783" s="26" t="s">
        <v>499</v>
      </c>
      <c r="C1783" s="26" t="s">
        <v>512</v>
      </c>
      <c r="D1783" s="26" t="s">
        <v>510</v>
      </c>
      <c r="E1783" s="24"/>
      <c r="F1783" s="24"/>
      <c r="G1783" s="24"/>
      <c r="H1783" s="24"/>
      <c r="I1783" s="24"/>
      <c r="J1783" s="43">
        <v>2357.6</v>
      </c>
      <c r="K1783" s="24">
        <f t="shared" si="454"/>
        <v>2357.6</v>
      </c>
      <c r="L1783" s="69"/>
      <c r="M1783" s="24">
        <f t="shared" si="455"/>
        <v>2357.6</v>
      </c>
      <c r="N1783" s="69"/>
      <c r="O1783" s="24">
        <f t="shared" si="456"/>
        <v>2357.6</v>
      </c>
      <c r="P1783" s="69"/>
      <c r="Q1783" s="24">
        <f t="shared" si="452"/>
        <v>2357.6</v>
      </c>
      <c r="R1783" s="69"/>
      <c r="S1783" s="24">
        <f t="shared" si="447"/>
        <v>2357.6</v>
      </c>
      <c r="T1783" s="69"/>
      <c r="U1783" s="24">
        <f t="shared" si="448"/>
        <v>2357.6</v>
      </c>
      <c r="V1783" s="69"/>
      <c r="W1783" s="24">
        <f t="shared" si="442"/>
        <v>2357.6</v>
      </c>
      <c r="X1783" s="69"/>
      <c r="Y1783" s="24">
        <f t="shared" si="443"/>
        <v>2357.6</v>
      </c>
      <c r="Z1783" s="189"/>
      <c r="AA1783" s="189">
        <f t="shared" ref="AA1783:AA1784" si="460">Y1783+Z1783</f>
        <v>2357.6</v>
      </c>
    </row>
    <row r="1784" spans="1:27" x14ac:dyDescent="0.25">
      <c r="A1784" s="25" t="s">
        <v>569</v>
      </c>
      <c r="B1784" s="26" t="s">
        <v>499</v>
      </c>
      <c r="C1784" s="26" t="s">
        <v>512</v>
      </c>
      <c r="D1784" s="26" t="s">
        <v>510</v>
      </c>
      <c r="E1784" s="27">
        <v>23.8</v>
      </c>
      <c r="F1784" s="27"/>
      <c r="G1784" s="24">
        <f t="shared" si="459"/>
        <v>23.8</v>
      </c>
      <c r="H1784" s="27"/>
      <c r="I1784" s="87">
        <f t="shared" si="453"/>
        <v>23.8</v>
      </c>
      <c r="J1784" s="27"/>
      <c r="K1784" s="24">
        <f t="shared" si="454"/>
        <v>23.8</v>
      </c>
      <c r="L1784" s="69"/>
      <c r="M1784" s="24">
        <f t="shared" si="455"/>
        <v>23.8</v>
      </c>
      <c r="N1784" s="69"/>
      <c r="O1784" s="24">
        <f t="shared" si="456"/>
        <v>23.8</v>
      </c>
      <c r="P1784" s="69"/>
      <c r="Q1784" s="24">
        <f t="shared" si="452"/>
        <v>23.8</v>
      </c>
      <c r="R1784" s="69"/>
      <c r="S1784" s="24">
        <f t="shared" si="447"/>
        <v>23.8</v>
      </c>
      <c r="T1784" s="69"/>
      <c r="U1784" s="24">
        <f t="shared" si="448"/>
        <v>23.8</v>
      </c>
      <c r="V1784" s="69"/>
      <c r="W1784" s="24">
        <f t="shared" si="442"/>
        <v>23.8</v>
      </c>
      <c r="X1784" s="69"/>
      <c r="Y1784" s="24">
        <f t="shared" si="443"/>
        <v>23.8</v>
      </c>
      <c r="AA1784" s="189">
        <f t="shared" si="460"/>
        <v>23.8</v>
      </c>
    </row>
    <row r="1785" spans="1:27" ht="24.75" x14ac:dyDescent="0.25">
      <c r="A1785" s="28" t="s">
        <v>792</v>
      </c>
      <c r="B1785" s="20" t="s">
        <v>499</v>
      </c>
      <c r="C1785" s="55" t="s">
        <v>60</v>
      </c>
      <c r="D1785" s="42"/>
      <c r="E1785" s="27"/>
      <c r="F1785" s="27"/>
      <c r="G1785" s="24"/>
      <c r="H1785" s="27"/>
      <c r="I1785" s="47"/>
      <c r="J1785" s="18">
        <f>J1786</f>
        <v>34.5</v>
      </c>
      <c r="K1785" s="24">
        <f t="shared" si="454"/>
        <v>34.5</v>
      </c>
      <c r="L1785" s="47">
        <f>L1786</f>
        <v>57.5</v>
      </c>
      <c r="M1785" s="24">
        <f t="shared" si="455"/>
        <v>92</v>
      </c>
      <c r="N1785" s="47">
        <f>N1786</f>
        <v>0</v>
      </c>
      <c r="O1785" s="24">
        <f t="shared" si="456"/>
        <v>92</v>
      </c>
      <c r="P1785" s="47">
        <f>P1786</f>
        <v>0</v>
      </c>
      <c r="Q1785" s="24">
        <f t="shared" si="452"/>
        <v>92</v>
      </c>
      <c r="R1785" s="47">
        <f>R1786</f>
        <v>17.2</v>
      </c>
      <c r="S1785" s="24">
        <f t="shared" si="447"/>
        <v>109.2</v>
      </c>
      <c r="T1785" s="47">
        <f>T1786</f>
        <v>52.9</v>
      </c>
      <c r="U1785" s="24">
        <f t="shared" si="448"/>
        <v>162.1</v>
      </c>
      <c r="V1785" s="47">
        <f>V1786</f>
        <v>34.5</v>
      </c>
      <c r="W1785" s="24">
        <f t="shared" si="442"/>
        <v>196.6</v>
      </c>
      <c r="X1785" s="47">
        <f>X1786</f>
        <v>0</v>
      </c>
      <c r="Y1785" s="24">
        <f t="shared" si="443"/>
        <v>196.6</v>
      </c>
    </row>
    <row r="1786" spans="1:27" x14ac:dyDescent="0.25">
      <c r="A1786" s="45" t="s">
        <v>69</v>
      </c>
      <c r="B1786" s="20" t="s">
        <v>499</v>
      </c>
      <c r="C1786" s="48" t="s">
        <v>70</v>
      </c>
      <c r="D1786" s="42"/>
      <c r="E1786" s="27"/>
      <c r="F1786" s="27"/>
      <c r="G1786" s="24"/>
      <c r="H1786" s="27"/>
      <c r="I1786" s="47"/>
      <c r="J1786" s="18">
        <f>J1787</f>
        <v>34.5</v>
      </c>
      <c r="K1786" s="24">
        <f t="shared" si="454"/>
        <v>34.5</v>
      </c>
      <c r="L1786" s="47">
        <f>L1787</f>
        <v>57.5</v>
      </c>
      <c r="M1786" s="24">
        <f t="shared" si="455"/>
        <v>92</v>
      </c>
      <c r="N1786" s="47">
        <f>N1787</f>
        <v>0</v>
      </c>
      <c r="O1786" s="24">
        <f t="shared" si="456"/>
        <v>92</v>
      </c>
      <c r="P1786" s="47">
        <f>P1787</f>
        <v>0</v>
      </c>
      <c r="Q1786" s="24">
        <f t="shared" si="452"/>
        <v>92</v>
      </c>
      <c r="R1786" s="47">
        <f>R1787</f>
        <v>17.2</v>
      </c>
      <c r="S1786" s="24">
        <f t="shared" si="447"/>
        <v>109.2</v>
      </c>
      <c r="T1786" s="47">
        <f>T1787</f>
        <v>52.9</v>
      </c>
      <c r="U1786" s="24">
        <f t="shared" si="448"/>
        <v>162.1</v>
      </c>
      <c r="V1786" s="47">
        <f>V1787</f>
        <v>34.5</v>
      </c>
      <c r="W1786" s="24">
        <f t="shared" si="442"/>
        <v>196.6</v>
      </c>
      <c r="X1786" s="47">
        <f>X1787</f>
        <v>0</v>
      </c>
      <c r="Y1786" s="24">
        <f t="shared" si="443"/>
        <v>196.6</v>
      </c>
    </row>
    <row r="1787" spans="1:27" x14ac:dyDescent="0.25">
      <c r="A1787" s="45" t="s">
        <v>67</v>
      </c>
      <c r="B1787" s="20" t="s">
        <v>499</v>
      </c>
      <c r="C1787" s="48" t="s">
        <v>71</v>
      </c>
      <c r="D1787" s="42"/>
      <c r="E1787" s="27"/>
      <c r="F1787" s="27"/>
      <c r="G1787" s="24"/>
      <c r="H1787" s="27"/>
      <c r="I1787" s="47"/>
      <c r="J1787" s="18">
        <f>J1788</f>
        <v>34.5</v>
      </c>
      <c r="K1787" s="24">
        <f t="shared" si="454"/>
        <v>34.5</v>
      </c>
      <c r="L1787" s="47">
        <f>L1788</f>
        <v>57.5</v>
      </c>
      <c r="M1787" s="24">
        <f t="shared" si="455"/>
        <v>92</v>
      </c>
      <c r="N1787" s="47">
        <f>N1788</f>
        <v>0</v>
      </c>
      <c r="O1787" s="24">
        <f t="shared" si="456"/>
        <v>92</v>
      </c>
      <c r="P1787" s="47">
        <f>P1788</f>
        <v>0</v>
      </c>
      <c r="Q1787" s="24">
        <f t="shared" si="452"/>
        <v>92</v>
      </c>
      <c r="R1787" s="47">
        <f>R1788</f>
        <v>17.2</v>
      </c>
      <c r="S1787" s="24">
        <f t="shared" si="447"/>
        <v>109.2</v>
      </c>
      <c r="T1787" s="47">
        <f>T1788</f>
        <v>52.9</v>
      </c>
      <c r="U1787" s="24">
        <f t="shared" si="448"/>
        <v>162.1</v>
      </c>
      <c r="V1787" s="47">
        <f>V1788</f>
        <v>34.5</v>
      </c>
      <c r="W1787" s="24">
        <f t="shared" si="442"/>
        <v>196.6</v>
      </c>
      <c r="X1787" s="47">
        <f>X1788</f>
        <v>0</v>
      </c>
      <c r="Y1787" s="24">
        <f t="shared" si="443"/>
        <v>196.6</v>
      </c>
    </row>
    <row r="1788" spans="1:27" ht="24.75" x14ac:dyDescent="0.25">
      <c r="A1788" s="30" t="s">
        <v>563</v>
      </c>
      <c r="B1788" s="21" t="s">
        <v>499</v>
      </c>
      <c r="C1788" s="65" t="s">
        <v>71</v>
      </c>
      <c r="D1788" s="65" t="s">
        <v>315</v>
      </c>
      <c r="E1788" s="27"/>
      <c r="F1788" s="27"/>
      <c r="G1788" s="24"/>
      <c r="H1788" s="27"/>
      <c r="I1788" s="47"/>
      <c r="J1788" s="63">
        <v>34.5</v>
      </c>
      <c r="K1788" s="24">
        <f t="shared" si="454"/>
        <v>34.5</v>
      </c>
      <c r="L1788" s="107">
        <v>57.5</v>
      </c>
      <c r="M1788" s="24">
        <f t="shared" si="455"/>
        <v>92</v>
      </c>
      <c r="N1788" s="69"/>
      <c r="O1788" s="24">
        <f t="shared" si="456"/>
        <v>92</v>
      </c>
      <c r="P1788" s="69"/>
      <c r="Q1788" s="24">
        <f t="shared" si="452"/>
        <v>92</v>
      </c>
      <c r="R1788" s="39">
        <v>17.2</v>
      </c>
      <c r="S1788" s="24">
        <f t="shared" si="447"/>
        <v>109.2</v>
      </c>
      <c r="T1788" s="63">
        <v>52.9</v>
      </c>
      <c r="U1788" s="24">
        <f t="shared" si="448"/>
        <v>162.1</v>
      </c>
      <c r="V1788" s="94">
        <v>34.5</v>
      </c>
      <c r="W1788" s="24">
        <f t="shared" si="442"/>
        <v>196.6</v>
      </c>
      <c r="X1788" s="69"/>
      <c r="Y1788" s="24">
        <f t="shared" si="443"/>
        <v>196.6</v>
      </c>
      <c r="AA1788" s="189">
        <f>Y1788+Z1788</f>
        <v>196.6</v>
      </c>
    </row>
    <row r="1789" spans="1:27" ht="24.75" x14ac:dyDescent="0.25">
      <c r="A1789" s="16" t="s">
        <v>597</v>
      </c>
      <c r="B1789" s="20" t="s">
        <v>499</v>
      </c>
      <c r="C1789" s="41" t="s">
        <v>212</v>
      </c>
      <c r="D1789" s="42"/>
      <c r="E1789" s="27"/>
      <c r="F1789" s="27"/>
      <c r="G1789" s="24"/>
      <c r="H1789" s="27"/>
      <c r="I1789" s="47"/>
      <c r="J1789" s="63"/>
      <c r="K1789" s="24"/>
      <c r="L1789" s="107"/>
      <c r="M1789" s="24"/>
      <c r="N1789" s="69"/>
      <c r="O1789" s="24"/>
      <c r="P1789" s="69"/>
      <c r="Q1789" s="24"/>
      <c r="R1789" s="39"/>
      <c r="S1789" s="24"/>
      <c r="T1789" s="47">
        <f>T1790</f>
        <v>1961.1000000000001</v>
      </c>
      <c r="U1789" s="24">
        <f t="shared" si="448"/>
        <v>1961.1000000000001</v>
      </c>
      <c r="V1789" s="47">
        <f>V1790</f>
        <v>0</v>
      </c>
      <c r="W1789" s="24">
        <f t="shared" si="442"/>
        <v>1961.1000000000001</v>
      </c>
      <c r="X1789" s="47">
        <f>X1790</f>
        <v>0</v>
      </c>
      <c r="Y1789" s="24">
        <f t="shared" si="443"/>
        <v>1961.1000000000001</v>
      </c>
    </row>
    <row r="1790" spans="1:27" x14ac:dyDescent="0.25">
      <c r="A1790" s="22" t="s">
        <v>213</v>
      </c>
      <c r="B1790" s="20" t="s">
        <v>499</v>
      </c>
      <c r="C1790" s="41" t="s">
        <v>214</v>
      </c>
      <c r="D1790" s="42"/>
      <c r="E1790" s="27"/>
      <c r="F1790" s="27"/>
      <c r="G1790" s="24"/>
      <c r="H1790" s="27"/>
      <c r="I1790" s="47"/>
      <c r="J1790" s="63"/>
      <c r="K1790" s="24"/>
      <c r="L1790" s="107"/>
      <c r="M1790" s="24"/>
      <c r="N1790" s="69"/>
      <c r="O1790" s="24"/>
      <c r="P1790" s="69"/>
      <c r="Q1790" s="24"/>
      <c r="R1790" s="39"/>
      <c r="S1790" s="24"/>
      <c r="T1790" s="47">
        <f>T1791</f>
        <v>1961.1000000000001</v>
      </c>
      <c r="U1790" s="24">
        <f t="shared" si="448"/>
        <v>1961.1000000000001</v>
      </c>
      <c r="V1790" s="47">
        <f>V1791</f>
        <v>0</v>
      </c>
      <c r="W1790" s="24">
        <f t="shared" si="442"/>
        <v>1961.1000000000001</v>
      </c>
      <c r="X1790" s="47">
        <f>X1791</f>
        <v>0</v>
      </c>
      <c r="Y1790" s="24">
        <f t="shared" si="443"/>
        <v>1961.1000000000001</v>
      </c>
    </row>
    <row r="1791" spans="1:27" ht="48.75" x14ac:dyDescent="0.25">
      <c r="A1791" s="16" t="s">
        <v>215</v>
      </c>
      <c r="B1791" s="20" t="s">
        <v>499</v>
      </c>
      <c r="C1791" s="41" t="s">
        <v>216</v>
      </c>
      <c r="D1791" s="42"/>
      <c r="E1791" s="27"/>
      <c r="F1791" s="27"/>
      <c r="G1791" s="24"/>
      <c r="H1791" s="27"/>
      <c r="I1791" s="47"/>
      <c r="J1791" s="63"/>
      <c r="K1791" s="24"/>
      <c r="L1791" s="107"/>
      <c r="M1791" s="24"/>
      <c r="N1791" s="69"/>
      <c r="O1791" s="24"/>
      <c r="P1791" s="69"/>
      <c r="Q1791" s="24"/>
      <c r="R1791" s="39"/>
      <c r="S1791" s="24"/>
      <c r="T1791" s="47">
        <f>T1792+T1793</f>
        <v>1961.1000000000001</v>
      </c>
      <c r="U1791" s="24">
        <f t="shared" si="448"/>
        <v>1961.1000000000001</v>
      </c>
      <c r="V1791" s="47">
        <f>V1792+V1793</f>
        <v>0</v>
      </c>
      <c r="W1791" s="24">
        <f t="shared" si="442"/>
        <v>1961.1000000000001</v>
      </c>
      <c r="X1791" s="47">
        <f>X1792+X1793</f>
        <v>0</v>
      </c>
      <c r="Y1791" s="24">
        <f t="shared" si="443"/>
        <v>1961.1000000000001</v>
      </c>
    </row>
    <row r="1792" spans="1:27" x14ac:dyDescent="0.25">
      <c r="A1792" s="62" t="s">
        <v>66</v>
      </c>
      <c r="B1792" s="56" t="s">
        <v>499</v>
      </c>
      <c r="C1792" s="42" t="s">
        <v>216</v>
      </c>
      <c r="D1792" s="42" t="s">
        <v>42</v>
      </c>
      <c r="E1792" s="27"/>
      <c r="F1792" s="27"/>
      <c r="G1792" s="24"/>
      <c r="H1792" s="27"/>
      <c r="I1792" s="47"/>
      <c r="J1792" s="63"/>
      <c r="K1792" s="24"/>
      <c r="L1792" s="107"/>
      <c r="M1792" s="24"/>
      <c r="N1792" s="69"/>
      <c r="O1792" s="24"/>
      <c r="P1792" s="69"/>
      <c r="Q1792" s="24"/>
      <c r="R1792" s="39"/>
      <c r="S1792" s="24"/>
      <c r="T1792" s="125">
        <v>0.2</v>
      </c>
      <c r="U1792" s="24">
        <f t="shared" si="448"/>
        <v>0.2</v>
      </c>
      <c r="V1792" s="69"/>
      <c r="W1792" s="24">
        <f t="shared" si="442"/>
        <v>0.2</v>
      </c>
      <c r="X1792" s="69"/>
      <c r="Y1792" s="24">
        <f t="shared" si="443"/>
        <v>0.2</v>
      </c>
      <c r="AA1792" s="189">
        <f t="shared" ref="AA1792:AA1793" si="461">Y1792+Z1792</f>
        <v>0.2</v>
      </c>
    </row>
    <row r="1793" spans="1:27" ht="36.75" x14ac:dyDescent="0.25">
      <c r="A1793" s="17" t="s">
        <v>577</v>
      </c>
      <c r="B1793" s="56" t="s">
        <v>499</v>
      </c>
      <c r="C1793" s="42" t="s">
        <v>216</v>
      </c>
      <c r="D1793" s="42" t="s">
        <v>217</v>
      </c>
      <c r="E1793" s="27"/>
      <c r="F1793" s="27"/>
      <c r="G1793" s="24"/>
      <c r="H1793" s="27"/>
      <c r="I1793" s="47"/>
      <c r="J1793" s="63"/>
      <c r="K1793" s="24"/>
      <c r="L1793" s="107"/>
      <c r="M1793" s="24"/>
      <c r="N1793" s="69"/>
      <c r="O1793" s="24"/>
      <c r="P1793" s="69"/>
      <c r="Q1793" s="24"/>
      <c r="R1793" s="39"/>
      <c r="S1793" s="24"/>
      <c r="T1793" s="125">
        <v>1960.9</v>
      </c>
      <c r="U1793" s="24">
        <f t="shared" si="448"/>
        <v>1960.9</v>
      </c>
      <c r="V1793" s="69"/>
      <c r="W1793" s="24">
        <f t="shared" si="442"/>
        <v>1960.9</v>
      </c>
      <c r="X1793" s="69"/>
      <c r="Y1793" s="24">
        <f t="shared" si="443"/>
        <v>1960.9</v>
      </c>
      <c r="AA1793" s="189">
        <f t="shared" si="461"/>
        <v>1960.9</v>
      </c>
    </row>
    <row r="1794" spans="1:27" s="6" customFormat="1" ht="24.75" x14ac:dyDescent="0.25">
      <c r="A1794" s="22" t="s">
        <v>590</v>
      </c>
      <c r="B1794" s="23" t="s">
        <v>499</v>
      </c>
      <c r="C1794" s="23" t="s">
        <v>32</v>
      </c>
      <c r="D1794" s="23" t="s">
        <v>2</v>
      </c>
      <c r="E1794" s="24">
        <f t="shared" ref="E1794:X1797" si="462">E1795</f>
        <v>1050</v>
      </c>
      <c r="F1794" s="24">
        <f t="shared" si="462"/>
        <v>0</v>
      </c>
      <c r="G1794" s="24">
        <f t="shared" si="459"/>
        <v>1050</v>
      </c>
      <c r="H1794" s="24">
        <f t="shared" si="462"/>
        <v>0</v>
      </c>
      <c r="I1794" s="24">
        <f t="shared" si="453"/>
        <v>1050</v>
      </c>
      <c r="J1794" s="24">
        <f t="shared" si="462"/>
        <v>0</v>
      </c>
      <c r="K1794" s="24">
        <f t="shared" si="454"/>
        <v>1050</v>
      </c>
      <c r="L1794" s="47">
        <f t="shared" si="462"/>
        <v>0</v>
      </c>
      <c r="M1794" s="24">
        <f t="shared" si="455"/>
        <v>1050</v>
      </c>
      <c r="N1794" s="47">
        <f t="shared" si="462"/>
        <v>0</v>
      </c>
      <c r="O1794" s="24">
        <f t="shared" si="456"/>
        <v>1050</v>
      </c>
      <c r="P1794" s="47">
        <f t="shared" si="462"/>
        <v>0</v>
      </c>
      <c r="Q1794" s="24">
        <f t="shared" si="452"/>
        <v>1050</v>
      </c>
      <c r="R1794" s="47">
        <f t="shared" si="462"/>
        <v>0</v>
      </c>
      <c r="S1794" s="24">
        <f t="shared" si="447"/>
        <v>1050</v>
      </c>
      <c r="T1794" s="47">
        <f t="shared" si="462"/>
        <v>0</v>
      </c>
      <c r="U1794" s="24">
        <f t="shared" si="448"/>
        <v>1050</v>
      </c>
      <c r="V1794" s="47">
        <f t="shared" si="462"/>
        <v>0</v>
      </c>
      <c r="W1794" s="24">
        <f t="shared" si="442"/>
        <v>1050</v>
      </c>
      <c r="X1794" s="47">
        <f t="shared" si="462"/>
        <v>-37.5</v>
      </c>
      <c r="Y1794" s="24">
        <f t="shared" si="443"/>
        <v>1012.5</v>
      </c>
      <c r="Z1794" s="189"/>
    </row>
    <row r="1795" spans="1:27" s="6" customFormat="1" x14ac:dyDescent="0.25">
      <c r="A1795" s="22" t="s">
        <v>33</v>
      </c>
      <c r="B1795" s="23" t="s">
        <v>499</v>
      </c>
      <c r="C1795" s="23" t="s">
        <v>34</v>
      </c>
      <c r="D1795" s="23" t="s">
        <v>2</v>
      </c>
      <c r="E1795" s="24">
        <f t="shared" si="462"/>
        <v>1050</v>
      </c>
      <c r="F1795" s="24">
        <f t="shared" si="462"/>
        <v>0</v>
      </c>
      <c r="G1795" s="24">
        <f t="shared" si="459"/>
        <v>1050</v>
      </c>
      <c r="H1795" s="24">
        <f t="shared" si="462"/>
        <v>0</v>
      </c>
      <c r="I1795" s="24">
        <f t="shared" si="453"/>
        <v>1050</v>
      </c>
      <c r="J1795" s="24">
        <f t="shared" si="462"/>
        <v>0</v>
      </c>
      <c r="K1795" s="24">
        <f t="shared" si="454"/>
        <v>1050</v>
      </c>
      <c r="L1795" s="24">
        <f t="shared" si="462"/>
        <v>0</v>
      </c>
      <c r="M1795" s="24">
        <f t="shared" si="455"/>
        <v>1050</v>
      </c>
      <c r="N1795" s="24">
        <f t="shared" si="462"/>
        <v>0</v>
      </c>
      <c r="O1795" s="24">
        <f t="shared" si="456"/>
        <v>1050</v>
      </c>
      <c r="P1795" s="24">
        <f t="shared" si="462"/>
        <v>0</v>
      </c>
      <c r="Q1795" s="24">
        <f t="shared" si="452"/>
        <v>1050</v>
      </c>
      <c r="R1795" s="24">
        <f t="shared" si="462"/>
        <v>0</v>
      </c>
      <c r="S1795" s="24">
        <f t="shared" si="447"/>
        <v>1050</v>
      </c>
      <c r="T1795" s="24">
        <f t="shared" si="462"/>
        <v>0</v>
      </c>
      <c r="U1795" s="24">
        <f t="shared" si="448"/>
        <v>1050</v>
      </c>
      <c r="V1795" s="24">
        <f t="shared" si="462"/>
        <v>0</v>
      </c>
      <c r="W1795" s="24">
        <f t="shared" si="442"/>
        <v>1050</v>
      </c>
      <c r="X1795" s="24">
        <f t="shared" si="462"/>
        <v>-37.5</v>
      </c>
      <c r="Y1795" s="24">
        <f t="shared" si="443"/>
        <v>1012.5</v>
      </c>
      <c r="Z1795" s="189"/>
    </row>
    <row r="1796" spans="1:27" s="6" customFormat="1" x14ac:dyDescent="0.25">
      <c r="A1796" s="22" t="s">
        <v>493</v>
      </c>
      <c r="B1796" s="23" t="s">
        <v>499</v>
      </c>
      <c r="C1796" s="23" t="s">
        <v>494</v>
      </c>
      <c r="D1796" s="23" t="s">
        <v>2</v>
      </c>
      <c r="E1796" s="24">
        <f t="shared" si="462"/>
        <v>1050</v>
      </c>
      <c r="F1796" s="24">
        <f t="shared" si="462"/>
        <v>0</v>
      </c>
      <c r="G1796" s="24">
        <f t="shared" si="459"/>
        <v>1050</v>
      </c>
      <c r="H1796" s="24">
        <f t="shared" si="462"/>
        <v>0</v>
      </c>
      <c r="I1796" s="24">
        <f t="shared" si="453"/>
        <v>1050</v>
      </c>
      <c r="J1796" s="24">
        <f t="shared" si="462"/>
        <v>0</v>
      </c>
      <c r="K1796" s="24">
        <f t="shared" si="454"/>
        <v>1050</v>
      </c>
      <c r="L1796" s="24">
        <f t="shared" si="462"/>
        <v>0</v>
      </c>
      <c r="M1796" s="24">
        <f t="shared" si="455"/>
        <v>1050</v>
      </c>
      <c r="N1796" s="24">
        <f t="shared" si="462"/>
        <v>0</v>
      </c>
      <c r="O1796" s="24">
        <f t="shared" si="456"/>
        <v>1050</v>
      </c>
      <c r="P1796" s="24">
        <f t="shared" si="462"/>
        <v>0</v>
      </c>
      <c r="Q1796" s="24">
        <f t="shared" si="452"/>
        <v>1050</v>
      </c>
      <c r="R1796" s="24">
        <f t="shared" si="462"/>
        <v>0</v>
      </c>
      <c r="S1796" s="24">
        <f t="shared" si="447"/>
        <v>1050</v>
      </c>
      <c r="T1796" s="24">
        <f t="shared" si="462"/>
        <v>0</v>
      </c>
      <c r="U1796" s="24">
        <f t="shared" si="448"/>
        <v>1050</v>
      </c>
      <c r="V1796" s="24">
        <f t="shared" si="462"/>
        <v>0</v>
      </c>
      <c r="W1796" s="24">
        <f t="shared" si="442"/>
        <v>1050</v>
      </c>
      <c r="X1796" s="24">
        <f t="shared" si="462"/>
        <v>-37.5</v>
      </c>
      <c r="Y1796" s="24">
        <f t="shared" si="443"/>
        <v>1012.5</v>
      </c>
      <c r="Z1796" s="189"/>
    </row>
    <row r="1797" spans="1:27" s="6" customFormat="1" ht="24.75" x14ac:dyDescent="0.25">
      <c r="A1797" s="22" t="s">
        <v>513</v>
      </c>
      <c r="B1797" s="23" t="s">
        <v>499</v>
      </c>
      <c r="C1797" s="23" t="s">
        <v>514</v>
      </c>
      <c r="D1797" s="23" t="s">
        <v>2</v>
      </c>
      <c r="E1797" s="24">
        <f t="shared" si="462"/>
        <v>1050</v>
      </c>
      <c r="F1797" s="24">
        <f t="shared" si="462"/>
        <v>0</v>
      </c>
      <c r="G1797" s="24">
        <f t="shared" si="459"/>
        <v>1050</v>
      </c>
      <c r="H1797" s="24">
        <f t="shared" si="462"/>
        <v>0</v>
      </c>
      <c r="I1797" s="24">
        <f t="shared" si="453"/>
        <v>1050</v>
      </c>
      <c r="J1797" s="24">
        <f t="shared" si="462"/>
        <v>0</v>
      </c>
      <c r="K1797" s="24">
        <f t="shared" si="454"/>
        <v>1050</v>
      </c>
      <c r="L1797" s="24">
        <f t="shared" si="462"/>
        <v>0</v>
      </c>
      <c r="M1797" s="24">
        <f t="shared" si="455"/>
        <v>1050</v>
      </c>
      <c r="N1797" s="24">
        <f t="shared" si="462"/>
        <v>0</v>
      </c>
      <c r="O1797" s="24">
        <f t="shared" si="456"/>
        <v>1050</v>
      </c>
      <c r="P1797" s="24">
        <f t="shared" si="462"/>
        <v>0</v>
      </c>
      <c r="Q1797" s="24">
        <f t="shared" si="452"/>
        <v>1050</v>
      </c>
      <c r="R1797" s="24">
        <f t="shared" si="462"/>
        <v>0</v>
      </c>
      <c r="S1797" s="24">
        <f t="shared" si="447"/>
        <v>1050</v>
      </c>
      <c r="T1797" s="24">
        <f t="shared" si="462"/>
        <v>0</v>
      </c>
      <c r="U1797" s="24">
        <f t="shared" si="448"/>
        <v>1050</v>
      </c>
      <c r="V1797" s="24">
        <f t="shared" si="462"/>
        <v>0</v>
      </c>
      <c r="W1797" s="24">
        <f t="shared" si="442"/>
        <v>1050</v>
      </c>
      <c r="X1797" s="24">
        <f t="shared" si="462"/>
        <v>-37.5</v>
      </c>
      <c r="Y1797" s="24">
        <f t="shared" si="443"/>
        <v>1012.5</v>
      </c>
      <c r="Z1797" s="189"/>
    </row>
    <row r="1798" spans="1:27" ht="24.75" x14ac:dyDescent="0.25">
      <c r="A1798" s="25" t="s">
        <v>568</v>
      </c>
      <c r="B1798" s="26" t="s">
        <v>499</v>
      </c>
      <c r="C1798" s="26" t="s">
        <v>514</v>
      </c>
      <c r="D1798" s="26" t="s">
        <v>497</v>
      </c>
      <c r="E1798" s="27">
        <v>1050</v>
      </c>
      <c r="F1798" s="27"/>
      <c r="G1798" s="24">
        <f t="shared" si="459"/>
        <v>1050</v>
      </c>
      <c r="H1798" s="27"/>
      <c r="I1798" s="24">
        <f t="shared" si="453"/>
        <v>1050</v>
      </c>
      <c r="J1798" s="27"/>
      <c r="K1798" s="24">
        <f t="shared" si="454"/>
        <v>1050</v>
      </c>
      <c r="L1798" s="27"/>
      <c r="M1798" s="24">
        <f t="shared" si="455"/>
        <v>1050</v>
      </c>
      <c r="N1798" s="27"/>
      <c r="O1798" s="24">
        <f t="shared" si="456"/>
        <v>1050</v>
      </c>
      <c r="P1798" s="27"/>
      <c r="Q1798" s="24">
        <f t="shared" si="452"/>
        <v>1050</v>
      </c>
      <c r="R1798" s="27"/>
      <c r="S1798" s="24">
        <f t="shared" si="447"/>
        <v>1050</v>
      </c>
      <c r="T1798" s="69"/>
      <c r="U1798" s="24">
        <f t="shared" si="448"/>
        <v>1050</v>
      </c>
      <c r="V1798" s="69"/>
      <c r="W1798" s="24">
        <f t="shared" si="442"/>
        <v>1050</v>
      </c>
      <c r="X1798" s="39">
        <f>-42.5+5</f>
        <v>-37.5</v>
      </c>
      <c r="Y1798" s="24">
        <f t="shared" si="443"/>
        <v>1012.5</v>
      </c>
      <c r="AA1798" s="189">
        <f>Y1798+Z1798</f>
        <v>1012.5</v>
      </c>
    </row>
    <row r="1799" spans="1:27" s="6" customFormat="1" x14ac:dyDescent="0.25">
      <c r="A1799" s="22" t="s">
        <v>515</v>
      </c>
      <c r="B1799" s="23" t="s">
        <v>516</v>
      </c>
      <c r="C1799" s="23" t="s">
        <v>2</v>
      </c>
      <c r="D1799" s="23" t="s">
        <v>2</v>
      </c>
      <c r="E1799" s="24">
        <f>E1800+E1817</f>
        <v>31554.399999999998</v>
      </c>
      <c r="F1799" s="24">
        <f>F1800+F1817</f>
        <v>0</v>
      </c>
      <c r="G1799" s="24">
        <f t="shared" si="459"/>
        <v>31554.399999999998</v>
      </c>
      <c r="H1799" s="24">
        <f>H1800+H1817</f>
        <v>0</v>
      </c>
      <c r="I1799" s="24">
        <f t="shared" si="453"/>
        <v>31554.399999999998</v>
      </c>
      <c r="J1799" s="24">
        <f>J1800+J1817</f>
        <v>0</v>
      </c>
      <c r="K1799" s="24">
        <f t="shared" si="454"/>
        <v>31554.399999999998</v>
      </c>
      <c r="L1799" s="24">
        <f>L1800+L1817</f>
        <v>-3626</v>
      </c>
      <c r="M1799" s="24">
        <f t="shared" si="455"/>
        <v>27928.399999999998</v>
      </c>
      <c r="N1799" s="24">
        <f>N1800+N1817</f>
        <v>93.5</v>
      </c>
      <c r="O1799" s="24">
        <f t="shared" si="456"/>
        <v>28021.899999999998</v>
      </c>
      <c r="P1799" s="24">
        <f>P1800+P1817</f>
        <v>76.2</v>
      </c>
      <c r="Q1799" s="24">
        <f t="shared" si="452"/>
        <v>28098.1</v>
      </c>
      <c r="R1799" s="24">
        <f>R1800+R1817</f>
        <v>100</v>
      </c>
      <c r="S1799" s="24">
        <f t="shared" si="447"/>
        <v>28198.1</v>
      </c>
      <c r="T1799" s="24">
        <f>T1800+T1817</f>
        <v>0</v>
      </c>
      <c r="U1799" s="24">
        <f t="shared" si="448"/>
        <v>28198.1</v>
      </c>
      <c r="V1799" s="24">
        <f>V1800+V1817</f>
        <v>0</v>
      </c>
      <c r="W1799" s="24">
        <f t="shared" si="442"/>
        <v>28198.1</v>
      </c>
      <c r="X1799" s="24">
        <f>X1800+X1817</f>
        <v>0</v>
      </c>
      <c r="Y1799" s="24">
        <f t="shared" si="443"/>
        <v>28198.1</v>
      </c>
      <c r="Z1799" s="189"/>
    </row>
    <row r="1800" spans="1:27" s="6" customFormat="1" x14ac:dyDescent="0.25">
      <c r="A1800" s="22" t="s">
        <v>75</v>
      </c>
      <c r="B1800" s="23" t="s">
        <v>516</v>
      </c>
      <c r="C1800" s="23" t="s">
        <v>76</v>
      </c>
      <c r="D1800" s="23" t="s">
        <v>2</v>
      </c>
      <c r="E1800" s="24">
        <f>E1801+E1812</f>
        <v>13155.5</v>
      </c>
      <c r="F1800" s="24">
        <f>F1801+F1812</f>
        <v>0</v>
      </c>
      <c r="G1800" s="24">
        <f t="shared" si="459"/>
        <v>13155.5</v>
      </c>
      <c r="H1800" s="24">
        <f>H1801+H1812</f>
        <v>0</v>
      </c>
      <c r="I1800" s="24">
        <f t="shared" si="453"/>
        <v>13155.5</v>
      </c>
      <c r="J1800" s="24">
        <f>J1801+J1812</f>
        <v>0</v>
      </c>
      <c r="K1800" s="24">
        <f t="shared" si="454"/>
        <v>13155.5</v>
      </c>
      <c r="L1800" s="24">
        <f>L1801+L1812</f>
        <v>0</v>
      </c>
      <c r="M1800" s="24">
        <f t="shared" si="455"/>
        <v>13155.5</v>
      </c>
      <c r="N1800" s="24">
        <f>N1801+N1812</f>
        <v>93.5</v>
      </c>
      <c r="O1800" s="24">
        <f t="shared" si="456"/>
        <v>13249</v>
      </c>
      <c r="P1800" s="24">
        <f>P1801+P1812</f>
        <v>76.2</v>
      </c>
      <c r="Q1800" s="24">
        <f t="shared" si="452"/>
        <v>13325.2</v>
      </c>
      <c r="R1800" s="24">
        <f>R1801+R1812</f>
        <v>0</v>
      </c>
      <c r="S1800" s="24">
        <f t="shared" si="447"/>
        <v>13325.2</v>
      </c>
      <c r="T1800" s="24">
        <f>T1801+T1812</f>
        <v>0</v>
      </c>
      <c r="U1800" s="24">
        <f t="shared" si="448"/>
        <v>13325.2</v>
      </c>
      <c r="V1800" s="24">
        <f>V1801+V1812</f>
        <v>0</v>
      </c>
      <c r="W1800" s="24">
        <f t="shared" si="442"/>
        <v>13325.2</v>
      </c>
      <c r="X1800" s="24">
        <f>X1801+X1812</f>
        <v>0</v>
      </c>
      <c r="Y1800" s="24">
        <f t="shared" si="443"/>
        <v>13325.2</v>
      </c>
      <c r="Z1800" s="189"/>
    </row>
    <row r="1801" spans="1:27" s="6" customFormat="1" x14ac:dyDescent="0.25">
      <c r="A1801" s="22" t="s">
        <v>300</v>
      </c>
      <c r="B1801" s="23" t="s">
        <v>516</v>
      </c>
      <c r="C1801" s="23" t="s">
        <v>301</v>
      </c>
      <c r="D1801" s="23" t="s">
        <v>2</v>
      </c>
      <c r="E1801" s="24">
        <f>E1802</f>
        <v>3331.3999999999996</v>
      </c>
      <c r="F1801" s="24">
        <f>F1802</f>
        <v>0</v>
      </c>
      <c r="G1801" s="24">
        <f t="shared" si="459"/>
        <v>3331.3999999999996</v>
      </c>
      <c r="H1801" s="24">
        <f>H1802</f>
        <v>0</v>
      </c>
      <c r="I1801" s="24">
        <f t="shared" si="453"/>
        <v>3331.3999999999996</v>
      </c>
      <c r="J1801" s="24">
        <f>J1802</f>
        <v>0</v>
      </c>
      <c r="K1801" s="24">
        <f t="shared" si="454"/>
        <v>3331.3999999999996</v>
      </c>
      <c r="L1801" s="24">
        <f>L1802</f>
        <v>0</v>
      </c>
      <c r="M1801" s="24">
        <f t="shared" si="455"/>
        <v>3331.3999999999996</v>
      </c>
      <c r="N1801" s="24">
        <f>N1802</f>
        <v>93.5</v>
      </c>
      <c r="O1801" s="24">
        <f t="shared" si="456"/>
        <v>3424.8999999999996</v>
      </c>
      <c r="P1801" s="24">
        <f>P1802</f>
        <v>0</v>
      </c>
      <c r="Q1801" s="24">
        <f t="shared" si="452"/>
        <v>3424.8999999999996</v>
      </c>
      <c r="R1801" s="24">
        <f>R1802</f>
        <v>0</v>
      </c>
      <c r="S1801" s="24">
        <f t="shared" si="447"/>
        <v>3424.8999999999996</v>
      </c>
      <c r="T1801" s="24">
        <f>T1802</f>
        <v>0</v>
      </c>
      <c r="U1801" s="24">
        <f t="shared" si="448"/>
        <v>3424.8999999999996</v>
      </c>
      <c r="V1801" s="24">
        <f>V1802</f>
        <v>0</v>
      </c>
      <c r="W1801" s="24">
        <f t="shared" si="442"/>
        <v>3424.8999999999996</v>
      </c>
      <c r="X1801" s="24">
        <f>X1802</f>
        <v>0</v>
      </c>
      <c r="Y1801" s="24">
        <f t="shared" si="443"/>
        <v>3424.8999999999996</v>
      </c>
      <c r="Z1801" s="189"/>
    </row>
    <row r="1802" spans="1:27" s="6" customFormat="1" x14ac:dyDescent="0.25">
      <c r="A1802" s="22" t="s">
        <v>517</v>
      </c>
      <c r="B1802" s="23" t="s">
        <v>516</v>
      </c>
      <c r="C1802" s="23" t="s">
        <v>518</v>
      </c>
      <c r="D1802" s="23" t="s">
        <v>2</v>
      </c>
      <c r="E1802" s="24">
        <f>E1803+E1807+E1809+E1805</f>
        <v>3331.3999999999996</v>
      </c>
      <c r="F1802" s="24">
        <f>F1803+F1807+F1809+F1805</f>
        <v>0</v>
      </c>
      <c r="G1802" s="24">
        <f t="shared" si="459"/>
        <v>3331.3999999999996</v>
      </c>
      <c r="H1802" s="24">
        <f>H1803+H1807+H1809+H1805</f>
        <v>0</v>
      </c>
      <c r="I1802" s="24">
        <f t="shared" si="453"/>
        <v>3331.3999999999996</v>
      </c>
      <c r="J1802" s="24">
        <f>J1803+J1807+J1809+J1805</f>
        <v>0</v>
      </c>
      <c r="K1802" s="24">
        <f t="shared" si="454"/>
        <v>3331.3999999999996</v>
      </c>
      <c r="L1802" s="24">
        <f>L1803+L1807+L1809+L1805</f>
        <v>0</v>
      </c>
      <c r="M1802" s="24">
        <f t="shared" si="455"/>
        <v>3331.3999999999996</v>
      </c>
      <c r="N1802" s="24">
        <f>N1803+N1807+N1809+N1805</f>
        <v>93.5</v>
      </c>
      <c r="O1802" s="24">
        <f t="shared" si="456"/>
        <v>3424.8999999999996</v>
      </c>
      <c r="P1802" s="24">
        <f>P1803+P1807+P1809+P1805</f>
        <v>0</v>
      </c>
      <c r="Q1802" s="24">
        <f t="shared" si="452"/>
        <v>3424.8999999999996</v>
      </c>
      <c r="R1802" s="24">
        <f>R1803+R1807+R1809+R1805</f>
        <v>0</v>
      </c>
      <c r="S1802" s="24">
        <f t="shared" si="447"/>
        <v>3424.8999999999996</v>
      </c>
      <c r="T1802" s="24">
        <f>T1803+T1807+T1809+T1805</f>
        <v>0</v>
      </c>
      <c r="U1802" s="24">
        <f t="shared" si="448"/>
        <v>3424.8999999999996</v>
      </c>
      <c r="V1802" s="24">
        <f>V1803+V1807+V1809+V1805</f>
        <v>0</v>
      </c>
      <c r="W1802" s="24">
        <f t="shared" si="442"/>
        <v>3424.8999999999996</v>
      </c>
      <c r="X1802" s="24">
        <f>X1803+X1807+X1809+X1805</f>
        <v>0</v>
      </c>
      <c r="Y1802" s="24">
        <f t="shared" si="443"/>
        <v>3424.8999999999996</v>
      </c>
      <c r="Z1802" s="189"/>
    </row>
    <row r="1803" spans="1:27" s="6" customFormat="1" ht="53.25" customHeight="1" x14ac:dyDescent="0.25">
      <c r="A1803" s="22" t="s">
        <v>519</v>
      </c>
      <c r="B1803" s="23" t="s">
        <v>516</v>
      </c>
      <c r="C1803" s="23" t="s">
        <v>520</v>
      </c>
      <c r="D1803" s="23" t="s">
        <v>2</v>
      </c>
      <c r="E1803" s="24">
        <f>E1804</f>
        <v>3053.6</v>
      </c>
      <c r="F1803" s="24">
        <f>F1804</f>
        <v>0</v>
      </c>
      <c r="G1803" s="24">
        <f t="shared" si="459"/>
        <v>3053.6</v>
      </c>
      <c r="H1803" s="24">
        <f>H1804</f>
        <v>0</v>
      </c>
      <c r="I1803" s="24">
        <f t="shared" si="453"/>
        <v>3053.6</v>
      </c>
      <c r="J1803" s="24">
        <f>J1804</f>
        <v>0</v>
      </c>
      <c r="K1803" s="24">
        <f t="shared" si="454"/>
        <v>3053.6</v>
      </c>
      <c r="L1803" s="24">
        <f>L1804</f>
        <v>0</v>
      </c>
      <c r="M1803" s="24">
        <f t="shared" si="455"/>
        <v>3053.6</v>
      </c>
      <c r="N1803" s="24">
        <f>N1804</f>
        <v>0</v>
      </c>
      <c r="O1803" s="24">
        <f t="shared" si="456"/>
        <v>3053.6</v>
      </c>
      <c r="P1803" s="24">
        <f>P1804</f>
        <v>0</v>
      </c>
      <c r="Q1803" s="24">
        <f t="shared" si="452"/>
        <v>3053.6</v>
      </c>
      <c r="R1803" s="24">
        <f>R1804</f>
        <v>0</v>
      </c>
      <c r="S1803" s="24">
        <f t="shared" si="447"/>
        <v>3053.6</v>
      </c>
      <c r="T1803" s="24">
        <f>T1804</f>
        <v>0</v>
      </c>
      <c r="U1803" s="24">
        <f t="shared" si="448"/>
        <v>3053.6</v>
      </c>
      <c r="V1803" s="24">
        <f>V1804</f>
        <v>0</v>
      </c>
      <c r="W1803" s="24">
        <f t="shared" si="442"/>
        <v>3053.6</v>
      </c>
      <c r="X1803" s="24">
        <f>X1804</f>
        <v>0</v>
      </c>
      <c r="Y1803" s="24">
        <f t="shared" si="443"/>
        <v>3053.6</v>
      </c>
      <c r="Z1803" s="189"/>
    </row>
    <row r="1804" spans="1:27" ht="24.75" x14ac:dyDescent="0.25">
      <c r="A1804" s="25" t="s">
        <v>563</v>
      </c>
      <c r="B1804" s="26" t="s">
        <v>516</v>
      </c>
      <c r="C1804" s="26" t="s">
        <v>520</v>
      </c>
      <c r="D1804" s="26" t="s">
        <v>315</v>
      </c>
      <c r="E1804" s="27">
        <v>3053.6</v>
      </c>
      <c r="F1804" s="27"/>
      <c r="G1804" s="24">
        <f t="shared" si="459"/>
        <v>3053.6</v>
      </c>
      <c r="H1804" s="27"/>
      <c r="I1804" s="24">
        <f t="shared" si="453"/>
        <v>3053.6</v>
      </c>
      <c r="J1804" s="27"/>
      <c r="K1804" s="24">
        <f t="shared" si="454"/>
        <v>3053.6</v>
      </c>
      <c r="L1804" s="27"/>
      <c r="M1804" s="24">
        <f t="shared" si="455"/>
        <v>3053.6</v>
      </c>
      <c r="N1804" s="27"/>
      <c r="O1804" s="24">
        <f t="shared" si="456"/>
        <v>3053.6</v>
      </c>
      <c r="P1804" s="27"/>
      <c r="Q1804" s="24">
        <f t="shared" si="452"/>
        <v>3053.6</v>
      </c>
      <c r="R1804" s="27"/>
      <c r="S1804" s="24">
        <f t="shared" si="447"/>
        <v>3053.6</v>
      </c>
      <c r="T1804" s="69"/>
      <c r="U1804" s="24">
        <f t="shared" si="448"/>
        <v>3053.6</v>
      </c>
      <c r="V1804" s="69"/>
      <c r="W1804" s="24">
        <f t="shared" si="442"/>
        <v>3053.6</v>
      </c>
      <c r="X1804" s="69"/>
      <c r="Y1804" s="24">
        <f t="shared" si="443"/>
        <v>3053.6</v>
      </c>
      <c r="AA1804" s="189">
        <f>Y1804+Z1804</f>
        <v>3053.6</v>
      </c>
    </row>
    <row r="1805" spans="1:27" ht="84.75" x14ac:dyDescent="0.25">
      <c r="A1805" s="22" t="s">
        <v>627</v>
      </c>
      <c r="B1805" s="23" t="s">
        <v>516</v>
      </c>
      <c r="C1805" s="23" t="s">
        <v>628</v>
      </c>
      <c r="D1805" s="26"/>
      <c r="E1805" s="24">
        <f>E1806</f>
        <v>147.19999999999999</v>
      </c>
      <c r="F1805" s="24">
        <f>F1806</f>
        <v>0</v>
      </c>
      <c r="G1805" s="24">
        <f t="shared" si="459"/>
        <v>147.19999999999999</v>
      </c>
      <c r="H1805" s="24">
        <f>H1806</f>
        <v>0</v>
      </c>
      <c r="I1805" s="24">
        <f t="shared" si="453"/>
        <v>147.19999999999999</v>
      </c>
      <c r="J1805" s="24">
        <f>J1806</f>
        <v>0</v>
      </c>
      <c r="K1805" s="24">
        <f t="shared" si="454"/>
        <v>147.19999999999999</v>
      </c>
      <c r="L1805" s="24">
        <f>L1806</f>
        <v>0</v>
      </c>
      <c r="M1805" s="24">
        <f t="shared" si="455"/>
        <v>147.19999999999999</v>
      </c>
      <c r="N1805" s="24">
        <f>N1806</f>
        <v>0</v>
      </c>
      <c r="O1805" s="24">
        <f t="shared" si="456"/>
        <v>147.19999999999999</v>
      </c>
      <c r="P1805" s="24">
        <f>P1806</f>
        <v>0</v>
      </c>
      <c r="Q1805" s="24">
        <f t="shared" si="452"/>
        <v>147.19999999999999</v>
      </c>
      <c r="R1805" s="24">
        <f>R1806</f>
        <v>0</v>
      </c>
      <c r="S1805" s="24">
        <f t="shared" si="447"/>
        <v>147.19999999999999</v>
      </c>
      <c r="T1805" s="24">
        <f>T1806</f>
        <v>0</v>
      </c>
      <c r="U1805" s="24">
        <f t="shared" si="448"/>
        <v>147.19999999999999</v>
      </c>
      <c r="V1805" s="24">
        <f>V1806</f>
        <v>0</v>
      </c>
      <c r="W1805" s="24">
        <f t="shared" si="442"/>
        <v>147.19999999999999</v>
      </c>
      <c r="X1805" s="24">
        <f>X1806</f>
        <v>0</v>
      </c>
      <c r="Y1805" s="24">
        <f t="shared" si="443"/>
        <v>147.19999999999999</v>
      </c>
    </row>
    <row r="1806" spans="1:27" x14ac:dyDescent="0.25">
      <c r="A1806" s="25" t="s">
        <v>574</v>
      </c>
      <c r="B1806" s="26" t="s">
        <v>516</v>
      </c>
      <c r="C1806" s="26" t="s">
        <v>628</v>
      </c>
      <c r="D1806" s="26" t="s">
        <v>81</v>
      </c>
      <c r="E1806" s="27">
        <v>147.19999999999999</v>
      </c>
      <c r="F1806" s="27"/>
      <c r="G1806" s="24">
        <f t="shared" si="459"/>
        <v>147.19999999999999</v>
      </c>
      <c r="H1806" s="27"/>
      <c r="I1806" s="24">
        <f t="shared" si="453"/>
        <v>147.19999999999999</v>
      </c>
      <c r="J1806" s="27"/>
      <c r="K1806" s="24">
        <f t="shared" si="454"/>
        <v>147.19999999999999</v>
      </c>
      <c r="L1806" s="27"/>
      <c r="M1806" s="24">
        <f t="shared" si="455"/>
        <v>147.19999999999999</v>
      </c>
      <c r="N1806" s="27"/>
      <c r="O1806" s="24">
        <f t="shared" si="456"/>
        <v>147.19999999999999</v>
      </c>
      <c r="P1806" s="27"/>
      <c r="Q1806" s="24">
        <f t="shared" si="452"/>
        <v>147.19999999999999</v>
      </c>
      <c r="R1806" s="27"/>
      <c r="S1806" s="24">
        <f t="shared" si="447"/>
        <v>147.19999999999999</v>
      </c>
      <c r="T1806" s="69"/>
      <c r="U1806" s="24">
        <f t="shared" si="448"/>
        <v>147.19999999999999</v>
      </c>
      <c r="V1806" s="69"/>
      <c r="W1806" s="24">
        <f t="shared" si="442"/>
        <v>147.19999999999999</v>
      </c>
      <c r="X1806" s="69"/>
      <c r="Y1806" s="24">
        <f t="shared" si="443"/>
        <v>147.19999999999999</v>
      </c>
      <c r="AA1806" s="189">
        <f>Y1806+Z1806</f>
        <v>147.19999999999999</v>
      </c>
    </row>
    <row r="1807" spans="1:27" s="6" customFormat="1" ht="48.75" x14ac:dyDescent="0.25">
      <c r="A1807" s="22" t="s">
        <v>521</v>
      </c>
      <c r="B1807" s="23" t="s">
        <v>516</v>
      </c>
      <c r="C1807" s="23" t="s">
        <v>522</v>
      </c>
      <c r="D1807" s="23" t="s">
        <v>2</v>
      </c>
      <c r="E1807" s="24">
        <f>E1808</f>
        <v>126.5</v>
      </c>
      <c r="F1807" s="24">
        <f>F1808</f>
        <v>0</v>
      </c>
      <c r="G1807" s="24">
        <f t="shared" si="459"/>
        <v>126.5</v>
      </c>
      <c r="H1807" s="24">
        <f>H1808</f>
        <v>0</v>
      </c>
      <c r="I1807" s="24">
        <f t="shared" si="453"/>
        <v>126.5</v>
      </c>
      <c r="J1807" s="24">
        <f>J1808</f>
        <v>0</v>
      </c>
      <c r="K1807" s="24">
        <f t="shared" si="454"/>
        <v>126.5</v>
      </c>
      <c r="L1807" s="24">
        <f>L1808</f>
        <v>0</v>
      </c>
      <c r="M1807" s="24">
        <f t="shared" si="455"/>
        <v>126.5</v>
      </c>
      <c r="N1807" s="24">
        <f>N1808</f>
        <v>93.5</v>
      </c>
      <c r="O1807" s="24">
        <f t="shared" si="456"/>
        <v>220</v>
      </c>
      <c r="P1807" s="24">
        <f>P1808</f>
        <v>0</v>
      </c>
      <c r="Q1807" s="24">
        <f t="shared" si="452"/>
        <v>220</v>
      </c>
      <c r="R1807" s="24">
        <f>R1808</f>
        <v>0</v>
      </c>
      <c r="S1807" s="24">
        <f t="shared" si="447"/>
        <v>220</v>
      </c>
      <c r="T1807" s="24">
        <f>T1808</f>
        <v>0</v>
      </c>
      <c r="U1807" s="24">
        <f t="shared" si="448"/>
        <v>220</v>
      </c>
      <c r="V1807" s="24">
        <f>V1808</f>
        <v>0</v>
      </c>
      <c r="W1807" s="24">
        <f t="shared" si="442"/>
        <v>220</v>
      </c>
      <c r="X1807" s="24">
        <f>X1808</f>
        <v>0</v>
      </c>
      <c r="Y1807" s="24">
        <f t="shared" si="443"/>
        <v>220</v>
      </c>
      <c r="Z1807" s="189"/>
    </row>
    <row r="1808" spans="1:27" x14ac:dyDescent="0.25">
      <c r="A1808" s="25" t="s">
        <v>574</v>
      </c>
      <c r="B1808" s="26" t="s">
        <v>516</v>
      </c>
      <c r="C1808" s="26" t="s">
        <v>522</v>
      </c>
      <c r="D1808" s="26" t="s">
        <v>81</v>
      </c>
      <c r="E1808" s="27">
        <v>126.5</v>
      </c>
      <c r="F1808" s="27"/>
      <c r="G1808" s="24">
        <f t="shared" si="459"/>
        <v>126.5</v>
      </c>
      <c r="H1808" s="27"/>
      <c r="I1808" s="24">
        <f t="shared" si="453"/>
        <v>126.5</v>
      </c>
      <c r="J1808" s="27"/>
      <c r="K1808" s="24">
        <f t="shared" si="454"/>
        <v>126.5</v>
      </c>
      <c r="L1808" s="27"/>
      <c r="M1808" s="24">
        <f t="shared" si="455"/>
        <v>126.5</v>
      </c>
      <c r="N1808" s="43">
        <v>93.5</v>
      </c>
      <c r="O1808" s="24">
        <f t="shared" si="456"/>
        <v>220</v>
      </c>
      <c r="P1808" s="69"/>
      <c r="Q1808" s="24">
        <f t="shared" si="452"/>
        <v>220</v>
      </c>
      <c r="R1808" s="69"/>
      <c r="S1808" s="24">
        <f t="shared" si="447"/>
        <v>220</v>
      </c>
      <c r="T1808" s="69"/>
      <c r="U1808" s="24">
        <f t="shared" si="448"/>
        <v>220</v>
      </c>
      <c r="V1808" s="69"/>
      <c r="W1808" s="24">
        <f t="shared" ref="W1808:W1851" si="463">U1808+V1808</f>
        <v>220</v>
      </c>
      <c r="X1808" s="69"/>
      <c r="Y1808" s="24">
        <f t="shared" ref="Y1808:Y1851" si="464">W1808+X1808</f>
        <v>220</v>
      </c>
      <c r="AA1808" s="189">
        <f>Y1808+Z1808</f>
        <v>220</v>
      </c>
    </row>
    <row r="1809" spans="1:27" s="6" customFormat="1" ht="48.75" x14ac:dyDescent="0.25">
      <c r="A1809" s="22" t="s">
        <v>523</v>
      </c>
      <c r="B1809" s="23" t="s">
        <v>516</v>
      </c>
      <c r="C1809" s="23" t="s">
        <v>524</v>
      </c>
      <c r="D1809" s="23" t="s">
        <v>2</v>
      </c>
      <c r="E1809" s="24">
        <f>E1810+E1811</f>
        <v>4.0999999999999996</v>
      </c>
      <c r="F1809" s="24">
        <f>F1810+F1811</f>
        <v>0</v>
      </c>
      <c r="G1809" s="24">
        <f t="shared" si="459"/>
        <v>4.0999999999999996</v>
      </c>
      <c r="H1809" s="24">
        <f>H1810+H1811</f>
        <v>0</v>
      </c>
      <c r="I1809" s="24">
        <f t="shared" si="453"/>
        <v>4.0999999999999996</v>
      </c>
      <c r="J1809" s="24">
        <f>J1810+J1811</f>
        <v>0</v>
      </c>
      <c r="K1809" s="24">
        <f t="shared" si="454"/>
        <v>4.0999999999999996</v>
      </c>
      <c r="L1809" s="24">
        <f>L1810+L1811</f>
        <v>0</v>
      </c>
      <c r="M1809" s="24">
        <f t="shared" si="455"/>
        <v>4.0999999999999996</v>
      </c>
      <c r="N1809" s="24">
        <f>N1810+N1811</f>
        <v>0</v>
      </c>
      <c r="O1809" s="24">
        <f t="shared" si="456"/>
        <v>4.0999999999999996</v>
      </c>
      <c r="P1809" s="24">
        <f>P1810+P1811</f>
        <v>0</v>
      </c>
      <c r="Q1809" s="24">
        <f t="shared" si="452"/>
        <v>4.0999999999999996</v>
      </c>
      <c r="R1809" s="24">
        <f>R1810+R1811</f>
        <v>0</v>
      </c>
      <c r="S1809" s="24">
        <f t="shared" si="447"/>
        <v>4.0999999999999996</v>
      </c>
      <c r="T1809" s="24">
        <f>T1810+T1811</f>
        <v>0</v>
      </c>
      <c r="U1809" s="24">
        <f t="shared" si="448"/>
        <v>4.0999999999999996</v>
      </c>
      <c r="V1809" s="24">
        <f>V1810+V1811</f>
        <v>0</v>
      </c>
      <c r="W1809" s="24">
        <f t="shared" si="463"/>
        <v>4.0999999999999996</v>
      </c>
      <c r="X1809" s="24">
        <f>X1810+X1811</f>
        <v>0</v>
      </c>
      <c r="Y1809" s="24">
        <f t="shared" si="464"/>
        <v>4.0999999999999996</v>
      </c>
      <c r="Z1809" s="189"/>
    </row>
    <row r="1810" spans="1:27" x14ac:dyDescent="0.25">
      <c r="A1810" s="25" t="s">
        <v>574</v>
      </c>
      <c r="B1810" s="26" t="s">
        <v>516</v>
      </c>
      <c r="C1810" s="26" t="s">
        <v>524</v>
      </c>
      <c r="D1810" s="26" t="s">
        <v>81</v>
      </c>
      <c r="E1810" s="27">
        <v>4</v>
      </c>
      <c r="F1810" s="27"/>
      <c r="G1810" s="24">
        <f t="shared" si="459"/>
        <v>4</v>
      </c>
      <c r="H1810" s="27"/>
      <c r="I1810" s="24">
        <f t="shared" si="453"/>
        <v>4</v>
      </c>
      <c r="J1810" s="27"/>
      <c r="K1810" s="24">
        <f t="shared" si="454"/>
        <v>4</v>
      </c>
      <c r="L1810" s="27"/>
      <c r="M1810" s="24">
        <f t="shared" si="455"/>
        <v>4</v>
      </c>
      <c r="N1810" s="27"/>
      <c r="O1810" s="24">
        <f t="shared" si="456"/>
        <v>4</v>
      </c>
      <c r="P1810" s="27"/>
      <c r="Q1810" s="24">
        <f t="shared" si="452"/>
        <v>4</v>
      </c>
      <c r="R1810" s="27"/>
      <c r="S1810" s="24">
        <f t="shared" si="447"/>
        <v>4</v>
      </c>
      <c r="T1810" s="69"/>
      <c r="U1810" s="24">
        <f t="shared" si="448"/>
        <v>4</v>
      </c>
      <c r="V1810" s="69"/>
      <c r="W1810" s="24">
        <f t="shared" si="463"/>
        <v>4</v>
      </c>
      <c r="X1810" s="69"/>
      <c r="Y1810" s="24">
        <f t="shared" si="464"/>
        <v>4</v>
      </c>
      <c r="AA1810" s="189">
        <f t="shared" ref="AA1810:AA1811" si="465">Y1810+Z1810</f>
        <v>4</v>
      </c>
    </row>
    <row r="1811" spans="1:27" x14ac:dyDescent="0.25">
      <c r="A1811" s="25" t="s">
        <v>321</v>
      </c>
      <c r="B1811" s="26" t="s">
        <v>516</v>
      </c>
      <c r="C1811" s="26" t="s">
        <v>524</v>
      </c>
      <c r="D1811" s="26" t="s">
        <v>322</v>
      </c>
      <c r="E1811" s="27">
        <v>0.1</v>
      </c>
      <c r="F1811" s="27"/>
      <c r="G1811" s="24">
        <f t="shared" si="459"/>
        <v>0.1</v>
      </c>
      <c r="H1811" s="27"/>
      <c r="I1811" s="24">
        <f t="shared" si="453"/>
        <v>0.1</v>
      </c>
      <c r="J1811" s="27"/>
      <c r="K1811" s="24">
        <f t="shared" si="454"/>
        <v>0.1</v>
      </c>
      <c r="L1811" s="27"/>
      <c r="M1811" s="24">
        <f t="shared" si="455"/>
        <v>0.1</v>
      </c>
      <c r="N1811" s="27"/>
      <c r="O1811" s="24">
        <f t="shared" si="456"/>
        <v>0.1</v>
      </c>
      <c r="P1811" s="27"/>
      <c r="Q1811" s="24">
        <f t="shared" si="452"/>
        <v>0.1</v>
      </c>
      <c r="R1811" s="27"/>
      <c r="S1811" s="24">
        <f t="shared" si="447"/>
        <v>0.1</v>
      </c>
      <c r="T1811" s="69"/>
      <c r="U1811" s="24">
        <f t="shared" si="448"/>
        <v>0.1</v>
      </c>
      <c r="V1811" s="69"/>
      <c r="W1811" s="24">
        <f t="shared" si="463"/>
        <v>0.1</v>
      </c>
      <c r="X1811" s="69"/>
      <c r="Y1811" s="24">
        <f t="shared" si="464"/>
        <v>0.1</v>
      </c>
      <c r="AA1811" s="189">
        <f t="shared" si="465"/>
        <v>0.1</v>
      </c>
    </row>
    <row r="1812" spans="1:27" s="6" customFormat="1" x14ac:dyDescent="0.25">
      <c r="A1812" s="22" t="s">
        <v>348</v>
      </c>
      <c r="B1812" s="23" t="s">
        <v>516</v>
      </c>
      <c r="C1812" s="23" t="s">
        <v>349</v>
      </c>
      <c r="D1812" s="23" t="s">
        <v>2</v>
      </c>
      <c r="E1812" s="24">
        <f>E1813</f>
        <v>9824.1</v>
      </c>
      <c r="F1812" s="24">
        <f>F1813</f>
        <v>0</v>
      </c>
      <c r="G1812" s="24">
        <f t="shared" si="459"/>
        <v>9824.1</v>
      </c>
      <c r="H1812" s="24">
        <f>H1813</f>
        <v>0</v>
      </c>
      <c r="I1812" s="24">
        <f t="shared" si="453"/>
        <v>9824.1</v>
      </c>
      <c r="J1812" s="24">
        <f>J1813</f>
        <v>0</v>
      </c>
      <c r="K1812" s="24">
        <f t="shared" si="454"/>
        <v>9824.1</v>
      </c>
      <c r="L1812" s="24">
        <f>L1813</f>
        <v>0</v>
      </c>
      <c r="M1812" s="24">
        <f t="shared" si="455"/>
        <v>9824.1</v>
      </c>
      <c r="N1812" s="24">
        <f>N1813</f>
        <v>0</v>
      </c>
      <c r="O1812" s="24">
        <f t="shared" si="456"/>
        <v>9824.1</v>
      </c>
      <c r="P1812" s="24">
        <f>P1813</f>
        <v>76.2</v>
      </c>
      <c r="Q1812" s="24">
        <f t="shared" si="452"/>
        <v>9900.3000000000011</v>
      </c>
      <c r="R1812" s="24">
        <f>R1813</f>
        <v>0</v>
      </c>
      <c r="S1812" s="24">
        <f t="shared" si="447"/>
        <v>9900.3000000000011</v>
      </c>
      <c r="T1812" s="24">
        <f>T1813</f>
        <v>0</v>
      </c>
      <c r="U1812" s="24">
        <f t="shared" si="448"/>
        <v>9900.3000000000011</v>
      </c>
      <c r="V1812" s="24">
        <f>V1813</f>
        <v>0</v>
      </c>
      <c r="W1812" s="24">
        <f t="shared" si="463"/>
        <v>9900.3000000000011</v>
      </c>
      <c r="X1812" s="24">
        <f>X1813</f>
        <v>0</v>
      </c>
      <c r="Y1812" s="24">
        <f t="shared" si="464"/>
        <v>9900.3000000000011</v>
      </c>
      <c r="Z1812" s="189"/>
    </row>
    <row r="1813" spans="1:27" s="6" customFormat="1" x14ac:dyDescent="0.25">
      <c r="A1813" s="22" t="s">
        <v>350</v>
      </c>
      <c r="B1813" s="23" t="s">
        <v>516</v>
      </c>
      <c r="C1813" s="23" t="s">
        <v>351</v>
      </c>
      <c r="D1813" s="23" t="s">
        <v>2</v>
      </c>
      <c r="E1813" s="24">
        <f>E1814</f>
        <v>9824.1</v>
      </c>
      <c r="F1813" s="24">
        <f>F1814</f>
        <v>0</v>
      </c>
      <c r="G1813" s="24">
        <f t="shared" si="459"/>
        <v>9824.1</v>
      </c>
      <c r="H1813" s="24">
        <f>H1814</f>
        <v>0</v>
      </c>
      <c r="I1813" s="24">
        <f t="shared" si="453"/>
        <v>9824.1</v>
      </c>
      <c r="J1813" s="24">
        <f>J1814</f>
        <v>0</v>
      </c>
      <c r="K1813" s="24">
        <f t="shared" si="454"/>
        <v>9824.1</v>
      </c>
      <c r="L1813" s="24">
        <f>L1814</f>
        <v>0</v>
      </c>
      <c r="M1813" s="24">
        <f t="shared" si="455"/>
        <v>9824.1</v>
      </c>
      <c r="N1813" s="24">
        <f>N1814</f>
        <v>0</v>
      </c>
      <c r="O1813" s="24">
        <f t="shared" si="456"/>
        <v>9824.1</v>
      </c>
      <c r="P1813" s="24">
        <f>P1814</f>
        <v>76.2</v>
      </c>
      <c r="Q1813" s="24">
        <f t="shared" si="452"/>
        <v>9900.3000000000011</v>
      </c>
      <c r="R1813" s="24">
        <f>R1814</f>
        <v>0</v>
      </c>
      <c r="S1813" s="24">
        <f t="shared" si="447"/>
        <v>9900.3000000000011</v>
      </c>
      <c r="T1813" s="24">
        <f>T1814</f>
        <v>0</v>
      </c>
      <c r="U1813" s="24">
        <f t="shared" si="448"/>
        <v>9900.3000000000011</v>
      </c>
      <c r="V1813" s="24">
        <f>V1814</f>
        <v>0</v>
      </c>
      <c r="W1813" s="24">
        <f t="shared" si="463"/>
        <v>9900.3000000000011</v>
      </c>
      <c r="X1813" s="24">
        <f>X1814</f>
        <v>0</v>
      </c>
      <c r="Y1813" s="24">
        <f t="shared" si="464"/>
        <v>9900.3000000000011</v>
      </c>
      <c r="Z1813" s="189"/>
    </row>
    <row r="1814" spans="1:27" s="6" customFormat="1" ht="24.75" x14ac:dyDescent="0.25">
      <c r="A1814" s="22" t="s">
        <v>525</v>
      </c>
      <c r="B1814" s="23" t="s">
        <v>516</v>
      </c>
      <c r="C1814" s="23" t="s">
        <v>526</v>
      </c>
      <c r="D1814" s="23" t="s">
        <v>2</v>
      </c>
      <c r="E1814" s="24">
        <f>E1815+E1816</f>
        <v>9824.1</v>
      </c>
      <c r="F1814" s="24">
        <f>F1815+F1816</f>
        <v>0</v>
      </c>
      <c r="G1814" s="24">
        <f t="shared" si="459"/>
        <v>9824.1</v>
      </c>
      <c r="H1814" s="24">
        <f>H1815+H1816</f>
        <v>0</v>
      </c>
      <c r="I1814" s="24">
        <f t="shared" si="453"/>
        <v>9824.1</v>
      </c>
      <c r="J1814" s="24">
        <f>J1815+J1816</f>
        <v>0</v>
      </c>
      <c r="K1814" s="24">
        <f t="shared" si="454"/>
        <v>9824.1</v>
      </c>
      <c r="L1814" s="24">
        <f>L1815+L1816</f>
        <v>0</v>
      </c>
      <c r="M1814" s="24">
        <f t="shared" si="455"/>
        <v>9824.1</v>
      </c>
      <c r="N1814" s="24">
        <f>N1815+N1816</f>
        <v>0</v>
      </c>
      <c r="O1814" s="24">
        <f t="shared" si="456"/>
        <v>9824.1</v>
      </c>
      <c r="P1814" s="24">
        <f>P1815+P1816</f>
        <v>76.2</v>
      </c>
      <c r="Q1814" s="24">
        <f t="shared" si="452"/>
        <v>9900.3000000000011</v>
      </c>
      <c r="R1814" s="24">
        <f>R1815+R1816</f>
        <v>0</v>
      </c>
      <c r="S1814" s="24">
        <f t="shared" si="447"/>
        <v>9900.3000000000011</v>
      </c>
      <c r="T1814" s="24">
        <f>T1815+T1816</f>
        <v>0</v>
      </c>
      <c r="U1814" s="24">
        <f t="shared" si="448"/>
        <v>9900.3000000000011</v>
      </c>
      <c r="V1814" s="24">
        <f>V1815+V1816</f>
        <v>0</v>
      </c>
      <c r="W1814" s="24">
        <f t="shared" si="463"/>
        <v>9900.3000000000011</v>
      </c>
      <c r="X1814" s="24">
        <f>X1815+X1816</f>
        <v>0</v>
      </c>
      <c r="Y1814" s="24">
        <f t="shared" si="464"/>
        <v>9900.3000000000011</v>
      </c>
      <c r="Z1814" s="189"/>
    </row>
    <row r="1815" spans="1:27" x14ac:dyDescent="0.25">
      <c r="A1815" s="25" t="s">
        <v>574</v>
      </c>
      <c r="B1815" s="26" t="s">
        <v>516</v>
      </c>
      <c r="C1815" s="26" t="s">
        <v>526</v>
      </c>
      <c r="D1815" s="26" t="s">
        <v>81</v>
      </c>
      <c r="E1815" s="27">
        <v>8968.1</v>
      </c>
      <c r="F1815" s="27"/>
      <c r="G1815" s="24">
        <f t="shared" si="459"/>
        <v>8968.1</v>
      </c>
      <c r="H1815" s="27"/>
      <c r="I1815" s="24">
        <f t="shared" si="453"/>
        <v>8968.1</v>
      </c>
      <c r="J1815" s="27"/>
      <c r="K1815" s="24">
        <f t="shared" si="454"/>
        <v>8968.1</v>
      </c>
      <c r="L1815" s="27"/>
      <c r="M1815" s="24">
        <f t="shared" si="455"/>
        <v>8968.1</v>
      </c>
      <c r="N1815" s="27"/>
      <c r="O1815" s="24">
        <f t="shared" si="456"/>
        <v>8968.1</v>
      </c>
      <c r="P1815" s="43">
        <v>76.2</v>
      </c>
      <c r="Q1815" s="24">
        <f t="shared" si="452"/>
        <v>9044.3000000000011</v>
      </c>
      <c r="R1815" s="69"/>
      <c r="S1815" s="24">
        <f t="shared" si="447"/>
        <v>9044.3000000000011</v>
      </c>
      <c r="T1815" s="69"/>
      <c r="U1815" s="24">
        <f t="shared" si="448"/>
        <v>9044.3000000000011</v>
      </c>
      <c r="V1815" s="69"/>
      <c r="W1815" s="24">
        <f t="shared" si="463"/>
        <v>9044.3000000000011</v>
      </c>
      <c r="X1815" s="43">
        <v>-23</v>
      </c>
      <c r="Y1815" s="24">
        <f t="shared" si="464"/>
        <v>9021.3000000000011</v>
      </c>
      <c r="AA1815" s="189">
        <f t="shared" ref="AA1815:AA1816" si="466">Y1815+Z1815</f>
        <v>9021.3000000000011</v>
      </c>
    </row>
    <row r="1816" spans="1:27" x14ac:dyDescent="0.25">
      <c r="A1816" s="25" t="s">
        <v>321</v>
      </c>
      <c r="B1816" s="26" t="s">
        <v>516</v>
      </c>
      <c r="C1816" s="26" t="s">
        <v>526</v>
      </c>
      <c r="D1816" s="26" t="s">
        <v>322</v>
      </c>
      <c r="E1816" s="27">
        <v>856</v>
      </c>
      <c r="F1816" s="27"/>
      <c r="G1816" s="24">
        <f t="shared" si="459"/>
        <v>856</v>
      </c>
      <c r="H1816" s="27"/>
      <c r="I1816" s="24">
        <f t="shared" si="453"/>
        <v>856</v>
      </c>
      <c r="J1816" s="27"/>
      <c r="K1816" s="24">
        <f t="shared" si="454"/>
        <v>856</v>
      </c>
      <c r="L1816" s="27"/>
      <c r="M1816" s="24">
        <f t="shared" si="455"/>
        <v>856</v>
      </c>
      <c r="N1816" s="27"/>
      <c r="O1816" s="24">
        <f t="shared" si="456"/>
        <v>856</v>
      </c>
      <c r="P1816" s="27"/>
      <c r="Q1816" s="24">
        <f t="shared" si="452"/>
        <v>856</v>
      </c>
      <c r="R1816" s="27"/>
      <c r="S1816" s="24">
        <f t="shared" si="447"/>
        <v>856</v>
      </c>
      <c r="T1816" s="69"/>
      <c r="U1816" s="24">
        <f t="shared" si="448"/>
        <v>856</v>
      </c>
      <c r="V1816" s="69"/>
      <c r="W1816" s="24">
        <f t="shared" si="463"/>
        <v>856</v>
      </c>
      <c r="X1816" s="43">
        <v>23</v>
      </c>
      <c r="Y1816" s="24">
        <f t="shared" si="464"/>
        <v>879</v>
      </c>
      <c r="AA1816" s="189">
        <f t="shared" si="466"/>
        <v>879</v>
      </c>
    </row>
    <row r="1817" spans="1:27" s="6" customFormat="1" ht="24.75" x14ac:dyDescent="0.25">
      <c r="A1817" s="22" t="s">
        <v>587</v>
      </c>
      <c r="B1817" s="23" t="s">
        <v>516</v>
      </c>
      <c r="C1817" s="23" t="s">
        <v>20</v>
      </c>
      <c r="D1817" s="23" t="s">
        <v>2</v>
      </c>
      <c r="E1817" s="24">
        <f>E1818+E1823</f>
        <v>18398.899999999998</v>
      </c>
      <c r="F1817" s="24">
        <f>F1818+F1823</f>
        <v>0</v>
      </c>
      <c r="G1817" s="24">
        <f t="shared" si="459"/>
        <v>18398.899999999998</v>
      </c>
      <c r="H1817" s="24">
        <f>H1818+H1823</f>
        <v>0</v>
      </c>
      <c r="I1817" s="24">
        <f t="shared" si="453"/>
        <v>18398.899999999998</v>
      </c>
      <c r="J1817" s="24">
        <f>J1818+J1823</f>
        <v>0</v>
      </c>
      <c r="K1817" s="24">
        <f t="shared" si="454"/>
        <v>18398.899999999998</v>
      </c>
      <c r="L1817" s="24">
        <f>L1818+L1823</f>
        <v>-3626</v>
      </c>
      <c r="M1817" s="24">
        <f t="shared" si="455"/>
        <v>14772.899999999998</v>
      </c>
      <c r="N1817" s="24">
        <f>N1818+N1823</f>
        <v>0</v>
      </c>
      <c r="O1817" s="24">
        <f t="shared" si="456"/>
        <v>14772.899999999998</v>
      </c>
      <c r="P1817" s="24">
        <f>P1818+P1823</f>
        <v>0</v>
      </c>
      <c r="Q1817" s="24">
        <f t="shared" si="452"/>
        <v>14772.899999999998</v>
      </c>
      <c r="R1817" s="24">
        <f>R1818+R1823</f>
        <v>100</v>
      </c>
      <c r="S1817" s="24">
        <f t="shared" si="447"/>
        <v>14872.899999999998</v>
      </c>
      <c r="T1817" s="24">
        <f>T1818+T1823</f>
        <v>0</v>
      </c>
      <c r="U1817" s="24">
        <f t="shared" si="448"/>
        <v>14872.899999999998</v>
      </c>
      <c r="V1817" s="24">
        <f>V1818+V1823</f>
        <v>0</v>
      </c>
      <c r="W1817" s="24">
        <f t="shared" si="463"/>
        <v>14872.899999999998</v>
      </c>
      <c r="X1817" s="24">
        <f>X1818+X1823</f>
        <v>0</v>
      </c>
      <c r="Y1817" s="24">
        <f t="shared" si="464"/>
        <v>14872.899999999998</v>
      </c>
      <c r="Z1817" s="189"/>
    </row>
    <row r="1818" spans="1:27" s="6" customFormat="1" x14ac:dyDescent="0.25">
      <c r="A1818" s="22" t="s">
        <v>457</v>
      </c>
      <c r="B1818" s="23" t="s">
        <v>516</v>
      </c>
      <c r="C1818" s="23" t="s">
        <v>458</v>
      </c>
      <c r="D1818" s="23" t="s">
        <v>2</v>
      </c>
      <c r="E1818" s="24">
        <f>E1819</f>
        <v>18275.599999999999</v>
      </c>
      <c r="F1818" s="24">
        <f>F1819</f>
        <v>0</v>
      </c>
      <c r="G1818" s="24">
        <f t="shared" si="459"/>
        <v>18275.599999999999</v>
      </c>
      <c r="H1818" s="24">
        <f>H1819</f>
        <v>0</v>
      </c>
      <c r="I1818" s="24">
        <f t="shared" si="453"/>
        <v>18275.599999999999</v>
      </c>
      <c r="J1818" s="24">
        <f>J1819</f>
        <v>0</v>
      </c>
      <c r="K1818" s="24">
        <f t="shared" si="454"/>
        <v>18275.599999999999</v>
      </c>
      <c r="L1818" s="24">
        <f>L1819</f>
        <v>-3655.1</v>
      </c>
      <c r="M1818" s="24">
        <f t="shared" si="455"/>
        <v>14620.499999999998</v>
      </c>
      <c r="N1818" s="24">
        <f>N1819</f>
        <v>0</v>
      </c>
      <c r="O1818" s="24">
        <f t="shared" si="456"/>
        <v>14620.499999999998</v>
      </c>
      <c r="P1818" s="24">
        <f>P1819</f>
        <v>0</v>
      </c>
      <c r="Q1818" s="24">
        <f t="shared" si="452"/>
        <v>14620.499999999998</v>
      </c>
      <c r="R1818" s="24">
        <f>R1819</f>
        <v>0</v>
      </c>
      <c r="S1818" s="24">
        <f t="shared" si="447"/>
        <v>14620.499999999998</v>
      </c>
      <c r="T1818" s="24">
        <f>T1819</f>
        <v>0</v>
      </c>
      <c r="U1818" s="24">
        <f t="shared" si="448"/>
        <v>14620.499999999998</v>
      </c>
      <c r="V1818" s="24">
        <f>V1819</f>
        <v>0</v>
      </c>
      <c r="W1818" s="24">
        <f t="shared" si="463"/>
        <v>14620.499999999998</v>
      </c>
      <c r="X1818" s="24">
        <f>X1819</f>
        <v>0</v>
      </c>
      <c r="Y1818" s="24">
        <f t="shared" si="464"/>
        <v>14620.499999999998</v>
      </c>
      <c r="Z1818" s="189"/>
    </row>
    <row r="1819" spans="1:27" s="6" customFormat="1" x14ac:dyDescent="0.25">
      <c r="A1819" s="22" t="s">
        <v>527</v>
      </c>
      <c r="B1819" s="23" t="s">
        <v>516</v>
      </c>
      <c r="C1819" s="23" t="s">
        <v>528</v>
      </c>
      <c r="D1819" s="23" t="s">
        <v>2</v>
      </c>
      <c r="E1819" s="24">
        <f>E1820</f>
        <v>18275.599999999999</v>
      </c>
      <c r="F1819" s="24">
        <f>F1820</f>
        <v>0</v>
      </c>
      <c r="G1819" s="24">
        <f t="shared" si="459"/>
        <v>18275.599999999999</v>
      </c>
      <c r="H1819" s="24">
        <f>H1820</f>
        <v>0</v>
      </c>
      <c r="I1819" s="24">
        <f t="shared" si="453"/>
        <v>18275.599999999999</v>
      </c>
      <c r="J1819" s="24">
        <f>J1820</f>
        <v>0</v>
      </c>
      <c r="K1819" s="24">
        <f t="shared" si="454"/>
        <v>18275.599999999999</v>
      </c>
      <c r="L1819" s="24">
        <f>L1820</f>
        <v>-3655.1</v>
      </c>
      <c r="M1819" s="24">
        <f t="shared" si="455"/>
        <v>14620.499999999998</v>
      </c>
      <c r="N1819" s="24">
        <f>N1820</f>
        <v>0</v>
      </c>
      <c r="O1819" s="24">
        <f t="shared" si="456"/>
        <v>14620.499999999998</v>
      </c>
      <c r="P1819" s="24">
        <f>P1820</f>
        <v>0</v>
      </c>
      <c r="Q1819" s="24">
        <f t="shared" si="452"/>
        <v>14620.499999999998</v>
      </c>
      <c r="R1819" s="24">
        <f>R1820</f>
        <v>0</v>
      </c>
      <c r="S1819" s="24">
        <f t="shared" si="447"/>
        <v>14620.499999999998</v>
      </c>
      <c r="T1819" s="24">
        <f>T1820</f>
        <v>0</v>
      </c>
      <c r="U1819" s="24">
        <f t="shared" si="448"/>
        <v>14620.499999999998</v>
      </c>
      <c r="V1819" s="24">
        <f>V1820</f>
        <v>0</v>
      </c>
      <c r="W1819" s="24">
        <f t="shared" si="463"/>
        <v>14620.499999999998</v>
      </c>
      <c r="X1819" s="24">
        <f>X1820</f>
        <v>0</v>
      </c>
      <c r="Y1819" s="24">
        <f t="shared" si="464"/>
        <v>14620.499999999998</v>
      </c>
      <c r="Z1819" s="189"/>
    </row>
    <row r="1820" spans="1:27" s="6" customFormat="1" ht="24.75" x14ac:dyDescent="0.25">
      <c r="A1820" s="22" t="s">
        <v>529</v>
      </c>
      <c r="B1820" s="23" t="s">
        <v>516</v>
      </c>
      <c r="C1820" s="23" t="s">
        <v>530</v>
      </c>
      <c r="D1820" s="23" t="s">
        <v>2</v>
      </c>
      <c r="E1820" s="24">
        <f>E1821+E1822</f>
        <v>18275.599999999999</v>
      </c>
      <c r="F1820" s="24">
        <f>F1821+F1822</f>
        <v>0</v>
      </c>
      <c r="G1820" s="24">
        <f t="shared" si="459"/>
        <v>18275.599999999999</v>
      </c>
      <c r="H1820" s="24">
        <f>H1821+H1822</f>
        <v>0</v>
      </c>
      <c r="I1820" s="24">
        <f t="shared" si="453"/>
        <v>18275.599999999999</v>
      </c>
      <c r="J1820" s="24">
        <f>J1821+J1822</f>
        <v>0</v>
      </c>
      <c r="K1820" s="24">
        <f t="shared" si="454"/>
        <v>18275.599999999999</v>
      </c>
      <c r="L1820" s="24">
        <f>L1821+L1822</f>
        <v>-3655.1</v>
      </c>
      <c r="M1820" s="24">
        <f t="shared" si="455"/>
        <v>14620.499999999998</v>
      </c>
      <c r="N1820" s="24">
        <f>N1821+N1822</f>
        <v>0</v>
      </c>
      <c r="O1820" s="24">
        <f t="shared" si="456"/>
        <v>14620.499999999998</v>
      </c>
      <c r="P1820" s="24">
        <f>P1821+P1822</f>
        <v>0</v>
      </c>
      <c r="Q1820" s="24">
        <f t="shared" si="452"/>
        <v>14620.499999999998</v>
      </c>
      <c r="R1820" s="24">
        <f>R1821+R1822</f>
        <v>0</v>
      </c>
      <c r="S1820" s="24">
        <f t="shared" si="447"/>
        <v>14620.499999999998</v>
      </c>
      <c r="T1820" s="24">
        <f>T1821+T1822</f>
        <v>0</v>
      </c>
      <c r="U1820" s="24">
        <f t="shared" si="448"/>
        <v>14620.499999999998</v>
      </c>
      <c r="V1820" s="24">
        <f>V1821+V1822</f>
        <v>0</v>
      </c>
      <c r="W1820" s="24">
        <f t="shared" si="463"/>
        <v>14620.499999999998</v>
      </c>
      <c r="X1820" s="24">
        <f>X1821+X1822</f>
        <v>0</v>
      </c>
      <c r="Y1820" s="24">
        <f t="shared" si="464"/>
        <v>14620.499999999998</v>
      </c>
      <c r="Z1820" s="189"/>
    </row>
    <row r="1821" spans="1:27" x14ac:dyDescent="0.25">
      <c r="A1821" s="25" t="s">
        <v>574</v>
      </c>
      <c r="B1821" s="26" t="s">
        <v>516</v>
      </c>
      <c r="C1821" s="26" t="s">
        <v>530</v>
      </c>
      <c r="D1821" s="26" t="s">
        <v>81</v>
      </c>
      <c r="E1821" s="27">
        <v>16999</v>
      </c>
      <c r="F1821" s="27"/>
      <c r="G1821" s="24">
        <f t="shared" si="459"/>
        <v>16999</v>
      </c>
      <c r="H1821" s="27"/>
      <c r="I1821" s="24">
        <f t="shared" si="453"/>
        <v>16999</v>
      </c>
      <c r="J1821" s="27"/>
      <c r="K1821" s="24">
        <f t="shared" si="454"/>
        <v>16999</v>
      </c>
      <c r="L1821" s="43">
        <v>-3655.1</v>
      </c>
      <c r="M1821" s="24">
        <f t="shared" si="455"/>
        <v>13343.9</v>
      </c>
      <c r="N1821" s="69"/>
      <c r="O1821" s="24">
        <f t="shared" si="456"/>
        <v>13343.9</v>
      </c>
      <c r="P1821" s="69"/>
      <c r="Q1821" s="24">
        <f t="shared" si="452"/>
        <v>13343.9</v>
      </c>
      <c r="R1821" s="69"/>
      <c r="S1821" s="24">
        <f t="shared" si="447"/>
        <v>13343.9</v>
      </c>
      <c r="T1821" s="69"/>
      <c r="U1821" s="24">
        <f t="shared" si="448"/>
        <v>13343.9</v>
      </c>
      <c r="V1821" s="69"/>
      <c r="W1821" s="24">
        <f t="shared" si="463"/>
        <v>13343.9</v>
      </c>
      <c r="X1821" s="69"/>
      <c r="Y1821" s="24">
        <f t="shared" si="464"/>
        <v>13343.9</v>
      </c>
      <c r="AA1821" s="189">
        <f t="shared" ref="AA1821:AA1822" si="467">Y1821+Z1821</f>
        <v>13343.9</v>
      </c>
    </row>
    <row r="1822" spans="1:27" x14ac:dyDescent="0.25">
      <c r="A1822" s="25" t="s">
        <v>321</v>
      </c>
      <c r="B1822" s="26" t="s">
        <v>516</v>
      </c>
      <c r="C1822" s="26" t="s">
        <v>530</v>
      </c>
      <c r="D1822" s="26" t="s">
        <v>322</v>
      </c>
      <c r="E1822" s="27">
        <v>1276.5999999999999</v>
      </c>
      <c r="F1822" s="27"/>
      <c r="G1822" s="24">
        <f t="shared" si="459"/>
        <v>1276.5999999999999</v>
      </c>
      <c r="H1822" s="27"/>
      <c r="I1822" s="24">
        <f t="shared" si="453"/>
        <v>1276.5999999999999</v>
      </c>
      <c r="J1822" s="27"/>
      <c r="K1822" s="24">
        <f t="shared" si="454"/>
        <v>1276.5999999999999</v>
      </c>
      <c r="L1822" s="27"/>
      <c r="M1822" s="24">
        <f t="shared" si="455"/>
        <v>1276.5999999999999</v>
      </c>
      <c r="N1822" s="27"/>
      <c r="O1822" s="24">
        <f t="shared" si="456"/>
        <v>1276.5999999999999</v>
      </c>
      <c r="P1822" s="27"/>
      <c r="Q1822" s="24">
        <f t="shared" si="452"/>
        <v>1276.5999999999999</v>
      </c>
      <c r="R1822" s="27"/>
      <c r="S1822" s="24">
        <f t="shared" si="447"/>
        <v>1276.5999999999999</v>
      </c>
      <c r="T1822" s="69"/>
      <c r="U1822" s="24">
        <f t="shared" si="448"/>
        <v>1276.5999999999999</v>
      </c>
      <c r="V1822" s="69"/>
      <c r="W1822" s="24">
        <f t="shared" si="463"/>
        <v>1276.5999999999999</v>
      </c>
      <c r="X1822" s="69"/>
      <c r="Y1822" s="24">
        <f t="shared" si="464"/>
        <v>1276.5999999999999</v>
      </c>
      <c r="AA1822" s="189">
        <f t="shared" si="467"/>
        <v>1276.5999999999999</v>
      </c>
    </row>
    <row r="1823" spans="1:27" s="6" customFormat="1" ht="36.75" x14ac:dyDescent="0.25">
      <c r="A1823" s="22" t="s">
        <v>27</v>
      </c>
      <c r="B1823" s="23" t="s">
        <v>516</v>
      </c>
      <c r="C1823" s="23" t="s">
        <v>28</v>
      </c>
      <c r="D1823" s="23" t="s">
        <v>2</v>
      </c>
      <c r="E1823" s="24">
        <f t="shared" ref="E1823:X1825" si="468">E1824</f>
        <v>123.3</v>
      </c>
      <c r="F1823" s="24">
        <f t="shared" si="468"/>
        <v>0</v>
      </c>
      <c r="G1823" s="24">
        <f t="shared" si="459"/>
        <v>123.3</v>
      </c>
      <c r="H1823" s="24">
        <f t="shared" si="468"/>
        <v>0</v>
      </c>
      <c r="I1823" s="24">
        <f t="shared" si="453"/>
        <v>123.3</v>
      </c>
      <c r="J1823" s="24">
        <f t="shared" si="468"/>
        <v>0</v>
      </c>
      <c r="K1823" s="24">
        <f t="shared" si="454"/>
        <v>123.3</v>
      </c>
      <c r="L1823" s="24">
        <f t="shared" si="468"/>
        <v>29.1</v>
      </c>
      <c r="M1823" s="24">
        <f t="shared" si="455"/>
        <v>152.4</v>
      </c>
      <c r="N1823" s="24">
        <f t="shared" si="468"/>
        <v>0</v>
      </c>
      <c r="O1823" s="24">
        <f t="shared" si="456"/>
        <v>152.4</v>
      </c>
      <c r="P1823" s="24">
        <f t="shared" si="468"/>
        <v>0</v>
      </c>
      <c r="Q1823" s="24">
        <f t="shared" si="452"/>
        <v>152.4</v>
      </c>
      <c r="R1823" s="24">
        <f t="shared" si="468"/>
        <v>100</v>
      </c>
      <c r="S1823" s="24">
        <f t="shared" si="447"/>
        <v>252.4</v>
      </c>
      <c r="T1823" s="24">
        <f t="shared" si="468"/>
        <v>0</v>
      </c>
      <c r="U1823" s="24">
        <f t="shared" si="448"/>
        <v>252.4</v>
      </c>
      <c r="V1823" s="24">
        <f t="shared" si="468"/>
        <v>0</v>
      </c>
      <c r="W1823" s="24">
        <f t="shared" si="463"/>
        <v>252.4</v>
      </c>
      <c r="X1823" s="24">
        <f t="shared" si="468"/>
        <v>0</v>
      </c>
      <c r="Y1823" s="24">
        <f t="shared" si="464"/>
        <v>252.4</v>
      </c>
      <c r="Z1823" s="189"/>
    </row>
    <row r="1824" spans="1:27" s="6" customFormat="1" x14ac:dyDescent="0.25">
      <c r="A1824" s="22" t="s">
        <v>29</v>
      </c>
      <c r="B1824" s="23" t="s">
        <v>516</v>
      </c>
      <c r="C1824" s="23" t="s">
        <v>30</v>
      </c>
      <c r="D1824" s="23" t="s">
        <v>2</v>
      </c>
      <c r="E1824" s="24">
        <f t="shared" si="468"/>
        <v>123.3</v>
      </c>
      <c r="F1824" s="24">
        <f t="shared" si="468"/>
        <v>0</v>
      </c>
      <c r="G1824" s="24">
        <f t="shared" si="459"/>
        <v>123.3</v>
      </c>
      <c r="H1824" s="24">
        <f t="shared" si="468"/>
        <v>0</v>
      </c>
      <c r="I1824" s="24">
        <f t="shared" si="453"/>
        <v>123.3</v>
      </c>
      <c r="J1824" s="24">
        <f t="shared" si="468"/>
        <v>0</v>
      </c>
      <c r="K1824" s="24">
        <f t="shared" si="454"/>
        <v>123.3</v>
      </c>
      <c r="L1824" s="24">
        <f t="shared" si="468"/>
        <v>29.1</v>
      </c>
      <c r="M1824" s="24">
        <f t="shared" si="455"/>
        <v>152.4</v>
      </c>
      <c r="N1824" s="24">
        <f t="shared" si="468"/>
        <v>0</v>
      </c>
      <c r="O1824" s="24">
        <f t="shared" si="456"/>
        <v>152.4</v>
      </c>
      <c r="P1824" s="24">
        <f t="shared" si="468"/>
        <v>0</v>
      </c>
      <c r="Q1824" s="24">
        <f t="shared" si="452"/>
        <v>152.4</v>
      </c>
      <c r="R1824" s="24">
        <f t="shared" si="468"/>
        <v>100</v>
      </c>
      <c r="S1824" s="24">
        <f t="shared" si="447"/>
        <v>252.4</v>
      </c>
      <c r="T1824" s="24">
        <f t="shared" si="468"/>
        <v>0</v>
      </c>
      <c r="U1824" s="24">
        <f t="shared" si="448"/>
        <v>252.4</v>
      </c>
      <c r="V1824" s="24">
        <f t="shared" si="468"/>
        <v>0</v>
      </c>
      <c r="W1824" s="24">
        <f t="shared" si="463"/>
        <v>252.4</v>
      </c>
      <c r="X1824" s="24">
        <f t="shared" si="468"/>
        <v>0</v>
      </c>
      <c r="Y1824" s="24">
        <f t="shared" si="464"/>
        <v>252.4</v>
      </c>
      <c r="Z1824" s="189"/>
    </row>
    <row r="1825" spans="1:27" s="6" customFormat="1" ht="70.5" customHeight="1" x14ac:dyDescent="0.25">
      <c r="A1825" s="22" t="s">
        <v>531</v>
      </c>
      <c r="B1825" s="23" t="s">
        <v>516</v>
      </c>
      <c r="C1825" s="23" t="s">
        <v>532</v>
      </c>
      <c r="D1825" s="23" t="s">
        <v>2</v>
      </c>
      <c r="E1825" s="24">
        <f t="shared" si="468"/>
        <v>123.3</v>
      </c>
      <c r="F1825" s="24">
        <f t="shared" si="468"/>
        <v>0</v>
      </c>
      <c r="G1825" s="24">
        <f t="shared" si="459"/>
        <v>123.3</v>
      </c>
      <c r="H1825" s="24">
        <f t="shared" si="468"/>
        <v>0</v>
      </c>
      <c r="I1825" s="24">
        <f t="shared" si="453"/>
        <v>123.3</v>
      </c>
      <c r="J1825" s="24">
        <f t="shared" si="468"/>
        <v>0</v>
      </c>
      <c r="K1825" s="24">
        <f t="shared" si="454"/>
        <v>123.3</v>
      </c>
      <c r="L1825" s="24">
        <f t="shared" si="468"/>
        <v>29.1</v>
      </c>
      <c r="M1825" s="24">
        <f t="shared" si="455"/>
        <v>152.4</v>
      </c>
      <c r="N1825" s="24">
        <f t="shared" si="468"/>
        <v>0</v>
      </c>
      <c r="O1825" s="24">
        <f t="shared" si="456"/>
        <v>152.4</v>
      </c>
      <c r="P1825" s="24">
        <f t="shared" si="468"/>
        <v>0</v>
      </c>
      <c r="Q1825" s="24">
        <f t="shared" si="452"/>
        <v>152.4</v>
      </c>
      <c r="R1825" s="24">
        <f t="shared" si="468"/>
        <v>100</v>
      </c>
      <c r="S1825" s="24">
        <f t="shared" si="447"/>
        <v>252.4</v>
      </c>
      <c r="T1825" s="24">
        <f t="shared" si="468"/>
        <v>0</v>
      </c>
      <c r="U1825" s="24">
        <f t="shared" si="448"/>
        <v>252.4</v>
      </c>
      <c r="V1825" s="24">
        <f t="shared" si="468"/>
        <v>0</v>
      </c>
      <c r="W1825" s="24">
        <f t="shared" si="463"/>
        <v>252.4</v>
      </c>
      <c r="X1825" s="24">
        <f t="shared" si="468"/>
        <v>0</v>
      </c>
      <c r="Y1825" s="24">
        <f t="shared" si="464"/>
        <v>252.4</v>
      </c>
      <c r="Z1825" s="189"/>
    </row>
    <row r="1826" spans="1:27" x14ac:dyDescent="0.25">
      <c r="A1826" s="25" t="s">
        <v>66</v>
      </c>
      <c r="B1826" s="26" t="s">
        <v>516</v>
      </c>
      <c r="C1826" s="26" t="s">
        <v>532</v>
      </c>
      <c r="D1826" s="26" t="s">
        <v>42</v>
      </c>
      <c r="E1826" s="27">
        <v>123.3</v>
      </c>
      <c r="F1826" s="27"/>
      <c r="G1826" s="24">
        <f t="shared" si="459"/>
        <v>123.3</v>
      </c>
      <c r="H1826" s="27"/>
      <c r="I1826" s="24">
        <f t="shared" si="453"/>
        <v>123.3</v>
      </c>
      <c r="J1826" s="27"/>
      <c r="K1826" s="24">
        <f t="shared" si="454"/>
        <v>123.3</v>
      </c>
      <c r="L1826" s="43">
        <v>29.1</v>
      </c>
      <c r="M1826" s="24">
        <f t="shared" si="455"/>
        <v>152.4</v>
      </c>
      <c r="N1826" s="69"/>
      <c r="O1826" s="24">
        <f t="shared" si="456"/>
        <v>152.4</v>
      </c>
      <c r="P1826" s="69"/>
      <c r="Q1826" s="24">
        <f t="shared" si="452"/>
        <v>152.4</v>
      </c>
      <c r="R1826" s="43">
        <v>100</v>
      </c>
      <c r="S1826" s="24">
        <f t="shared" si="447"/>
        <v>252.4</v>
      </c>
      <c r="T1826" s="69"/>
      <c r="U1826" s="24">
        <f t="shared" si="448"/>
        <v>252.4</v>
      </c>
      <c r="V1826" s="69"/>
      <c r="W1826" s="24">
        <f t="shared" si="463"/>
        <v>252.4</v>
      </c>
      <c r="X1826" s="69"/>
      <c r="Y1826" s="24">
        <f t="shared" si="464"/>
        <v>252.4</v>
      </c>
      <c r="AA1826" s="189">
        <f>Y1826+Z1826</f>
        <v>252.4</v>
      </c>
    </row>
    <row r="1827" spans="1:27" s="6" customFormat="1" x14ac:dyDescent="0.25">
      <c r="A1827" s="34" t="s">
        <v>533</v>
      </c>
      <c r="B1827" s="35" t="s">
        <v>534</v>
      </c>
      <c r="C1827" s="35" t="s">
        <v>2</v>
      </c>
      <c r="D1827" s="35" t="s">
        <v>2</v>
      </c>
      <c r="E1827" s="36">
        <f t="shared" ref="E1827:X1829" si="469">E1828</f>
        <v>35662.800000000003</v>
      </c>
      <c r="F1827" s="36">
        <f t="shared" si="469"/>
        <v>66782</v>
      </c>
      <c r="G1827" s="36">
        <f t="shared" si="459"/>
        <v>102444.8</v>
      </c>
      <c r="H1827" s="36">
        <f t="shared" si="469"/>
        <v>-69282</v>
      </c>
      <c r="I1827" s="36">
        <f t="shared" si="453"/>
        <v>33162.800000000003</v>
      </c>
      <c r="J1827" s="36">
        <f t="shared" si="469"/>
        <v>13125</v>
      </c>
      <c r="K1827" s="36">
        <f t="shared" si="454"/>
        <v>46287.8</v>
      </c>
      <c r="L1827" s="36">
        <f t="shared" si="469"/>
        <v>12732.1</v>
      </c>
      <c r="M1827" s="36">
        <f t="shared" si="455"/>
        <v>59019.9</v>
      </c>
      <c r="N1827" s="36">
        <f t="shared" si="469"/>
        <v>4302.3</v>
      </c>
      <c r="O1827" s="36">
        <f t="shared" si="456"/>
        <v>63322.200000000004</v>
      </c>
      <c r="P1827" s="36">
        <f t="shared" si="469"/>
        <v>-750</v>
      </c>
      <c r="Q1827" s="36">
        <f t="shared" si="452"/>
        <v>62572.200000000004</v>
      </c>
      <c r="R1827" s="36">
        <f t="shared" si="469"/>
        <v>-619.80000000000007</v>
      </c>
      <c r="S1827" s="36">
        <f t="shared" si="447"/>
        <v>61952.4</v>
      </c>
      <c r="T1827" s="36">
        <f t="shared" si="469"/>
        <v>509.6</v>
      </c>
      <c r="U1827" s="36">
        <f t="shared" si="448"/>
        <v>62462</v>
      </c>
      <c r="V1827" s="36">
        <f t="shared" si="469"/>
        <v>-1529.8</v>
      </c>
      <c r="W1827" s="36">
        <f t="shared" si="463"/>
        <v>60932.2</v>
      </c>
      <c r="X1827" s="36">
        <f t="shared" si="469"/>
        <v>-1900</v>
      </c>
      <c r="Y1827" s="36">
        <f t="shared" si="464"/>
        <v>59032.2</v>
      </c>
      <c r="Z1827" s="189"/>
    </row>
    <row r="1828" spans="1:27" s="6" customFormat="1" x14ac:dyDescent="0.25">
      <c r="A1828" s="22" t="s">
        <v>535</v>
      </c>
      <c r="B1828" s="23" t="s">
        <v>536</v>
      </c>
      <c r="C1828" s="23" t="s">
        <v>2</v>
      </c>
      <c r="D1828" s="23" t="s">
        <v>2</v>
      </c>
      <c r="E1828" s="24">
        <f t="shared" si="469"/>
        <v>35662.800000000003</v>
      </c>
      <c r="F1828" s="24">
        <f t="shared" si="469"/>
        <v>66782</v>
      </c>
      <c r="G1828" s="24">
        <f t="shared" si="459"/>
        <v>102444.8</v>
      </c>
      <c r="H1828" s="24">
        <f t="shared" si="469"/>
        <v>-69282</v>
      </c>
      <c r="I1828" s="24">
        <f t="shared" si="453"/>
        <v>33162.800000000003</v>
      </c>
      <c r="J1828" s="24">
        <f t="shared" si="469"/>
        <v>13125</v>
      </c>
      <c r="K1828" s="24">
        <f t="shared" si="454"/>
        <v>46287.8</v>
      </c>
      <c r="L1828" s="24">
        <f t="shared" si="469"/>
        <v>12732.1</v>
      </c>
      <c r="M1828" s="24">
        <f t="shared" si="455"/>
        <v>59019.9</v>
      </c>
      <c r="N1828" s="24">
        <f t="shared" si="469"/>
        <v>4302.3</v>
      </c>
      <c r="O1828" s="24">
        <f t="shared" si="456"/>
        <v>63322.200000000004</v>
      </c>
      <c r="P1828" s="24">
        <f t="shared" si="469"/>
        <v>-750</v>
      </c>
      <c r="Q1828" s="24">
        <f t="shared" si="452"/>
        <v>62572.200000000004</v>
      </c>
      <c r="R1828" s="24">
        <f t="shared" si="469"/>
        <v>-619.80000000000007</v>
      </c>
      <c r="S1828" s="24">
        <f t="shared" si="447"/>
        <v>61952.4</v>
      </c>
      <c r="T1828" s="24">
        <f>T1829+T1858</f>
        <v>509.6</v>
      </c>
      <c r="U1828" s="24">
        <f t="shared" si="448"/>
        <v>62462</v>
      </c>
      <c r="V1828" s="24">
        <f>V1829+V1858</f>
        <v>-1529.8</v>
      </c>
      <c r="W1828" s="24">
        <f t="shared" si="463"/>
        <v>60932.2</v>
      </c>
      <c r="X1828" s="24">
        <f>X1829+X1858</f>
        <v>-1900</v>
      </c>
      <c r="Y1828" s="24">
        <f t="shared" si="464"/>
        <v>59032.2</v>
      </c>
      <c r="Z1828" s="189"/>
    </row>
    <row r="1829" spans="1:27" s="6" customFormat="1" ht="24.75" x14ac:dyDescent="0.25">
      <c r="A1829" s="22" t="s">
        <v>603</v>
      </c>
      <c r="B1829" s="23" t="s">
        <v>536</v>
      </c>
      <c r="C1829" s="23" t="s">
        <v>537</v>
      </c>
      <c r="D1829" s="23" t="s">
        <v>2</v>
      </c>
      <c r="E1829" s="24">
        <f t="shared" si="469"/>
        <v>35662.800000000003</v>
      </c>
      <c r="F1829" s="24">
        <f t="shared" si="469"/>
        <v>66782</v>
      </c>
      <c r="G1829" s="24">
        <f t="shared" si="459"/>
        <v>102444.8</v>
      </c>
      <c r="H1829" s="24">
        <f t="shared" si="469"/>
        <v>-69282</v>
      </c>
      <c r="I1829" s="24">
        <f t="shared" si="453"/>
        <v>33162.800000000003</v>
      </c>
      <c r="J1829" s="24">
        <f t="shared" si="469"/>
        <v>13125</v>
      </c>
      <c r="K1829" s="24">
        <f t="shared" si="454"/>
        <v>46287.8</v>
      </c>
      <c r="L1829" s="24">
        <f t="shared" si="469"/>
        <v>12732.1</v>
      </c>
      <c r="M1829" s="24">
        <f t="shared" si="455"/>
        <v>59019.9</v>
      </c>
      <c r="N1829" s="24">
        <f t="shared" si="469"/>
        <v>4302.3</v>
      </c>
      <c r="O1829" s="24">
        <f t="shared" si="456"/>
        <v>63322.200000000004</v>
      </c>
      <c r="P1829" s="24">
        <f t="shared" si="469"/>
        <v>-750</v>
      </c>
      <c r="Q1829" s="24">
        <f t="shared" si="452"/>
        <v>62572.200000000004</v>
      </c>
      <c r="R1829" s="24">
        <f t="shared" si="469"/>
        <v>-619.80000000000007</v>
      </c>
      <c r="S1829" s="24">
        <f t="shared" si="447"/>
        <v>61952.4</v>
      </c>
      <c r="T1829" s="24">
        <f t="shared" si="469"/>
        <v>253.70000000000002</v>
      </c>
      <c r="U1829" s="24">
        <f t="shared" si="448"/>
        <v>62206.1</v>
      </c>
      <c r="V1829" s="24">
        <f t="shared" si="469"/>
        <v>-1529.8</v>
      </c>
      <c r="W1829" s="24">
        <f t="shared" si="463"/>
        <v>60676.299999999996</v>
      </c>
      <c r="X1829" s="24">
        <f t="shared" si="469"/>
        <v>-1900</v>
      </c>
      <c r="Y1829" s="24">
        <f t="shared" si="464"/>
        <v>58776.299999999996</v>
      </c>
      <c r="Z1829" s="189"/>
    </row>
    <row r="1830" spans="1:27" s="6" customFormat="1" ht="18.75" customHeight="1" x14ac:dyDescent="0.25">
      <c r="A1830" s="22" t="s">
        <v>538</v>
      </c>
      <c r="B1830" s="23" t="s">
        <v>536</v>
      </c>
      <c r="C1830" s="23" t="s">
        <v>539</v>
      </c>
      <c r="D1830" s="23" t="s">
        <v>2</v>
      </c>
      <c r="E1830" s="24">
        <f>E1838+E1847+E1851+E1854+E1856+E1845</f>
        <v>35662.800000000003</v>
      </c>
      <c r="F1830" s="24">
        <f>F1838+F1847+F1851+F1854+F1856+F1845+F1831</f>
        <v>66782</v>
      </c>
      <c r="G1830" s="24">
        <f t="shared" si="459"/>
        <v>102444.8</v>
      </c>
      <c r="H1830" s="24">
        <f>H1838+H1847+H1851+H1854+H1856+H1845+H1831</f>
        <v>-69282</v>
      </c>
      <c r="I1830" s="24">
        <f t="shared" si="453"/>
        <v>33162.800000000003</v>
      </c>
      <c r="J1830" s="24">
        <f>J1838+J1847+J1851+J1854+J1856+J1845+J1831+J1849</f>
        <v>13125</v>
      </c>
      <c r="K1830" s="24">
        <f t="shared" si="454"/>
        <v>46287.8</v>
      </c>
      <c r="L1830" s="24">
        <f>L1838+L1847+L1851+L1854+L1856+L1845+L1831+L1849+L1843+L1834</f>
        <v>12732.1</v>
      </c>
      <c r="M1830" s="24">
        <f t="shared" si="455"/>
        <v>59019.9</v>
      </c>
      <c r="N1830" s="24">
        <f>N1838+N1847+N1851+N1854+N1856+N1845+N1831+N1849+N1843+N1834</f>
        <v>4302.3</v>
      </c>
      <c r="O1830" s="24">
        <f t="shared" si="456"/>
        <v>63322.200000000004</v>
      </c>
      <c r="P1830" s="24">
        <f>P1838+P1847+P1851+P1854+P1856+P1845+P1831+P1849+P1843+P1834</f>
        <v>-750</v>
      </c>
      <c r="Q1830" s="24">
        <f t="shared" si="452"/>
        <v>62572.200000000004</v>
      </c>
      <c r="R1830" s="24">
        <f>R1838+R1847+R1851+R1854+R1856+R1845+R1831+R1849+R1843+R1834+R1836</f>
        <v>-619.80000000000007</v>
      </c>
      <c r="S1830" s="24">
        <f t="shared" si="447"/>
        <v>61952.4</v>
      </c>
      <c r="T1830" s="24">
        <f>T1838+T1847+T1851+T1854+T1856+T1845+T1831+T1849+T1843+T1834+T1836</f>
        <v>253.70000000000002</v>
      </c>
      <c r="U1830" s="24">
        <f t="shared" si="448"/>
        <v>62206.1</v>
      </c>
      <c r="V1830" s="24">
        <f>V1838+V1847+V1851+V1854+V1856+V1845+V1831+V1849+V1843+V1834+V1836+V1841</f>
        <v>-1529.8</v>
      </c>
      <c r="W1830" s="24">
        <f t="shared" si="463"/>
        <v>60676.299999999996</v>
      </c>
      <c r="X1830" s="24">
        <f>X1838+X1847+X1851+X1854+X1856+X1845+X1831+X1849+X1843+X1834+X1836+X1841</f>
        <v>-1900</v>
      </c>
      <c r="Y1830" s="24">
        <f t="shared" si="464"/>
        <v>58776.299999999996</v>
      </c>
      <c r="Z1830" s="189"/>
    </row>
    <row r="1831" spans="1:27" s="6" customFormat="1" ht="24" customHeight="1" x14ac:dyDescent="0.25">
      <c r="A1831" s="40" t="s">
        <v>247</v>
      </c>
      <c r="B1831" s="20" t="s">
        <v>536</v>
      </c>
      <c r="C1831" s="41" t="s">
        <v>674</v>
      </c>
      <c r="D1831" s="41" t="s">
        <v>2</v>
      </c>
      <c r="E1831" s="24"/>
      <c r="F1831" s="18">
        <f>F1833</f>
        <v>66782</v>
      </c>
      <c r="G1831" s="24">
        <f t="shared" si="459"/>
        <v>66782</v>
      </c>
      <c r="H1831" s="18">
        <f>H1833</f>
        <v>-66782</v>
      </c>
      <c r="I1831" s="24">
        <f t="shared" si="453"/>
        <v>0</v>
      </c>
      <c r="J1831" s="47">
        <f>J1833</f>
        <v>0</v>
      </c>
      <c r="K1831" s="24">
        <f t="shared" si="454"/>
        <v>0</v>
      </c>
      <c r="L1831" s="47">
        <f>L1833+L1832</f>
        <v>6438.4</v>
      </c>
      <c r="M1831" s="24">
        <f t="shared" si="455"/>
        <v>6438.4</v>
      </c>
      <c r="N1831" s="47">
        <f>N1833+N1832</f>
        <v>0</v>
      </c>
      <c r="O1831" s="24">
        <f t="shared" si="456"/>
        <v>6438.4</v>
      </c>
      <c r="P1831" s="47">
        <f>P1833+P1832</f>
        <v>0</v>
      </c>
      <c r="Q1831" s="24">
        <f t="shared" si="452"/>
        <v>6438.4</v>
      </c>
      <c r="R1831" s="47">
        <f>R1833+R1832</f>
        <v>0</v>
      </c>
      <c r="S1831" s="24">
        <f t="shared" si="447"/>
        <v>6438.4</v>
      </c>
      <c r="T1831" s="47">
        <f>T1833+T1832</f>
        <v>0</v>
      </c>
      <c r="U1831" s="24">
        <f t="shared" si="448"/>
        <v>6438.4</v>
      </c>
      <c r="V1831" s="47">
        <f>V1833+V1832</f>
        <v>0</v>
      </c>
      <c r="W1831" s="24">
        <f t="shared" si="463"/>
        <v>6438.4</v>
      </c>
      <c r="X1831" s="47">
        <f>X1833+X1832</f>
        <v>0</v>
      </c>
      <c r="Y1831" s="24">
        <f t="shared" si="464"/>
        <v>6438.4</v>
      </c>
      <c r="Z1831" s="189"/>
    </row>
    <row r="1832" spans="1:27" s="6" customFormat="1" ht="24" customHeight="1" x14ac:dyDescent="0.25">
      <c r="A1832" s="25" t="s">
        <v>66</v>
      </c>
      <c r="B1832" s="21" t="s">
        <v>536</v>
      </c>
      <c r="C1832" s="42" t="s">
        <v>674</v>
      </c>
      <c r="D1832" s="42" t="s">
        <v>42</v>
      </c>
      <c r="E1832" s="24"/>
      <c r="F1832" s="18"/>
      <c r="G1832" s="24"/>
      <c r="H1832" s="18"/>
      <c r="I1832" s="24"/>
      <c r="J1832" s="47"/>
      <c r="K1832" s="24"/>
      <c r="L1832" s="43">
        <v>6438.4</v>
      </c>
      <c r="M1832" s="24">
        <f t="shared" si="455"/>
        <v>6438.4</v>
      </c>
      <c r="N1832" s="69"/>
      <c r="O1832" s="24">
        <f t="shared" si="456"/>
        <v>6438.4</v>
      </c>
      <c r="P1832" s="69"/>
      <c r="Q1832" s="24">
        <f t="shared" si="452"/>
        <v>6438.4</v>
      </c>
      <c r="R1832" s="69"/>
      <c r="S1832" s="24">
        <f t="shared" si="447"/>
        <v>6438.4</v>
      </c>
      <c r="T1832" s="69"/>
      <c r="U1832" s="24">
        <f t="shared" si="448"/>
        <v>6438.4</v>
      </c>
      <c r="V1832" s="69"/>
      <c r="W1832" s="24">
        <f t="shared" si="463"/>
        <v>6438.4</v>
      </c>
      <c r="X1832" s="69"/>
      <c r="Y1832" s="24">
        <f t="shared" si="464"/>
        <v>6438.4</v>
      </c>
      <c r="Z1832" s="189"/>
      <c r="AA1832" s="189">
        <f t="shared" ref="AA1832:AA1833" si="470">Y1832+Z1832</f>
        <v>6438.4</v>
      </c>
    </row>
    <row r="1833" spans="1:27" s="105" customFormat="1" ht="27.75" hidden="1" customHeight="1" x14ac:dyDescent="0.25">
      <c r="A1833" s="30" t="s">
        <v>572</v>
      </c>
      <c r="B1833" s="56" t="s">
        <v>536</v>
      </c>
      <c r="C1833" s="42" t="s">
        <v>674</v>
      </c>
      <c r="D1833" s="42" t="s">
        <v>241</v>
      </c>
      <c r="E1833" s="104"/>
      <c r="F1833" s="51">
        <v>66782</v>
      </c>
      <c r="G1833" s="104">
        <f t="shared" si="459"/>
        <v>66782</v>
      </c>
      <c r="H1833" s="51">
        <v>-66782</v>
      </c>
      <c r="I1833" s="104">
        <f t="shared" si="453"/>
        <v>0</v>
      </c>
      <c r="J1833" s="84"/>
      <c r="K1833" s="104">
        <f t="shared" si="454"/>
        <v>0</v>
      </c>
      <c r="L1833" s="84"/>
      <c r="M1833" s="104">
        <f t="shared" si="455"/>
        <v>0</v>
      </c>
      <c r="N1833" s="84"/>
      <c r="O1833" s="104">
        <f t="shared" si="456"/>
        <v>0</v>
      </c>
      <c r="P1833" s="84"/>
      <c r="Q1833" s="104">
        <f t="shared" si="452"/>
        <v>0</v>
      </c>
      <c r="R1833" s="84"/>
      <c r="S1833" s="104">
        <f t="shared" si="447"/>
        <v>0</v>
      </c>
      <c r="T1833" s="84"/>
      <c r="U1833" s="104">
        <f t="shared" si="448"/>
        <v>0</v>
      </c>
      <c r="V1833" s="84"/>
      <c r="W1833" s="104">
        <f t="shared" si="463"/>
        <v>0</v>
      </c>
      <c r="X1833" s="84"/>
      <c r="Y1833" s="104">
        <f t="shared" si="464"/>
        <v>0</v>
      </c>
      <c r="Z1833" s="196"/>
      <c r="AA1833" s="189">
        <f t="shared" si="470"/>
        <v>0</v>
      </c>
    </row>
    <row r="1834" spans="1:27" s="6" customFormat="1" ht="27.75" customHeight="1" x14ac:dyDescent="0.25">
      <c r="A1834" s="16" t="s">
        <v>836</v>
      </c>
      <c r="B1834" s="20" t="s">
        <v>536</v>
      </c>
      <c r="C1834" s="23" t="s">
        <v>837</v>
      </c>
      <c r="D1834" s="20"/>
      <c r="E1834" s="24"/>
      <c r="F1834" s="43"/>
      <c r="G1834" s="24"/>
      <c r="H1834" s="43"/>
      <c r="I1834" s="24"/>
      <c r="J1834" s="69"/>
      <c r="K1834" s="24"/>
      <c r="L1834" s="18">
        <f>L1835</f>
        <v>1200</v>
      </c>
      <c r="M1834" s="24">
        <f t="shared" si="455"/>
        <v>1200</v>
      </c>
      <c r="N1834" s="18">
        <f>N1835</f>
        <v>0</v>
      </c>
      <c r="O1834" s="24">
        <f t="shared" si="456"/>
        <v>1200</v>
      </c>
      <c r="P1834" s="18">
        <f>P1835</f>
        <v>0</v>
      </c>
      <c r="Q1834" s="24">
        <f t="shared" si="452"/>
        <v>1200</v>
      </c>
      <c r="R1834" s="18">
        <f>R1835</f>
        <v>0</v>
      </c>
      <c r="S1834" s="24">
        <f t="shared" si="447"/>
        <v>1200</v>
      </c>
      <c r="T1834" s="18">
        <f>T1835</f>
        <v>0</v>
      </c>
      <c r="U1834" s="24">
        <f t="shared" si="448"/>
        <v>1200</v>
      </c>
      <c r="V1834" s="18">
        <f>V1835</f>
        <v>0</v>
      </c>
      <c r="W1834" s="24">
        <f t="shared" si="463"/>
        <v>1200</v>
      </c>
      <c r="X1834" s="18">
        <f>X1835</f>
        <v>0</v>
      </c>
      <c r="Y1834" s="24">
        <f t="shared" si="464"/>
        <v>1200</v>
      </c>
      <c r="Z1834" s="189"/>
    </row>
    <row r="1835" spans="1:27" s="6" customFormat="1" ht="15" customHeight="1" x14ac:dyDescent="0.25">
      <c r="A1835" s="17" t="s">
        <v>321</v>
      </c>
      <c r="B1835" s="21" t="s">
        <v>536</v>
      </c>
      <c r="C1835" s="26" t="s">
        <v>837</v>
      </c>
      <c r="D1835" s="21" t="s">
        <v>322</v>
      </c>
      <c r="E1835" s="24"/>
      <c r="F1835" s="43"/>
      <c r="G1835" s="24"/>
      <c r="H1835" s="43"/>
      <c r="I1835" s="24"/>
      <c r="J1835" s="69"/>
      <c r="K1835" s="24"/>
      <c r="L1835" s="43">
        <v>1200</v>
      </c>
      <c r="M1835" s="24">
        <f t="shared" si="455"/>
        <v>1200</v>
      </c>
      <c r="N1835" s="69"/>
      <c r="O1835" s="24">
        <f t="shared" si="456"/>
        <v>1200</v>
      </c>
      <c r="P1835" s="69"/>
      <c r="Q1835" s="24">
        <f t="shared" si="452"/>
        <v>1200</v>
      </c>
      <c r="R1835" s="69"/>
      <c r="S1835" s="24">
        <f t="shared" si="447"/>
        <v>1200</v>
      </c>
      <c r="T1835" s="69"/>
      <c r="U1835" s="24">
        <f t="shared" si="448"/>
        <v>1200</v>
      </c>
      <c r="V1835" s="69"/>
      <c r="W1835" s="24">
        <f t="shared" si="463"/>
        <v>1200</v>
      </c>
      <c r="X1835" s="69"/>
      <c r="Y1835" s="24">
        <f t="shared" si="464"/>
        <v>1200</v>
      </c>
      <c r="Z1835" s="189"/>
      <c r="AA1835" s="189">
        <f>Y1835+Z1835</f>
        <v>1200</v>
      </c>
    </row>
    <row r="1836" spans="1:27" s="6" customFormat="1" ht="36.75" x14ac:dyDescent="0.25">
      <c r="A1836" s="16" t="s">
        <v>1232</v>
      </c>
      <c r="B1836" s="20" t="s">
        <v>536</v>
      </c>
      <c r="C1836" s="23" t="s">
        <v>1233</v>
      </c>
      <c r="D1836" s="20"/>
      <c r="E1836" s="24"/>
      <c r="F1836" s="43"/>
      <c r="G1836" s="24"/>
      <c r="H1836" s="43"/>
      <c r="I1836" s="24"/>
      <c r="J1836" s="69"/>
      <c r="K1836" s="24"/>
      <c r="L1836" s="43"/>
      <c r="M1836" s="24"/>
      <c r="N1836" s="69"/>
      <c r="O1836" s="24"/>
      <c r="P1836" s="69"/>
      <c r="Q1836" s="24"/>
      <c r="R1836" s="47">
        <f>R1837</f>
        <v>35.6</v>
      </c>
      <c r="S1836" s="24">
        <f t="shared" si="447"/>
        <v>35.6</v>
      </c>
      <c r="T1836" s="47">
        <f>T1837</f>
        <v>0</v>
      </c>
      <c r="U1836" s="24">
        <f t="shared" si="448"/>
        <v>35.6</v>
      </c>
      <c r="V1836" s="47">
        <f>V1837</f>
        <v>0</v>
      </c>
      <c r="W1836" s="24">
        <f t="shared" si="463"/>
        <v>35.6</v>
      </c>
      <c r="X1836" s="47">
        <f>X1837</f>
        <v>0</v>
      </c>
      <c r="Y1836" s="24">
        <f t="shared" si="464"/>
        <v>35.6</v>
      </c>
      <c r="Z1836" s="189"/>
    </row>
    <row r="1837" spans="1:27" s="6" customFormat="1" ht="15" customHeight="1" x14ac:dyDescent="0.25">
      <c r="A1837" s="17" t="s">
        <v>321</v>
      </c>
      <c r="B1837" s="21" t="s">
        <v>536</v>
      </c>
      <c r="C1837" s="26" t="s">
        <v>1233</v>
      </c>
      <c r="D1837" s="21" t="s">
        <v>322</v>
      </c>
      <c r="E1837" s="24"/>
      <c r="F1837" s="43"/>
      <c r="G1837" s="24"/>
      <c r="H1837" s="43"/>
      <c r="I1837" s="24"/>
      <c r="J1837" s="69"/>
      <c r="K1837" s="24"/>
      <c r="L1837" s="43"/>
      <c r="M1837" s="24"/>
      <c r="N1837" s="69"/>
      <c r="O1837" s="24"/>
      <c r="P1837" s="69"/>
      <c r="Q1837" s="24"/>
      <c r="R1837" s="43">
        <v>35.6</v>
      </c>
      <c r="S1837" s="24">
        <f t="shared" si="447"/>
        <v>35.6</v>
      </c>
      <c r="T1837" s="69"/>
      <c r="U1837" s="24">
        <f t="shared" si="448"/>
        <v>35.6</v>
      </c>
      <c r="V1837" s="69"/>
      <c r="W1837" s="24">
        <f t="shared" si="463"/>
        <v>35.6</v>
      </c>
      <c r="X1837" s="69"/>
      <c r="Y1837" s="24">
        <f t="shared" si="464"/>
        <v>35.6</v>
      </c>
      <c r="Z1837" s="189"/>
      <c r="AA1837" s="189">
        <f>Y1837+Z1837</f>
        <v>35.6</v>
      </c>
    </row>
    <row r="1838" spans="1:27" s="6" customFormat="1" x14ac:dyDescent="0.25">
      <c r="A1838" s="22" t="s">
        <v>235</v>
      </c>
      <c r="B1838" s="23" t="s">
        <v>536</v>
      </c>
      <c r="C1838" s="23" t="s">
        <v>540</v>
      </c>
      <c r="D1838" s="23" t="s">
        <v>2</v>
      </c>
      <c r="E1838" s="24">
        <f>E1839+E1840</f>
        <v>11100</v>
      </c>
      <c r="F1838" s="24">
        <f>F1839+F1840</f>
        <v>0</v>
      </c>
      <c r="G1838" s="24">
        <f t="shared" si="459"/>
        <v>11100</v>
      </c>
      <c r="H1838" s="24">
        <f>H1839+H1840</f>
        <v>0</v>
      </c>
      <c r="I1838" s="24">
        <f t="shared" si="453"/>
        <v>11100</v>
      </c>
      <c r="J1838" s="47">
        <f>J1839+J1840</f>
        <v>0</v>
      </c>
      <c r="K1838" s="24">
        <f t="shared" si="454"/>
        <v>11100</v>
      </c>
      <c r="L1838" s="47">
        <f>L1839+L1840</f>
        <v>0</v>
      </c>
      <c r="M1838" s="24">
        <f t="shared" si="455"/>
        <v>11100</v>
      </c>
      <c r="N1838" s="47">
        <f>N1839+N1840</f>
        <v>3050</v>
      </c>
      <c r="O1838" s="24">
        <f t="shared" si="456"/>
        <v>14150</v>
      </c>
      <c r="P1838" s="47">
        <f>P1839+P1840</f>
        <v>0</v>
      </c>
      <c r="Q1838" s="24">
        <f t="shared" si="452"/>
        <v>14150</v>
      </c>
      <c r="R1838" s="47">
        <f>R1839+R1840</f>
        <v>0</v>
      </c>
      <c r="S1838" s="24">
        <f t="shared" si="447"/>
        <v>14150</v>
      </c>
      <c r="T1838" s="47">
        <f>T1839+T1840</f>
        <v>-33.4</v>
      </c>
      <c r="U1838" s="24">
        <f t="shared" si="448"/>
        <v>14116.6</v>
      </c>
      <c r="V1838" s="47">
        <f>V1839+V1840</f>
        <v>0</v>
      </c>
      <c r="W1838" s="24">
        <f t="shared" si="463"/>
        <v>14116.6</v>
      </c>
      <c r="X1838" s="47">
        <f>X1839+X1840</f>
        <v>-1900</v>
      </c>
      <c r="Y1838" s="24">
        <f t="shared" si="464"/>
        <v>12216.6</v>
      </c>
      <c r="Z1838" s="189"/>
    </row>
    <row r="1839" spans="1:27" x14ac:dyDescent="0.25">
      <c r="A1839" s="25" t="s">
        <v>66</v>
      </c>
      <c r="B1839" s="26" t="s">
        <v>536</v>
      </c>
      <c r="C1839" s="26" t="s">
        <v>540</v>
      </c>
      <c r="D1839" s="26" t="s">
        <v>42</v>
      </c>
      <c r="E1839" s="27">
        <v>3000</v>
      </c>
      <c r="F1839" s="27"/>
      <c r="G1839" s="24">
        <f t="shared" si="459"/>
        <v>3000</v>
      </c>
      <c r="H1839" s="27"/>
      <c r="I1839" s="24">
        <f t="shared" si="453"/>
        <v>3000</v>
      </c>
      <c r="J1839" s="69"/>
      <c r="K1839" s="24">
        <f t="shared" si="454"/>
        <v>3000</v>
      </c>
      <c r="L1839" s="69"/>
      <c r="M1839" s="24">
        <f t="shared" si="455"/>
        <v>3000</v>
      </c>
      <c r="N1839" s="39">
        <v>3050</v>
      </c>
      <c r="O1839" s="24">
        <f t="shared" si="456"/>
        <v>6050</v>
      </c>
      <c r="P1839" s="69"/>
      <c r="Q1839" s="24">
        <f t="shared" si="452"/>
        <v>6050</v>
      </c>
      <c r="R1839" s="69"/>
      <c r="S1839" s="24">
        <f t="shared" si="447"/>
        <v>6050</v>
      </c>
      <c r="T1839" s="69"/>
      <c r="U1839" s="24">
        <f t="shared" si="448"/>
        <v>6050</v>
      </c>
      <c r="V1839" s="69"/>
      <c r="W1839" s="24">
        <f t="shared" si="463"/>
        <v>6050</v>
      </c>
      <c r="X1839" s="39">
        <v>-1900</v>
      </c>
      <c r="Y1839" s="24">
        <f t="shared" si="464"/>
        <v>4150</v>
      </c>
      <c r="AA1839" s="189">
        <f t="shared" ref="AA1839:AA1840" si="471">Y1839+Z1839</f>
        <v>4150</v>
      </c>
    </row>
    <row r="1840" spans="1:27" ht="24.75" x14ac:dyDescent="0.25">
      <c r="A1840" s="25" t="s">
        <v>572</v>
      </c>
      <c r="B1840" s="26" t="s">
        <v>536</v>
      </c>
      <c r="C1840" s="26" t="s">
        <v>540</v>
      </c>
      <c r="D1840" s="26" t="s">
        <v>241</v>
      </c>
      <c r="E1840" s="27">
        <v>8100</v>
      </c>
      <c r="F1840" s="27"/>
      <c r="G1840" s="24">
        <f t="shared" si="459"/>
        <v>8100</v>
      </c>
      <c r="H1840" s="27"/>
      <c r="I1840" s="24">
        <f t="shared" si="453"/>
        <v>8100</v>
      </c>
      <c r="J1840" s="69"/>
      <c r="K1840" s="24">
        <f t="shared" si="454"/>
        <v>8100</v>
      </c>
      <c r="L1840" s="69"/>
      <c r="M1840" s="24">
        <f t="shared" si="455"/>
        <v>8100</v>
      </c>
      <c r="N1840" s="69"/>
      <c r="O1840" s="24">
        <f t="shared" si="456"/>
        <v>8100</v>
      </c>
      <c r="P1840" s="69"/>
      <c r="Q1840" s="24">
        <f t="shared" si="452"/>
        <v>8100</v>
      </c>
      <c r="R1840" s="69"/>
      <c r="S1840" s="24">
        <f t="shared" si="447"/>
        <v>8100</v>
      </c>
      <c r="T1840" s="39">
        <v>-33.4</v>
      </c>
      <c r="U1840" s="24">
        <f t="shared" si="448"/>
        <v>8066.6</v>
      </c>
      <c r="V1840" s="69"/>
      <c r="W1840" s="24">
        <f t="shared" si="463"/>
        <v>8066.6</v>
      </c>
      <c r="X1840" s="69"/>
      <c r="Y1840" s="24">
        <f t="shared" si="464"/>
        <v>8066.6</v>
      </c>
      <c r="AA1840" s="189">
        <f t="shared" si="471"/>
        <v>8066.6</v>
      </c>
    </row>
    <row r="1841" spans="1:27" ht="24.75" x14ac:dyDescent="0.25">
      <c r="A1841" s="16" t="s">
        <v>234</v>
      </c>
      <c r="B1841" s="20" t="s">
        <v>536</v>
      </c>
      <c r="C1841" s="23" t="s">
        <v>760</v>
      </c>
      <c r="D1841" s="20"/>
      <c r="E1841" s="27"/>
      <c r="F1841" s="27"/>
      <c r="G1841" s="24"/>
      <c r="H1841" s="27"/>
      <c r="I1841" s="24"/>
      <c r="J1841" s="69"/>
      <c r="K1841" s="24"/>
      <c r="L1841" s="69"/>
      <c r="M1841" s="24"/>
      <c r="N1841" s="69"/>
      <c r="O1841" s="24"/>
      <c r="P1841" s="69"/>
      <c r="Q1841" s="24"/>
      <c r="R1841" s="69"/>
      <c r="S1841" s="24"/>
      <c r="T1841" s="39"/>
      <c r="U1841" s="24"/>
      <c r="V1841" s="47">
        <f>V1842</f>
        <v>49</v>
      </c>
      <c r="W1841" s="24">
        <f t="shared" si="463"/>
        <v>49</v>
      </c>
      <c r="X1841" s="47">
        <f>X1842</f>
        <v>0</v>
      </c>
      <c r="Y1841" s="24">
        <f t="shared" si="464"/>
        <v>49</v>
      </c>
    </row>
    <row r="1842" spans="1:27" x14ac:dyDescent="0.25">
      <c r="A1842" s="17" t="s">
        <v>321</v>
      </c>
      <c r="B1842" s="21" t="s">
        <v>536</v>
      </c>
      <c r="C1842" s="26" t="s">
        <v>760</v>
      </c>
      <c r="D1842" s="21" t="s">
        <v>322</v>
      </c>
      <c r="E1842" s="27"/>
      <c r="F1842" s="27"/>
      <c r="G1842" s="24"/>
      <c r="H1842" s="27"/>
      <c r="I1842" s="24"/>
      <c r="J1842" s="69"/>
      <c r="K1842" s="24"/>
      <c r="L1842" s="69"/>
      <c r="M1842" s="24"/>
      <c r="N1842" s="69"/>
      <c r="O1842" s="24"/>
      <c r="P1842" s="69"/>
      <c r="Q1842" s="24"/>
      <c r="R1842" s="69"/>
      <c r="S1842" s="24"/>
      <c r="T1842" s="39"/>
      <c r="U1842" s="24"/>
      <c r="V1842" s="94">
        <v>49</v>
      </c>
      <c r="W1842" s="24">
        <f t="shared" si="463"/>
        <v>49</v>
      </c>
      <c r="X1842" s="69"/>
      <c r="Y1842" s="24">
        <f t="shared" si="464"/>
        <v>49</v>
      </c>
      <c r="AA1842" s="189">
        <f>Y1842+Z1842</f>
        <v>49</v>
      </c>
    </row>
    <row r="1843" spans="1:27" x14ac:dyDescent="0.25">
      <c r="A1843" s="16" t="s">
        <v>811</v>
      </c>
      <c r="B1843" s="20" t="s">
        <v>536</v>
      </c>
      <c r="C1843" s="23" t="s">
        <v>812</v>
      </c>
      <c r="D1843" s="20"/>
      <c r="E1843" s="27"/>
      <c r="F1843" s="27"/>
      <c r="G1843" s="24"/>
      <c r="H1843" s="27"/>
      <c r="I1843" s="24"/>
      <c r="J1843" s="69"/>
      <c r="K1843" s="24"/>
      <c r="L1843" s="18">
        <f>L1844</f>
        <v>6763.7000000000007</v>
      </c>
      <c r="M1843" s="24">
        <f t="shared" si="455"/>
        <v>6763.7000000000007</v>
      </c>
      <c r="N1843" s="18">
        <f>N1844</f>
        <v>-418.79999999999995</v>
      </c>
      <c r="O1843" s="24">
        <f t="shared" si="456"/>
        <v>6344.9000000000005</v>
      </c>
      <c r="P1843" s="18">
        <f>P1844</f>
        <v>0</v>
      </c>
      <c r="Q1843" s="24">
        <f t="shared" si="452"/>
        <v>6344.9000000000005</v>
      </c>
      <c r="R1843" s="18">
        <f>R1844</f>
        <v>-1405.4</v>
      </c>
      <c r="S1843" s="24">
        <f t="shared" ref="S1843:S1868" si="472">Q1843+R1843</f>
        <v>4939.5</v>
      </c>
      <c r="T1843" s="18">
        <f>T1844</f>
        <v>0</v>
      </c>
      <c r="U1843" s="24">
        <f t="shared" ref="U1843:U1851" si="473">S1843+T1843</f>
        <v>4939.5</v>
      </c>
      <c r="V1843" s="18">
        <f>V1844</f>
        <v>-200</v>
      </c>
      <c r="W1843" s="24">
        <f t="shared" si="463"/>
        <v>4739.5</v>
      </c>
      <c r="X1843" s="18">
        <f>X1844</f>
        <v>0</v>
      </c>
      <c r="Y1843" s="24">
        <f t="shared" si="464"/>
        <v>4739.5</v>
      </c>
    </row>
    <row r="1844" spans="1:27" x14ac:dyDescent="0.25">
      <c r="A1844" s="17" t="s">
        <v>321</v>
      </c>
      <c r="B1844" s="21" t="s">
        <v>536</v>
      </c>
      <c r="C1844" s="26" t="s">
        <v>812</v>
      </c>
      <c r="D1844" s="21" t="s">
        <v>322</v>
      </c>
      <c r="E1844" s="27"/>
      <c r="F1844" s="27"/>
      <c r="G1844" s="24"/>
      <c r="H1844" s="27"/>
      <c r="I1844" s="24"/>
      <c r="J1844" s="69"/>
      <c r="K1844" s="24"/>
      <c r="L1844" s="96">
        <f>2164.4+1232.4+3366.9</f>
        <v>6763.7000000000007</v>
      </c>
      <c r="M1844" s="24">
        <f t="shared" si="455"/>
        <v>6763.7000000000007</v>
      </c>
      <c r="N1844" s="109">
        <f>1474-1892.8</f>
        <v>-418.79999999999995</v>
      </c>
      <c r="O1844" s="24">
        <f t="shared" si="456"/>
        <v>6344.9000000000005</v>
      </c>
      <c r="P1844" s="69"/>
      <c r="Q1844" s="24">
        <f t="shared" si="452"/>
        <v>6344.9000000000005</v>
      </c>
      <c r="R1844" s="39">
        <v>-1405.4</v>
      </c>
      <c r="S1844" s="24">
        <f t="shared" si="472"/>
        <v>4939.5</v>
      </c>
      <c r="T1844" s="69"/>
      <c r="U1844" s="24">
        <f t="shared" si="473"/>
        <v>4939.5</v>
      </c>
      <c r="V1844" s="94">
        <v>-200</v>
      </c>
      <c r="W1844" s="24">
        <f t="shared" si="463"/>
        <v>4739.5</v>
      </c>
      <c r="X1844" s="69"/>
      <c r="Y1844" s="24">
        <f t="shared" si="464"/>
        <v>4739.5</v>
      </c>
      <c r="AA1844" s="189">
        <f>Y1844+Z1844</f>
        <v>4739.5</v>
      </c>
    </row>
    <row r="1845" spans="1:27" ht="36.75" x14ac:dyDescent="0.25">
      <c r="A1845" s="22" t="s">
        <v>619</v>
      </c>
      <c r="B1845" s="23" t="s">
        <v>536</v>
      </c>
      <c r="C1845" s="23" t="s">
        <v>638</v>
      </c>
      <c r="D1845" s="26"/>
      <c r="E1845" s="24">
        <f>E1846</f>
        <v>300</v>
      </c>
      <c r="F1845" s="24">
        <f>F1846</f>
        <v>0</v>
      </c>
      <c r="G1845" s="24">
        <f t="shared" si="459"/>
        <v>300</v>
      </c>
      <c r="H1845" s="24">
        <f>H1846</f>
        <v>0</v>
      </c>
      <c r="I1845" s="24">
        <f t="shared" si="453"/>
        <v>300</v>
      </c>
      <c r="J1845" s="47">
        <f>J1846</f>
        <v>0</v>
      </c>
      <c r="K1845" s="24">
        <f t="shared" si="454"/>
        <v>300</v>
      </c>
      <c r="L1845" s="47">
        <f>L1846</f>
        <v>0</v>
      </c>
      <c r="M1845" s="24">
        <f t="shared" si="455"/>
        <v>300</v>
      </c>
      <c r="N1845" s="47">
        <f>N1846</f>
        <v>0</v>
      </c>
      <c r="O1845" s="24">
        <f t="shared" si="456"/>
        <v>300</v>
      </c>
      <c r="P1845" s="47">
        <f>P1846</f>
        <v>0</v>
      </c>
      <c r="Q1845" s="24">
        <f t="shared" si="452"/>
        <v>300</v>
      </c>
      <c r="R1845" s="47">
        <f>R1846</f>
        <v>0</v>
      </c>
      <c r="S1845" s="24">
        <f t="shared" si="472"/>
        <v>300</v>
      </c>
      <c r="T1845" s="47">
        <f>T1846</f>
        <v>0</v>
      </c>
      <c r="U1845" s="24">
        <f t="shared" si="473"/>
        <v>300</v>
      </c>
      <c r="V1845" s="47">
        <f>V1846</f>
        <v>0</v>
      </c>
      <c r="W1845" s="24">
        <f t="shared" si="463"/>
        <v>300</v>
      </c>
      <c r="X1845" s="47">
        <f>X1846</f>
        <v>0</v>
      </c>
      <c r="Y1845" s="24">
        <f t="shared" si="464"/>
        <v>300</v>
      </c>
    </row>
    <row r="1846" spans="1:27" x14ac:dyDescent="0.25">
      <c r="A1846" s="25" t="s">
        <v>321</v>
      </c>
      <c r="B1846" s="26" t="s">
        <v>536</v>
      </c>
      <c r="C1846" s="26" t="s">
        <v>638</v>
      </c>
      <c r="D1846" s="26" t="s">
        <v>322</v>
      </c>
      <c r="E1846" s="27">
        <v>300</v>
      </c>
      <c r="F1846" s="27"/>
      <c r="G1846" s="24">
        <f t="shared" si="459"/>
        <v>300</v>
      </c>
      <c r="H1846" s="27"/>
      <c r="I1846" s="24">
        <f t="shared" si="453"/>
        <v>300</v>
      </c>
      <c r="J1846" s="69"/>
      <c r="K1846" s="24">
        <f t="shared" si="454"/>
        <v>300</v>
      </c>
      <c r="L1846" s="69"/>
      <c r="M1846" s="24">
        <f t="shared" si="455"/>
        <v>300</v>
      </c>
      <c r="N1846" s="69"/>
      <c r="O1846" s="24">
        <f t="shared" si="456"/>
        <v>300</v>
      </c>
      <c r="P1846" s="69"/>
      <c r="Q1846" s="24">
        <f t="shared" si="452"/>
        <v>300</v>
      </c>
      <c r="R1846" s="69"/>
      <c r="S1846" s="24">
        <f t="shared" si="472"/>
        <v>300</v>
      </c>
      <c r="T1846" s="69"/>
      <c r="U1846" s="24">
        <f t="shared" si="473"/>
        <v>300</v>
      </c>
      <c r="V1846" s="69"/>
      <c r="W1846" s="24">
        <f t="shared" si="463"/>
        <v>300</v>
      </c>
      <c r="X1846" s="69"/>
      <c r="Y1846" s="24">
        <f t="shared" si="464"/>
        <v>300</v>
      </c>
      <c r="AA1846" s="189">
        <f>Y1846+Z1846</f>
        <v>300</v>
      </c>
    </row>
    <row r="1847" spans="1:27" s="6" customFormat="1" x14ac:dyDescent="0.25">
      <c r="A1847" s="22" t="s">
        <v>49</v>
      </c>
      <c r="B1847" s="23" t="s">
        <v>536</v>
      </c>
      <c r="C1847" s="23" t="s">
        <v>542</v>
      </c>
      <c r="D1847" s="23" t="s">
        <v>2</v>
      </c>
      <c r="E1847" s="24">
        <f>E1848</f>
        <v>315.2</v>
      </c>
      <c r="F1847" s="24">
        <f>F1848</f>
        <v>0</v>
      </c>
      <c r="G1847" s="24">
        <f t="shared" si="459"/>
        <v>315.2</v>
      </c>
      <c r="H1847" s="24">
        <f>H1848</f>
        <v>0</v>
      </c>
      <c r="I1847" s="24">
        <f t="shared" si="453"/>
        <v>315.2</v>
      </c>
      <c r="J1847" s="47">
        <f>J1848</f>
        <v>0</v>
      </c>
      <c r="K1847" s="24">
        <f t="shared" si="454"/>
        <v>315.2</v>
      </c>
      <c r="L1847" s="47">
        <f>L1848</f>
        <v>0</v>
      </c>
      <c r="M1847" s="24">
        <f t="shared" si="455"/>
        <v>315.2</v>
      </c>
      <c r="N1847" s="47">
        <f>N1848</f>
        <v>0</v>
      </c>
      <c r="O1847" s="24">
        <f t="shared" si="456"/>
        <v>315.2</v>
      </c>
      <c r="P1847" s="47">
        <f>P1848</f>
        <v>0</v>
      </c>
      <c r="Q1847" s="24">
        <f t="shared" si="452"/>
        <v>315.2</v>
      </c>
      <c r="R1847" s="47">
        <f>R1848</f>
        <v>0</v>
      </c>
      <c r="S1847" s="24">
        <f t="shared" si="472"/>
        <v>315.2</v>
      </c>
      <c r="T1847" s="47">
        <f>T1848</f>
        <v>0</v>
      </c>
      <c r="U1847" s="24">
        <f t="shared" si="473"/>
        <v>315.2</v>
      </c>
      <c r="V1847" s="47">
        <f>V1848</f>
        <v>68.5</v>
      </c>
      <c r="W1847" s="24">
        <f t="shared" si="463"/>
        <v>383.7</v>
      </c>
      <c r="X1847" s="47">
        <f>X1848</f>
        <v>0</v>
      </c>
      <c r="Y1847" s="24">
        <f t="shared" si="464"/>
        <v>383.7</v>
      </c>
      <c r="Z1847" s="189"/>
    </row>
    <row r="1848" spans="1:27" x14ac:dyDescent="0.25">
      <c r="A1848" s="25" t="s">
        <v>321</v>
      </c>
      <c r="B1848" s="26" t="s">
        <v>536</v>
      </c>
      <c r="C1848" s="26" t="s">
        <v>542</v>
      </c>
      <c r="D1848" s="26" t="s">
        <v>322</v>
      </c>
      <c r="E1848" s="27">
        <v>315.2</v>
      </c>
      <c r="F1848" s="27"/>
      <c r="G1848" s="24">
        <f t="shared" si="459"/>
        <v>315.2</v>
      </c>
      <c r="H1848" s="27"/>
      <c r="I1848" s="24">
        <f t="shared" si="453"/>
        <v>315.2</v>
      </c>
      <c r="J1848" s="69"/>
      <c r="K1848" s="24">
        <f t="shared" si="454"/>
        <v>315.2</v>
      </c>
      <c r="L1848" s="69"/>
      <c r="M1848" s="24">
        <f t="shared" si="455"/>
        <v>315.2</v>
      </c>
      <c r="N1848" s="69"/>
      <c r="O1848" s="24">
        <f t="shared" si="456"/>
        <v>315.2</v>
      </c>
      <c r="P1848" s="69"/>
      <c r="Q1848" s="24">
        <f t="shared" si="452"/>
        <v>315.2</v>
      </c>
      <c r="R1848" s="69"/>
      <c r="S1848" s="24">
        <f t="shared" si="472"/>
        <v>315.2</v>
      </c>
      <c r="T1848" s="69"/>
      <c r="U1848" s="24">
        <f t="shared" si="473"/>
        <v>315.2</v>
      </c>
      <c r="V1848" s="39">
        <v>68.5</v>
      </c>
      <c r="W1848" s="24">
        <f t="shared" si="463"/>
        <v>383.7</v>
      </c>
      <c r="X1848" s="69"/>
      <c r="Y1848" s="24">
        <f t="shared" si="464"/>
        <v>383.7</v>
      </c>
      <c r="AA1848" s="189">
        <f>Y1848+Z1848</f>
        <v>383.7</v>
      </c>
    </row>
    <row r="1849" spans="1:27" ht="24.75" x14ac:dyDescent="0.25">
      <c r="A1849" s="22" t="s">
        <v>773</v>
      </c>
      <c r="B1849" s="23" t="s">
        <v>536</v>
      </c>
      <c r="C1849" s="23" t="s">
        <v>774</v>
      </c>
      <c r="D1849" s="21"/>
      <c r="E1849" s="27"/>
      <c r="F1849" s="27"/>
      <c r="G1849" s="24"/>
      <c r="H1849" s="27"/>
      <c r="I1849" s="24"/>
      <c r="J1849" s="18">
        <f>J1850</f>
        <v>13000</v>
      </c>
      <c r="K1849" s="24">
        <f t="shared" si="454"/>
        <v>13000</v>
      </c>
      <c r="L1849" s="47">
        <f>L1850</f>
        <v>0</v>
      </c>
      <c r="M1849" s="24">
        <f t="shared" si="455"/>
        <v>13000</v>
      </c>
      <c r="N1849" s="47">
        <f>N1850</f>
        <v>0</v>
      </c>
      <c r="O1849" s="24">
        <f t="shared" si="456"/>
        <v>13000</v>
      </c>
      <c r="P1849" s="47">
        <f>P1850</f>
        <v>0</v>
      </c>
      <c r="Q1849" s="24">
        <f t="shared" si="452"/>
        <v>13000</v>
      </c>
      <c r="R1849" s="47">
        <f>R1850</f>
        <v>0</v>
      </c>
      <c r="S1849" s="24">
        <f t="shared" si="472"/>
        <v>13000</v>
      </c>
      <c r="T1849" s="47">
        <f>T1850</f>
        <v>0</v>
      </c>
      <c r="U1849" s="24">
        <f t="shared" si="473"/>
        <v>13000</v>
      </c>
      <c r="V1849" s="47">
        <f>V1850</f>
        <v>0</v>
      </c>
      <c r="W1849" s="24">
        <f t="shared" si="463"/>
        <v>13000</v>
      </c>
      <c r="X1849" s="47">
        <f>X1850</f>
        <v>0</v>
      </c>
      <c r="Y1849" s="24">
        <f t="shared" si="464"/>
        <v>13000</v>
      </c>
    </row>
    <row r="1850" spans="1:27" x14ac:dyDescent="0.25">
      <c r="A1850" s="30" t="s">
        <v>66</v>
      </c>
      <c r="B1850" s="26" t="s">
        <v>536</v>
      </c>
      <c r="C1850" s="26" t="s">
        <v>774</v>
      </c>
      <c r="D1850" s="21" t="s">
        <v>42</v>
      </c>
      <c r="E1850" s="27"/>
      <c r="F1850" s="27"/>
      <c r="G1850" s="24"/>
      <c r="H1850" s="27"/>
      <c r="I1850" s="24"/>
      <c r="J1850" s="39">
        <v>13000</v>
      </c>
      <c r="K1850" s="24">
        <f t="shared" si="454"/>
        <v>13000</v>
      </c>
      <c r="L1850" s="69"/>
      <c r="M1850" s="24">
        <f t="shared" si="455"/>
        <v>13000</v>
      </c>
      <c r="N1850" s="69"/>
      <c r="O1850" s="24">
        <f t="shared" si="456"/>
        <v>13000</v>
      </c>
      <c r="P1850" s="69"/>
      <c r="Q1850" s="24">
        <f t="shared" si="452"/>
        <v>13000</v>
      </c>
      <c r="R1850" s="69"/>
      <c r="S1850" s="24">
        <f t="shared" si="472"/>
        <v>13000</v>
      </c>
      <c r="T1850" s="69"/>
      <c r="U1850" s="24">
        <f t="shared" si="473"/>
        <v>13000</v>
      </c>
      <c r="V1850" s="69"/>
      <c r="W1850" s="24">
        <f t="shared" si="463"/>
        <v>13000</v>
      </c>
      <c r="X1850" s="69"/>
      <c r="Y1850" s="24">
        <f t="shared" si="464"/>
        <v>13000</v>
      </c>
      <c r="AA1850" s="189">
        <f>Y1850+Z1850</f>
        <v>13000</v>
      </c>
    </row>
    <row r="1851" spans="1:27" s="6" customFormat="1" ht="36.75" x14ac:dyDescent="0.25">
      <c r="A1851" s="22" t="s">
        <v>37</v>
      </c>
      <c r="B1851" s="23" t="s">
        <v>536</v>
      </c>
      <c r="C1851" s="23" t="s">
        <v>541</v>
      </c>
      <c r="D1851" s="23" t="s">
        <v>2</v>
      </c>
      <c r="E1851" s="24">
        <f>E1852+E1853</f>
        <v>17547.599999999999</v>
      </c>
      <c r="F1851" s="24">
        <f>F1852+F1853</f>
        <v>0</v>
      </c>
      <c r="G1851" s="24">
        <f t="shared" si="459"/>
        <v>17547.599999999999</v>
      </c>
      <c r="H1851" s="24">
        <f>H1852+H1853</f>
        <v>-2500</v>
      </c>
      <c r="I1851" s="24">
        <f t="shared" si="453"/>
        <v>15047.599999999999</v>
      </c>
      <c r="J1851" s="47">
        <f>J1852+J1853</f>
        <v>125</v>
      </c>
      <c r="K1851" s="24">
        <f t="shared" si="454"/>
        <v>15172.599999999999</v>
      </c>
      <c r="L1851" s="47">
        <f>L1852+L1853</f>
        <v>1.1000000000000001</v>
      </c>
      <c r="M1851" s="24">
        <f t="shared" si="455"/>
        <v>15173.699999999999</v>
      </c>
      <c r="N1851" s="47">
        <f>N1852+N1853</f>
        <v>0</v>
      </c>
      <c r="O1851" s="24">
        <f t="shared" si="456"/>
        <v>15173.699999999999</v>
      </c>
      <c r="P1851" s="47">
        <f>P1852+P1853</f>
        <v>-750</v>
      </c>
      <c r="Q1851" s="24">
        <f t="shared" ref="Q1851:Q1868" si="474">O1851+P1851</f>
        <v>14423.699999999999</v>
      </c>
      <c r="R1851" s="47">
        <f>R1852+R1853</f>
        <v>750</v>
      </c>
      <c r="S1851" s="24">
        <f t="shared" si="472"/>
        <v>15173.699999999999</v>
      </c>
      <c r="T1851" s="47">
        <f>T1852+T1853</f>
        <v>287.10000000000002</v>
      </c>
      <c r="U1851" s="24">
        <f t="shared" si="473"/>
        <v>15460.8</v>
      </c>
      <c r="V1851" s="47">
        <f>V1852+V1853</f>
        <v>-402.2</v>
      </c>
      <c r="W1851" s="24">
        <f t="shared" si="463"/>
        <v>15058.599999999999</v>
      </c>
      <c r="X1851" s="47">
        <f>X1852+X1853</f>
        <v>0</v>
      </c>
      <c r="Y1851" s="24">
        <f t="shared" si="464"/>
        <v>15058.599999999999</v>
      </c>
      <c r="Z1851" s="189"/>
    </row>
    <row r="1852" spans="1:27" ht="36.75" x14ac:dyDescent="0.25">
      <c r="A1852" s="25" t="s">
        <v>308</v>
      </c>
      <c r="B1852" s="26" t="s">
        <v>536</v>
      </c>
      <c r="C1852" s="26" t="s">
        <v>541</v>
      </c>
      <c r="D1852" s="26" t="s">
        <v>305</v>
      </c>
      <c r="E1852" s="27">
        <f>14687.6+60</f>
        <v>14747.6</v>
      </c>
      <c r="F1852" s="27"/>
      <c r="G1852" s="24">
        <f t="shared" si="459"/>
        <v>14747.6</v>
      </c>
      <c r="H1852" s="27"/>
      <c r="I1852" s="24">
        <f t="shared" si="453"/>
        <v>14747.6</v>
      </c>
      <c r="J1852" s="63">
        <v>-25</v>
      </c>
      <c r="K1852" s="24">
        <f t="shared" si="454"/>
        <v>14722.6</v>
      </c>
      <c r="L1852" s="69"/>
      <c r="M1852" s="24">
        <f t="shared" si="455"/>
        <v>14722.6</v>
      </c>
      <c r="N1852" s="63">
        <v>-26.7</v>
      </c>
      <c r="O1852" s="24">
        <f t="shared" si="456"/>
        <v>14695.9</v>
      </c>
      <c r="P1852" s="94">
        <v>-750</v>
      </c>
      <c r="Q1852" s="24">
        <f t="shared" si="474"/>
        <v>13945.9</v>
      </c>
      <c r="R1852" s="39">
        <v>-7</v>
      </c>
      <c r="S1852" s="24">
        <f>Q1852+R1852</f>
        <v>13938.9</v>
      </c>
      <c r="T1852" s="39">
        <v>287.10000000000002</v>
      </c>
      <c r="U1852" s="24">
        <f>S1852+T1852</f>
        <v>14226</v>
      </c>
      <c r="V1852" s="39">
        <f>-333.7-68.5+750</f>
        <v>347.8</v>
      </c>
      <c r="W1852" s="24">
        <f>U1852+V1852</f>
        <v>14573.8</v>
      </c>
      <c r="X1852" s="69"/>
      <c r="Y1852" s="24">
        <f>W1852+X1852</f>
        <v>14573.8</v>
      </c>
      <c r="AA1852" s="189">
        <f t="shared" ref="AA1852:AA1853" si="475">Y1852+Z1852</f>
        <v>14573.8</v>
      </c>
    </row>
    <row r="1853" spans="1:27" x14ac:dyDescent="0.25">
      <c r="A1853" s="25" t="s">
        <v>321</v>
      </c>
      <c r="B1853" s="26" t="s">
        <v>536</v>
      </c>
      <c r="C1853" s="26" t="s">
        <v>541</v>
      </c>
      <c r="D1853" s="26" t="s">
        <v>322</v>
      </c>
      <c r="E1853" s="27">
        <f>2500+360-60</f>
        <v>2800</v>
      </c>
      <c r="F1853" s="27"/>
      <c r="G1853" s="24">
        <f t="shared" si="459"/>
        <v>2800</v>
      </c>
      <c r="H1853" s="39">
        <v>-2500</v>
      </c>
      <c r="I1853" s="24">
        <f t="shared" si="453"/>
        <v>300</v>
      </c>
      <c r="J1853" s="63">
        <v>150</v>
      </c>
      <c r="K1853" s="24">
        <f t="shared" si="454"/>
        <v>450</v>
      </c>
      <c r="L1853" s="86">
        <v>1.1000000000000001</v>
      </c>
      <c r="M1853" s="24">
        <f t="shared" si="455"/>
        <v>451.1</v>
      </c>
      <c r="N1853" s="63">
        <v>26.7</v>
      </c>
      <c r="O1853" s="24">
        <f t="shared" si="456"/>
        <v>477.8</v>
      </c>
      <c r="P1853" s="69"/>
      <c r="Q1853" s="24">
        <f t="shared" si="474"/>
        <v>477.8</v>
      </c>
      <c r="R1853" s="39">
        <f>750+7</f>
        <v>757</v>
      </c>
      <c r="S1853" s="24">
        <f>Q1853+R1853</f>
        <v>1234.8</v>
      </c>
      <c r="T1853" s="69"/>
      <c r="U1853" s="24">
        <f>S1853+T1853</f>
        <v>1234.8</v>
      </c>
      <c r="V1853" s="94">
        <v>-750</v>
      </c>
      <c r="W1853" s="24">
        <f>U1853+V1853</f>
        <v>484.79999999999995</v>
      </c>
      <c r="X1853" s="69"/>
      <c r="Y1853" s="24">
        <f>W1853+X1853</f>
        <v>484.79999999999995</v>
      </c>
      <c r="AA1853" s="189">
        <f t="shared" si="475"/>
        <v>484.79999999999995</v>
      </c>
    </row>
    <row r="1854" spans="1:27" s="6" customFormat="1" ht="27.75" customHeight="1" x14ac:dyDescent="0.25">
      <c r="A1854" s="22" t="s">
        <v>437</v>
      </c>
      <c r="B1854" s="23" t="s">
        <v>536</v>
      </c>
      <c r="C1854" s="23" t="s">
        <v>543</v>
      </c>
      <c r="D1854" s="23" t="s">
        <v>2</v>
      </c>
      <c r="E1854" s="24">
        <f>E1855</f>
        <v>6268.1</v>
      </c>
      <c r="F1854" s="24">
        <f>F1855</f>
        <v>0</v>
      </c>
      <c r="G1854" s="24">
        <f t="shared" si="459"/>
        <v>6268.1</v>
      </c>
      <c r="H1854" s="24">
        <f>H1855</f>
        <v>0</v>
      </c>
      <c r="I1854" s="24">
        <f t="shared" si="453"/>
        <v>6268.1</v>
      </c>
      <c r="J1854" s="47">
        <f>J1855</f>
        <v>0</v>
      </c>
      <c r="K1854" s="24">
        <f t="shared" si="454"/>
        <v>6268.1</v>
      </c>
      <c r="L1854" s="47">
        <f>L1855</f>
        <v>-1671.1</v>
      </c>
      <c r="M1854" s="24">
        <f t="shared" si="455"/>
        <v>4597</v>
      </c>
      <c r="N1854" s="47">
        <f>N1855</f>
        <v>1671.1</v>
      </c>
      <c r="O1854" s="24">
        <f t="shared" si="456"/>
        <v>6268.1</v>
      </c>
      <c r="P1854" s="47">
        <f>P1855</f>
        <v>0</v>
      </c>
      <c r="Q1854" s="24">
        <f t="shared" si="474"/>
        <v>6268.1</v>
      </c>
      <c r="R1854" s="47">
        <f>R1855</f>
        <v>0</v>
      </c>
      <c r="S1854" s="24">
        <f t="shared" si="472"/>
        <v>6268.1</v>
      </c>
      <c r="T1854" s="47">
        <f>T1855</f>
        <v>0</v>
      </c>
      <c r="U1854" s="24">
        <f t="shared" ref="U1854:U1867" si="476">S1854+T1854</f>
        <v>6268.1</v>
      </c>
      <c r="V1854" s="47">
        <f>V1855</f>
        <v>-1045.0999999999999</v>
      </c>
      <c r="W1854" s="24">
        <f t="shared" ref="W1854:W1867" si="477">U1854+V1854</f>
        <v>5223</v>
      </c>
      <c r="X1854" s="47">
        <f>X1855</f>
        <v>0</v>
      </c>
      <c r="Y1854" s="24">
        <f t="shared" ref="Y1854:Y1867" si="478">W1854+X1854</f>
        <v>5223</v>
      </c>
      <c r="Z1854" s="189"/>
    </row>
    <row r="1855" spans="1:27" ht="36.75" x14ac:dyDescent="0.25">
      <c r="A1855" s="25" t="s">
        <v>308</v>
      </c>
      <c r="B1855" s="26" t="s">
        <v>536</v>
      </c>
      <c r="C1855" s="26" t="s">
        <v>543</v>
      </c>
      <c r="D1855" s="26" t="s">
        <v>305</v>
      </c>
      <c r="E1855" s="27">
        <v>6268.1</v>
      </c>
      <c r="F1855" s="27"/>
      <c r="G1855" s="24">
        <f t="shared" si="459"/>
        <v>6268.1</v>
      </c>
      <c r="H1855" s="27"/>
      <c r="I1855" s="24">
        <f t="shared" si="453"/>
        <v>6268.1</v>
      </c>
      <c r="J1855" s="27"/>
      <c r="K1855" s="24">
        <f t="shared" si="454"/>
        <v>6268.1</v>
      </c>
      <c r="L1855" s="39">
        <v>-1671.1</v>
      </c>
      <c r="M1855" s="24">
        <f t="shared" si="455"/>
        <v>4597</v>
      </c>
      <c r="N1855" s="63">
        <v>1671.1</v>
      </c>
      <c r="O1855" s="24">
        <f t="shared" si="456"/>
        <v>6268.1</v>
      </c>
      <c r="P1855" s="69"/>
      <c r="Q1855" s="24">
        <f t="shared" si="474"/>
        <v>6268.1</v>
      </c>
      <c r="R1855" s="69"/>
      <c r="S1855" s="24">
        <f t="shared" si="472"/>
        <v>6268.1</v>
      </c>
      <c r="T1855" s="69"/>
      <c r="U1855" s="24">
        <f t="shared" si="476"/>
        <v>6268.1</v>
      </c>
      <c r="V1855" s="39">
        <v>-1045.0999999999999</v>
      </c>
      <c r="W1855" s="24">
        <f t="shared" si="477"/>
        <v>5223</v>
      </c>
      <c r="X1855" s="69"/>
      <c r="Y1855" s="24">
        <f t="shared" si="478"/>
        <v>5223</v>
      </c>
      <c r="AA1855" s="189">
        <f>Y1855+Z1855</f>
        <v>5223</v>
      </c>
    </row>
    <row r="1856" spans="1:27" s="6" customFormat="1" ht="36.75" x14ac:dyDescent="0.25">
      <c r="A1856" s="22" t="s">
        <v>439</v>
      </c>
      <c r="B1856" s="23" t="s">
        <v>536</v>
      </c>
      <c r="C1856" s="23" t="s">
        <v>544</v>
      </c>
      <c r="D1856" s="23" t="s">
        <v>2</v>
      </c>
      <c r="E1856" s="24">
        <f>E1857</f>
        <v>131.9</v>
      </c>
      <c r="F1856" s="24">
        <f>F1857</f>
        <v>0</v>
      </c>
      <c r="G1856" s="24">
        <f t="shared" si="459"/>
        <v>131.9</v>
      </c>
      <c r="H1856" s="24">
        <f>H1857</f>
        <v>0</v>
      </c>
      <c r="I1856" s="24">
        <f t="shared" si="453"/>
        <v>131.9</v>
      </c>
      <c r="J1856" s="24">
        <f>J1857</f>
        <v>0</v>
      </c>
      <c r="K1856" s="24">
        <f t="shared" si="454"/>
        <v>131.9</v>
      </c>
      <c r="L1856" s="24">
        <f>L1857</f>
        <v>0</v>
      </c>
      <c r="M1856" s="24">
        <f t="shared" si="455"/>
        <v>131.9</v>
      </c>
      <c r="N1856" s="24">
        <f>N1857</f>
        <v>0</v>
      </c>
      <c r="O1856" s="24">
        <f t="shared" si="456"/>
        <v>131.9</v>
      </c>
      <c r="P1856" s="24">
        <f>P1857</f>
        <v>0</v>
      </c>
      <c r="Q1856" s="24">
        <f t="shared" si="474"/>
        <v>131.9</v>
      </c>
      <c r="R1856" s="24">
        <f>R1857</f>
        <v>0</v>
      </c>
      <c r="S1856" s="24">
        <f t="shared" si="472"/>
        <v>131.9</v>
      </c>
      <c r="T1856" s="24">
        <f>T1857</f>
        <v>0</v>
      </c>
      <c r="U1856" s="24">
        <f t="shared" si="476"/>
        <v>131.9</v>
      </c>
      <c r="V1856" s="24">
        <f>V1857</f>
        <v>0</v>
      </c>
      <c r="W1856" s="24">
        <f t="shared" si="477"/>
        <v>131.9</v>
      </c>
      <c r="X1856" s="24">
        <f>X1857</f>
        <v>0</v>
      </c>
      <c r="Y1856" s="24">
        <f t="shared" si="478"/>
        <v>131.9</v>
      </c>
      <c r="Z1856" s="189"/>
    </row>
    <row r="1857" spans="1:27" ht="36.75" x14ac:dyDescent="0.25">
      <c r="A1857" s="25" t="s">
        <v>308</v>
      </c>
      <c r="B1857" s="26" t="s">
        <v>536</v>
      </c>
      <c r="C1857" s="26" t="s">
        <v>544</v>
      </c>
      <c r="D1857" s="26" t="s">
        <v>305</v>
      </c>
      <c r="E1857" s="27">
        <v>131.9</v>
      </c>
      <c r="F1857" s="27"/>
      <c r="G1857" s="24">
        <f t="shared" si="459"/>
        <v>131.9</v>
      </c>
      <c r="H1857" s="27"/>
      <c r="I1857" s="24">
        <f t="shared" si="453"/>
        <v>131.9</v>
      </c>
      <c r="J1857" s="27"/>
      <c r="K1857" s="24">
        <f t="shared" si="454"/>
        <v>131.9</v>
      </c>
      <c r="L1857" s="27"/>
      <c r="M1857" s="24">
        <f t="shared" si="455"/>
        <v>131.9</v>
      </c>
      <c r="N1857" s="27"/>
      <c r="O1857" s="24">
        <f t="shared" si="456"/>
        <v>131.9</v>
      </c>
      <c r="P1857" s="27"/>
      <c r="Q1857" s="24">
        <f t="shared" si="474"/>
        <v>131.9</v>
      </c>
      <c r="R1857" s="27"/>
      <c r="S1857" s="24">
        <f t="shared" si="472"/>
        <v>131.9</v>
      </c>
      <c r="T1857" s="69"/>
      <c r="U1857" s="24">
        <f t="shared" si="476"/>
        <v>131.9</v>
      </c>
      <c r="V1857" s="69"/>
      <c r="W1857" s="24">
        <f t="shared" si="477"/>
        <v>131.9</v>
      </c>
      <c r="X1857" s="69"/>
      <c r="Y1857" s="24">
        <f t="shared" si="478"/>
        <v>131.9</v>
      </c>
      <c r="AA1857" s="189">
        <f>Y1857+Z1857</f>
        <v>131.9</v>
      </c>
    </row>
    <row r="1858" spans="1:27" ht="24.75" x14ac:dyDescent="0.25">
      <c r="A1858" s="45" t="s">
        <v>621</v>
      </c>
      <c r="B1858" s="20" t="s">
        <v>536</v>
      </c>
      <c r="C1858" s="20" t="s">
        <v>60</v>
      </c>
      <c r="D1858" s="21"/>
      <c r="E1858" s="19"/>
      <c r="F1858" s="19"/>
      <c r="G1858" s="18"/>
      <c r="H1858" s="19"/>
      <c r="I1858" s="18"/>
      <c r="J1858" s="19"/>
      <c r="K1858" s="18"/>
      <c r="L1858" s="19"/>
      <c r="M1858" s="18"/>
      <c r="N1858" s="19"/>
      <c r="O1858" s="18"/>
      <c r="P1858" s="19"/>
      <c r="Q1858" s="18"/>
      <c r="R1858" s="19"/>
      <c r="S1858" s="18"/>
      <c r="T1858" s="47">
        <f>T1859</f>
        <v>255.9</v>
      </c>
      <c r="U1858" s="18">
        <f t="shared" si="476"/>
        <v>255.9</v>
      </c>
      <c r="V1858" s="47">
        <f>V1859</f>
        <v>0</v>
      </c>
      <c r="W1858" s="18">
        <f t="shared" si="477"/>
        <v>255.9</v>
      </c>
      <c r="X1858" s="47">
        <f>X1859</f>
        <v>0</v>
      </c>
      <c r="Y1858" s="18">
        <f t="shared" si="478"/>
        <v>255.9</v>
      </c>
    </row>
    <row r="1859" spans="1:27" ht="24.75" x14ac:dyDescent="0.25">
      <c r="A1859" s="22" t="s">
        <v>90</v>
      </c>
      <c r="B1859" s="20" t="s">
        <v>536</v>
      </c>
      <c r="C1859" s="20" t="s">
        <v>91</v>
      </c>
      <c r="D1859" s="20"/>
      <c r="E1859" s="18"/>
      <c r="F1859" s="18"/>
      <c r="G1859" s="18"/>
      <c r="H1859" s="18"/>
      <c r="I1859" s="18"/>
      <c r="J1859" s="18"/>
      <c r="K1859" s="18"/>
      <c r="L1859" s="18"/>
      <c r="M1859" s="18"/>
      <c r="N1859" s="18"/>
      <c r="O1859" s="18"/>
      <c r="P1859" s="18"/>
      <c r="Q1859" s="18"/>
      <c r="R1859" s="18"/>
      <c r="S1859" s="18"/>
      <c r="T1859" s="47">
        <f>T1860</f>
        <v>255.9</v>
      </c>
      <c r="U1859" s="18">
        <f t="shared" si="476"/>
        <v>255.9</v>
      </c>
      <c r="V1859" s="47">
        <f>V1860</f>
        <v>0</v>
      </c>
      <c r="W1859" s="18">
        <f t="shared" si="477"/>
        <v>255.9</v>
      </c>
      <c r="X1859" s="47">
        <f>X1860</f>
        <v>0</v>
      </c>
      <c r="Y1859" s="18">
        <f t="shared" si="478"/>
        <v>255.9</v>
      </c>
    </row>
    <row r="1860" spans="1:27" x14ac:dyDescent="0.25">
      <c r="A1860" s="140" t="s">
        <v>824</v>
      </c>
      <c r="B1860" s="20" t="s">
        <v>536</v>
      </c>
      <c r="C1860" s="75" t="s">
        <v>1229</v>
      </c>
      <c r="D1860" s="21"/>
      <c r="E1860" s="19"/>
      <c r="F1860" s="19"/>
      <c r="G1860" s="18"/>
      <c r="H1860" s="19"/>
      <c r="I1860" s="18"/>
      <c r="J1860" s="19"/>
      <c r="K1860" s="18"/>
      <c r="L1860" s="19"/>
      <c r="M1860" s="18"/>
      <c r="N1860" s="19"/>
      <c r="O1860" s="18"/>
      <c r="P1860" s="19"/>
      <c r="Q1860" s="18"/>
      <c r="R1860" s="19"/>
      <c r="S1860" s="18"/>
      <c r="T1860" s="47">
        <f>T1861</f>
        <v>255.9</v>
      </c>
      <c r="U1860" s="18">
        <f t="shared" si="476"/>
        <v>255.9</v>
      </c>
      <c r="V1860" s="47">
        <f>V1861</f>
        <v>0</v>
      </c>
      <c r="W1860" s="18">
        <f t="shared" si="477"/>
        <v>255.9</v>
      </c>
      <c r="X1860" s="47">
        <f>X1861</f>
        <v>0</v>
      </c>
      <c r="Y1860" s="18">
        <f t="shared" si="478"/>
        <v>255.9</v>
      </c>
    </row>
    <row r="1861" spans="1:27" x14ac:dyDescent="0.25">
      <c r="A1861" s="62" t="s">
        <v>66</v>
      </c>
      <c r="B1861" s="21" t="s">
        <v>536</v>
      </c>
      <c r="C1861" s="56" t="s">
        <v>1229</v>
      </c>
      <c r="D1861" s="21" t="s">
        <v>42</v>
      </c>
      <c r="E1861" s="19"/>
      <c r="F1861" s="19"/>
      <c r="G1861" s="18"/>
      <c r="H1861" s="19"/>
      <c r="I1861" s="18"/>
      <c r="J1861" s="19"/>
      <c r="K1861" s="18"/>
      <c r="L1861" s="19"/>
      <c r="M1861" s="18"/>
      <c r="N1861" s="19"/>
      <c r="O1861" s="18"/>
      <c r="P1861" s="19"/>
      <c r="Q1861" s="18"/>
      <c r="R1861" s="19"/>
      <c r="S1861" s="18"/>
      <c r="T1861" s="125">
        <f>217.5+38.4</f>
        <v>255.9</v>
      </c>
      <c r="U1861" s="18">
        <f t="shared" si="476"/>
        <v>255.9</v>
      </c>
      <c r="V1861" s="69"/>
      <c r="W1861" s="18">
        <f t="shared" si="477"/>
        <v>255.9</v>
      </c>
      <c r="X1861" s="69"/>
      <c r="Y1861" s="18">
        <f t="shared" si="478"/>
        <v>255.9</v>
      </c>
      <c r="AA1861" s="189">
        <f>Y1861+Z1861</f>
        <v>255.9</v>
      </c>
    </row>
    <row r="1862" spans="1:27" s="6" customFormat="1" x14ac:dyDescent="0.25">
      <c r="A1862" s="34" t="s">
        <v>545</v>
      </c>
      <c r="B1862" s="35" t="s">
        <v>546</v>
      </c>
      <c r="C1862" s="35" t="s">
        <v>2</v>
      </c>
      <c r="D1862" s="35" t="s">
        <v>2</v>
      </c>
      <c r="E1862" s="36">
        <f t="shared" ref="E1862:X1866" si="479">E1863</f>
        <v>17000</v>
      </c>
      <c r="F1862" s="36">
        <f t="shared" si="479"/>
        <v>0</v>
      </c>
      <c r="G1862" s="36">
        <f t="shared" si="459"/>
        <v>17000</v>
      </c>
      <c r="H1862" s="36">
        <f t="shared" si="479"/>
        <v>0</v>
      </c>
      <c r="I1862" s="36">
        <f t="shared" si="453"/>
        <v>17000</v>
      </c>
      <c r="J1862" s="36">
        <f t="shared" si="479"/>
        <v>1963.7</v>
      </c>
      <c r="K1862" s="36">
        <f t="shared" si="454"/>
        <v>18963.7</v>
      </c>
      <c r="L1862" s="36">
        <f t="shared" si="479"/>
        <v>0</v>
      </c>
      <c r="M1862" s="36">
        <f t="shared" si="455"/>
        <v>18963.7</v>
      </c>
      <c r="N1862" s="36">
        <f t="shared" si="479"/>
        <v>-5230.3</v>
      </c>
      <c r="O1862" s="36">
        <f t="shared" si="456"/>
        <v>13733.400000000001</v>
      </c>
      <c r="P1862" s="36">
        <f t="shared" si="479"/>
        <v>0</v>
      </c>
      <c r="Q1862" s="36">
        <f t="shared" si="474"/>
        <v>13733.400000000001</v>
      </c>
      <c r="R1862" s="36">
        <f t="shared" si="479"/>
        <v>-600</v>
      </c>
      <c r="S1862" s="36">
        <f t="shared" si="472"/>
        <v>13133.400000000001</v>
      </c>
      <c r="T1862" s="36">
        <f t="shared" si="479"/>
        <v>0</v>
      </c>
      <c r="U1862" s="36">
        <f t="shared" si="476"/>
        <v>13133.400000000001</v>
      </c>
      <c r="V1862" s="36">
        <f t="shared" si="479"/>
        <v>0</v>
      </c>
      <c r="W1862" s="36">
        <f t="shared" si="477"/>
        <v>13133.400000000001</v>
      </c>
      <c r="X1862" s="36">
        <f t="shared" si="479"/>
        <v>0</v>
      </c>
      <c r="Y1862" s="36">
        <f t="shared" si="478"/>
        <v>13133.400000000001</v>
      </c>
      <c r="Z1862" s="189"/>
    </row>
    <row r="1863" spans="1:27" s="6" customFormat="1" x14ac:dyDescent="0.25">
      <c r="A1863" s="22" t="s">
        <v>547</v>
      </c>
      <c r="B1863" s="23" t="s">
        <v>548</v>
      </c>
      <c r="C1863" s="23" t="s">
        <v>2</v>
      </c>
      <c r="D1863" s="23" t="s">
        <v>2</v>
      </c>
      <c r="E1863" s="24">
        <f t="shared" si="479"/>
        <v>17000</v>
      </c>
      <c r="F1863" s="24">
        <f t="shared" si="479"/>
        <v>0</v>
      </c>
      <c r="G1863" s="24">
        <f t="shared" si="459"/>
        <v>17000</v>
      </c>
      <c r="H1863" s="24">
        <f t="shared" si="479"/>
        <v>0</v>
      </c>
      <c r="I1863" s="24">
        <f t="shared" si="453"/>
        <v>17000</v>
      </c>
      <c r="J1863" s="24">
        <f t="shared" si="479"/>
        <v>1963.7</v>
      </c>
      <c r="K1863" s="24">
        <f t="shared" si="454"/>
        <v>18963.7</v>
      </c>
      <c r="L1863" s="24">
        <f t="shared" si="479"/>
        <v>0</v>
      </c>
      <c r="M1863" s="24">
        <f t="shared" si="455"/>
        <v>18963.7</v>
      </c>
      <c r="N1863" s="24">
        <f t="shared" si="479"/>
        <v>-5230.3</v>
      </c>
      <c r="O1863" s="24">
        <f t="shared" si="456"/>
        <v>13733.400000000001</v>
      </c>
      <c r="P1863" s="24">
        <f t="shared" si="479"/>
        <v>0</v>
      </c>
      <c r="Q1863" s="24">
        <f t="shared" si="474"/>
        <v>13733.400000000001</v>
      </c>
      <c r="R1863" s="24">
        <f t="shared" si="479"/>
        <v>-600</v>
      </c>
      <c r="S1863" s="24">
        <f t="shared" si="472"/>
        <v>13133.400000000001</v>
      </c>
      <c r="T1863" s="24">
        <f t="shared" si="479"/>
        <v>0</v>
      </c>
      <c r="U1863" s="24">
        <f t="shared" si="476"/>
        <v>13133.400000000001</v>
      </c>
      <c r="V1863" s="24">
        <f t="shared" si="479"/>
        <v>0</v>
      </c>
      <c r="W1863" s="24">
        <f t="shared" si="477"/>
        <v>13133.400000000001</v>
      </c>
      <c r="X1863" s="24">
        <f t="shared" si="479"/>
        <v>0</v>
      </c>
      <c r="Y1863" s="24">
        <f t="shared" si="478"/>
        <v>13133.400000000001</v>
      </c>
      <c r="Z1863" s="189"/>
    </row>
    <row r="1864" spans="1:27" s="6" customFormat="1" ht="24.75" x14ac:dyDescent="0.25">
      <c r="A1864" s="22" t="s">
        <v>588</v>
      </c>
      <c r="B1864" s="23" t="s">
        <v>548</v>
      </c>
      <c r="C1864" s="23" t="s">
        <v>60</v>
      </c>
      <c r="D1864" s="23" t="s">
        <v>2</v>
      </c>
      <c r="E1864" s="24">
        <f t="shared" si="479"/>
        <v>17000</v>
      </c>
      <c r="F1864" s="24">
        <f t="shared" si="479"/>
        <v>0</v>
      </c>
      <c r="G1864" s="24">
        <f t="shared" si="459"/>
        <v>17000</v>
      </c>
      <c r="H1864" s="24">
        <f t="shared" si="479"/>
        <v>0</v>
      </c>
      <c r="I1864" s="24">
        <f t="shared" si="453"/>
        <v>17000</v>
      </c>
      <c r="J1864" s="24">
        <f t="shared" si="479"/>
        <v>1963.7</v>
      </c>
      <c r="K1864" s="24">
        <f t="shared" si="454"/>
        <v>18963.7</v>
      </c>
      <c r="L1864" s="24">
        <f t="shared" si="479"/>
        <v>0</v>
      </c>
      <c r="M1864" s="24">
        <f t="shared" si="455"/>
        <v>18963.7</v>
      </c>
      <c r="N1864" s="24">
        <f t="shared" si="479"/>
        <v>-5230.3</v>
      </c>
      <c r="O1864" s="24">
        <f t="shared" si="456"/>
        <v>13733.400000000001</v>
      </c>
      <c r="P1864" s="24">
        <f t="shared" si="479"/>
        <v>0</v>
      </c>
      <c r="Q1864" s="24">
        <f t="shared" si="474"/>
        <v>13733.400000000001</v>
      </c>
      <c r="R1864" s="24">
        <f t="shared" si="479"/>
        <v>-600</v>
      </c>
      <c r="S1864" s="24">
        <f t="shared" si="472"/>
        <v>13133.400000000001</v>
      </c>
      <c r="T1864" s="24">
        <f t="shared" si="479"/>
        <v>0</v>
      </c>
      <c r="U1864" s="24">
        <f t="shared" si="476"/>
        <v>13133.400000000001</v>
      </c>
      <c r="V1864" s="24">
        <f t="shared" si="479"/>
        <v>0</v>
      </c>
      <c r="W1864" s="24">
        <f t="shared" si="477"/>
        <v>13133.400000000001</v>
      </c>
      <c r="X1864" s="24">
        <f t="shared" si="479"/>
        <v>0</v>
      </c>
      <c r="Y1864" s="24">
        <f t="shared" si="478"/>
        <v>13133.400000000001</v>
      </c>
      <c r="Z1864" s="189"/>
    </row>
    <row r="1865" spans="1:27" s="6" customFormat="1" x14ac:dyDescent="0.25">
      <c r="A1865" s="22" t="s">
        <v>549</v>
      </c>
      <c r="B1865" s="23" t="s">
        <v>548</v>
      </c>
      <c r="C1865" s="23" t="s">
        <v>550</v>
      </c>
      <c r="D1865" s="23" t="s">
        <v>2</v>
      </c>
      <c r="E1865" s="24">
        <f t="shared" si="479"/>
        <v>17000</v>
      </c>
      <c r="F1865" s="24">
        <f t="shared" si="479"/>
        <v>0</v>
      </c>
      <c r="G1865" s="24">
        <f t="shared" si="459"/>
        <v>17000</v>
      </c>
      <c r="H1865" s="24">
        <f t="shared" si="479"/>
        <v>0</v>
      </c>
      <c r="I1865" s="24">
        <f t="shared" si="453"/>
        <v>17000</v>
      </c>
      <c r="J1865" s="24">
        <f t="shared" si="479"/>
        <v>1963.7</v>
      </c>
      <c r="K1865" s="24">
        <f t="shared" si="454"/>
        <v>18963.7</v>
      </c>
      <c r="L1865" s="24">
        <f t="shared" si="479"/>
        <v>0</v>
      </c>
      <c r="M1865" s="24">
        <f t="shared" si="455"/>
        <v>18963.7</v>
      </c>
      <c r="N1865" s="24">
        <f t="shared" si="479"/>
        <v>-5230.3</v>
      </c>
      <c r="O1865" s="24">
        <f t="shared" si="456"/>
        <v>13733.400000000001</v>
      </c>
      <c r="P1865" s="24">
        <f t="shared" si="479"/>
        <v>0</v>
      </c>
      <c r="Q1865" s="24">
        <f t="shared" si="474"/>
        <v>13733.400000000001</v>
      </c>
      <c r="R1865" s="24">
        <f t="shared" si="479"/>
        <v>-600</v>
      </c>
      <c r="S1865" s="24">
        <f t="shared" si="472"/>
        <v>13133.400000000001</v>
      </c>
      <c r="T1865" s="24">
        <f t="shared" si="479"/>
        <v>0</v>
      </c>
      <c r="U1865" s="24">
        <f t="shared" si="476"/>
        <v>13133.400000000001</v>
      </c>
      <c r="V1865" s="24">
        <f t="shared" si="479"/>
        <v>0</v>
      </c>
      <c r="W1865" s="24">
        <f t="shared" si="477"/>
        <v>13133.400000000001</v>
      </c>
      <c r="X1865" s="24">
        <f t="shared" si="479"/>
        <v>0</v>
      </c>
      <c r="Y1865" s="24">
        <f t="shared" si="478"/>
        <v>13133.400000000001</v>
      </c>
      <c r="Z1865" s="189"/>
    </row>
    <row r="1866" spans="1:27" s="6" customFormat="1" x14ac:dyDescent="0.25">
      <c r="A1866" s="22" t="s">
        <v>551</v>
      </c>
      <c r="B1866" s="23" t="s">
        <v>548</v>
      </c>
      <c r="C1866" s="23" t="s">
        <v>552</v>
      </c>
      <c r="D1866" s="23" t="s">
        <v>2</v>
      </c>
      <c r="E1866" s="24">
        <f t="shared" si="479"/>
        <v>17000</v>
      </c>
      <c r="F1866" s="24">
        <f t="shared" si="479"/>
        <v>0</v>
      </c>
      <c r="G1866" s="24">
        <f t="shared" si="459"/>
        <v>17000</v>
      </c>
      <c r="H1866" s="24">
        <f t="shared" si="479"/>
        <v>0</v>
      </c>
      <c r="I1866" s="24">
        <f t="shared" si="453"/>
        <v>17000</v>
      </c>
      <c r="J1866" s="24">
        <f t="shared" si="479"/>
        <v>1963.7</v>
      </c>
      <c r="K1866" s="24">
        <f t="shared" si="454"/>
        <v>18963.7</v>
      </c>
      <c r="L1866" s="24">
        <f t="shared" si="479"/>
        <v>0</v>
      </c>
      <c r="M1866" s="24">
        <f t="shared" si="455"/>
        <v>18963.7</v>
      </c>
      <c r="N1866" s="24">
        <f t="shared" si="479"/>
        <v>-5230.3</v>
      </c>
      <c r="O1866" s="24">
        <f t="shared" si="456"/>
        <v>13733.400000000001</v>
      </c>
      <c r="P1866" s="24">
        <f t="shared" si="479"/>
        <v>0</v>
      </c>
      <c r="Q1866" s="24">
        <f t="shared" si="474"/>
        <v>13733.400000000001</v>
      </c>
      <c r="R1866" s="24">
        <f t="shared" si="479"/>
        <v>-600</v>
      </c>
      <c r="S1866" s="24">
        <f t="shared" si="472"/>
        <v>13133.400000000001</v>
      </c>
      <c r="T1866" s="24">
        <f t="shared" si="479"/>
        <v>0</v>
      </c>
      <c r="U1866" s="24">
        <f t="shared" si="476"/>
        <v>13133.400000000001</v>
      </c>
      <c r="V1866" s="24">
        <f t="shared" si="479"/>
        <v>0</v>
      </c>
      <c r="W1866" s="24">
        <f t="shared" si="477"/>
        <v>13133.400000000001</v>
      </c>
      <c r="X1866" s="24">
        <f t="shared" si="479"/>
        <v>0</v>
      </c>
      <c r="Y1866" s="24">
        <f t="shared" si="478"/>
        <v>13133.400000000001</v>
      </c>
      <c r="Z1866" s="189"/>
    </row>
    <row r="1867" spans="1:27" x14ac:dyDescent="0.25">
      <c r="A1867" s="25" t="s">
        <v>576</v>
      </c>
      <c r="B1867" s="26" t="s">
        <v>548</v>
      </c>
      <c r="C1867" s="26" t="s">
        <v>552</v>
      </c>
      <c r="D1867" s="26" t="s">
        <v>553</v>
      </c>
      <c r="E1867" s="27">
        <v>17000</v>
      </c>
      <c r="F1867" s="27"/>
      <c r="G1867" s="24">
        <f t="shared" si="459"/>
        <v>17000</v>
      </c>
      <c r="H1867" s="27"/>
      <c r="I1867" s="24">
        <f t="shared" si="453"/>
        <v>17000</v>
      </c>
      <c r="J1867" s="86">
        <v>1963.7</v>
      </c>
      <c r="K1867" s="24">
        <f t="shared" si="454"/>
        <v>18963.7</v>
      </c>
      <c r="L1867" s="86">
        <f>2898.3-2898.3</f>
        <v>0</v>
      </c>
      <c r="M1867" s="24">
        <f t="shared" si="455"/>
        <v>18963.7</v>
      </c>
      <c r="N1867" s="39">
        <v>-5230.3</v>
      </c>
      <c r="O1867" s="24">
        <f t="shared" si="456"/>
        <v>13733.400000000001</v>
      </c>
      <c r="P1867" s="69">
        <v>0</v>
      </c>
      <c r="Q1867" s="24">
        <f t="shared" si="474"/>
        <v>13733.400000000001</v>
      </c>
      <c r="R1867" s="39">
        <v>-600</v>
      </c>
      <c r="S1867" s="24">
        <f t="shared" si="472"/>
        <v>13133.400000000001</v>
      </c>
      <c r="T1867" s="69"/>
      <c r="U1867" s="24">
        <f t="shared" si="476"/>
        <v>13133.400000000001</v>
      </c>
      <c r="V1867" s="69"/>
      <c r="W1867" s="24">
        <f t="shared" si="477"/>
        <v>13133.400000000001</v>
      </c>
      <c r="X1867" s="69"/>
      <c r="Y1867" s="24">
        <f t="shared" si="478"/>
        <v>13133.400000000001</v>
      </c>
      <c r="AA1867" s="189">
        <f>Y1867+Z1867</f>
        <v>13133.400000000001</v>
      </c>
    </row>
    <row r="1868" spans="1:27" s="5" customFormat="1" ht="15.75" x14ac:dyDescent="0.25">
      <c r="A1868" s="202" t="s">
        <v>3</v>
      </c>
      <c r="B1868" s="202"/>
      <c r="C1868" s="202"/>
      <c r="D1868" s="202"/>
      <c r="E1868" s="37">
        <f>E15+E263+E272+E342+E884+E1191+E1200+E1571+E1734+E1752+E1827+E1862</f>
        <v>2490405.27</v>
      </c>
      <c r="F1868" s="37">
        <f>F15+F263+F272+F342+F884+F1191+F1200+F1571+F1734+F1752+F1827+F1862</f>
        <v>938684.60000000009</v>
      </c>
      <c r="G1868" s="38">
        <f t="shared" si="459"/>
        <v>3429089.87</v>
      </c>
      <c r="H1868" s="37">
        <f>H15+H263+H272+H342+H884+H1191+H1200+H1571+H1734+H1752+H1827+H1862</f>
        <v>251749.2</v>
      </c>
      <c r="I1868" s="38">
        <f t="shared" ref="I1868" si="480">G1868+H1868</f>
        <v>3680839.0700000003</v>
      </c>
      <c r="J1868" s="37">
        <f>J15+J263+J272+J342+J884+J1191+J1200+J1571+J1734+J1752+J1827+J1862</f>
        <v>212972.30000000002</v>
      </c>
      <c r="K1868" s="38">
        <f t="shared" ref="K1868" si="481">I1868+J1868</f>
        <v>3893811.37</v>
      </c>
      <c r="L1868" s="37">
        <f>L15+L263+L272+L342+L884+L1191+L1200+L1571+L1734+L1752+L1827+L1862</f>
        <v>272508.89999999997</v>
      </c>
      <c r="M1868" s="38">
        <f t="shared" ref="M1868" si="482">K1868+L1868</f>
        <v>4166320.27</v>
      </c>
      <c r="N1868" s="37">
        <f>N15+N263+N272+N342+N884+N1191+N1200+N1571+N1734+N1752+N1827+N1862</f>
        <v>158835.6</v>
      </c>
      <c r="O1868" s="38">
        <f t="shared" ref="O1868" si="483">M1868+N1868</f>
        <v>4325155.87</v>
      </c>
      <c r="P1868" s="37">
        <f>P15+P263+P272+P342+P884+P1191+P1200+P1571+P1734+P1752+P1827+P1862</f>
        <v>170678.6</v>
      </c>
      <c r="Q1868" s="38">
        <f t="shared" si="474"/>
        <v>4495834.47</v>
      </c>
      <c r="R1868" s="37">
        <f>R15+R263+R272+R342+R884+R1191+R1200+R1571+R1734+R1752+R1827+R1862</f>
        <v>110571.6</v>
      </c>
      <c r="S1868" s="38">
        <f t="shared" si="472"/>
        <v>4606406.0699999994</v>
      </c>
      <c r="T1868" s="37">
        <f>T15+T263+T272+T342+T884+T1191+T1200+T1571+T1734+T1752+T1827+T1862</f>
        <v>17644.999999999996</v>
      </c>
      <c r="U1868" s="38">
        <f>S1868+T1868</f>
        <v>4624051.0699999994</v>
      </c>
      <c r="V1868" s="37">
        <f>V15+V263+V272+V342+V884+V1191+V1200+V1571+V1734+V1752+V1827+V1862</f>
        <v>1.6370904631912708E-11</v>
      </c>
      <c r="W1868" s="38">
        <f>U1868+V1868</f>
        <v>4624051.0699999994</v>
      </c>
      <c r="X1868" s="37">
        <f>X15+X263+X272+X342+X884+X1191+X1200+X1571+X1734+X1752+X1827+X1862</f>
        <v>134451.79999999999</v>
      </c>
      <c r="Y1868" s="38">
        <f>W1868+X1868</f>
        <v>4758502.8699999992</v>
      </c>
      <c r="Z1868" s="197"/>
    </row>
    <row r="1869" spans="1:27" hidden="1" x14ac:dyDescent="0.25"/>
    <row r="1870" spans="1:27" hidden="1" x14ac:dyDescent="0.25">
      <c r="E1870" s="31">
        <f t="shared" ref="E1870:Y1870" si="484">E1862+E1827+E1752+E1734+E1571+E1200+E1191+E884+E342+E272+E263+E15</f>
        <v>2490405.27</v>
      </c>
      <c r="F1870" s="31">
        <f t="shared" si="484"/>
        <v>938684.6</v>
      </c>
      <c r="G1870" s="31">
        <f t="shared" si="484"/>
        <v>3429089.87</v>
      </c>
      <c r="H1870" s="31">
        <f t="shared" si="484"/>
        <v>251749.20000000004</v>
      </c>
      <c r="I1870" s="31">
        <f t="shared" si="484"/>
        <v>3680839.0700000003</v>
      </c>
      <c r="J1870" s="31">
        <f t="shared" si="484"/>
        <v>212972.30000000002</v>
      </c>
      <c r="K1870" s="99">
        <f t="shared" si="484"/>
        <v>3893811.37</v>
      </c>
      <c r="L1870" s="99">
        <f t="shared" si="484"/>
        <v>272508.89999999997</v>
      </c>
      <c r="M1870" s="99">
        <f t="shared" si="484"/>
        <v>4166320.27</v>
      </c>
      <c r="N1870" s="99">
        <f t="shared" si="484"/>
        <v>158835.59999999998</v>
      </c>
      <c r="O1870" s="99">
        <f t="shared" si="484"/>
        <v>4325155.8699999992</v>
      </c>
      <c r="P1870" s="99">
        <f t="shared" si="484"/>
        <v>170678.6</v>
      </c>
      <c r="Q1870" s="99">
        <f t="shared" si="484"/>
        <v>4495834.47</v>
      </c>
      <c r="R1870" s="99">
        <f t="shared" si="484"/>
        <v>110571.60000000003</v>
      </c>
      <c r="S1870" s="99">
        <f t="shared" si="484"/>
        <v>4606406.0699999994</v>
      </c>
      <c r="T1870" s="99">
        <f t="shared" si="484"/>
        <v>17645</v>
      </c>
      <c r="U1870" s="99">
        <f t="shared" si="484"/>
        <v>4624051.0699999994</v>
      </c>
      <c r="V1870" s="99">
        <f t="shared" si="484"/>
        <v>0</v>
      </c>
      <c r="W1870" s="99">
        <f t="shared" si="484"/>
        <v>4624051.07</v>
      </c>
      <c r="X1870" s="99">
        <f t="shared" si="484"/>
        <v>134451.79999999999</v>
      </c>
      <c r="Y1870" s="99">
        <f t="shared" si="484"/>
        <v>4758502.87</v>
      </c>
      <c r="Z1870" s="99">
        <f>SUM(Z15:Z1867)</f>
        <v>-1.3642420526593924E-12</v>
      </c>
      <c r="AA1870" s="99">
        <f>SUM(AA15:AA1867)</f>
        <v>4758502.8699999992</v>
      </c>
    </row>
    <row r="1871" spans="1:27" hidden="1" x14ac:dyDescent="0.25"/>
    <row r="1872" spans="1:27" hidden="1" x14ac:dyDescent="0.25">
      <c r="D1872" s="111" t="s">
        <v>653</v>
      </c>
      <c r="F1872" s="61" t="e">
        <f>F1874+#REF!</f>
        <v>#REF!</v>
      </c>
      <c r="H1872" s="61" t="e">
        <f>H1874+#REF!</f>
        <v>#REF!</v>
      </c>
      <c r="J1872" s="61" t="e">
        <f>J1874+#REF!+J1875</f>
        <v>#REF!</v>
      </c>
      <c r="L1872" s="61" t="e">
        <f>L1874+#REF!+L1875+L1876+L1877</f>
        <v>#REF!</v>
      </c>
      <c r="N1872" s="61" t="e">
        <f>N1874+#REF!+N1875+N1876+N1877+N1879+N1878</f>
        <v>#REF!</v>
      </c>
      <c r="P1872" s="61">
        <f>P1873+P1874+P1875+P1879</f>
        <v>170678.6</v>
      </c>
      <c r="R1872" s="61">
        <f>R1873+R1874</f>
        <v>110571.60000000003</v>
      </c>
      <c r="T1872" s="61">
        <f>T1873+T1874+T1875</f>
        <v>17645.000000000004</v>
      </c>
      <c r="X1872" s="61">
        <f>X1873+X1874+X1875</f>
        <v>134451.79999999999</v>
      </c>
    </row>
    <row r="1873" spans="1:24" hidden="1" x14ac:dyDescent="0.25">
      <c r="D1873" s="111" t="s">
        <v>655</v>
      </c>
      <c r="F1873" s="61"/>
      <c r="H1873" s="61"/>
      <c r="J1873" s="61"/>
      <c r="L1873" s="61"/>
      <c r="N1873" s="61"/>
      <c r="P1873" s="61">
        <f>P905+P907+P1289+P1290+P200+P781+P1121+P1307+P1589+P1122+P1815+P1357+P1358+P1524+P1525+P797+P1428</f>
        <v>145404.20000000001</v>
      </c>
      <c r="R1873" s="61">
        <f>R19+R20+R30+R31+R62+R63+R65+R66+R118+R119+R181+R182+R255+R257+R318+R374+R829+R830+R919+R996+R1206+R1272+R1273+R1408+R1502+R1503+R1657+R1658+R1633+R1826+R1837</f>
        <v>101221.5</v>
      </c>
      <c r="T1873" s="61">
        <f>T363+T935+T936+T959+T969+T1162+T871+T1208+T1209+T1275+T1276+T1039+T1391+T1393+T1395+T1638+T1640+T1861+T1636+T1041+295.3-14.3-51.3-52.4-161.7</f>
        <v>9981.1000000000022</v>
      </c>
      <c r="X1873" s="61">
        <f>X268+X270+X271+X269+X318+X354+X374+X905+X907+X919+X930+X933+X935+X959+X962+X974+X996++X1185+X1186+X1208+X1209+X1247+X1250+X1275+X1276+X1278+X1279+X1289+X1290+X1633+X380+X382+X410+X412+X1020+X1471+X1472++X787+X328+X105+X106+X108+X109+X54+X55+X56+X57+X47+X49+X50+X1169+X348+X1815+X1816+X1708+X1709</f>
        <v>134451.79999999999</v>
      </c>
    </row>
    <row r="1874" spans="1:24" hidden="1" x14ac:dyDescent="0.25">
      <c r="D1874" s="111"/>
      <c r="F1874" s="61">
        <f>F248+F795+F835+F943+F950+F1228+F1578+F1604+F1614+F1714+F1780+F1315+F1301+F1232+F1220+F984+F262+F189+F125+F89+F85+F84+F74+F1233+F83</f>
        <v>109420.99999999999</v>
      </c>
      <c r="H1874" s="61">
        <f>H72+H1137+H1349+H1353+H1355+H1780+H1228+H1387+H1385+H1383+H1381+H1379+H1377+H1259+H1036+H1034+H1032+H1030+H1028+H1026+H1024+H1022+H1020+H1018+H1016+H1014+H1012+H1010+H1008+H1006+H1004+H1002+H414+H412+H410+H408+H406+H404+H402+H400+H398+H396+H394+H392+H390+H388+H386+H384+H382+H380+H378+H176+H1853+H1368</f>
        <v>7737.6999999999989</v>
      </c>
      <c r="J1874" s="61">
        <f>J1850+J1853+J1852+J1788+J1781+J1780+J1718+J1717+J1611+J1604+J1603+J1593+J1586+J1582+J1432+J1375+J1341+J1333+J1314+J1313+J1228+J1227+J1199+J1190+J1152+J1150+J1139+J1135+J1133+J1132+J1044+J943+J896+J815+J420+J361+J277+J262+J248+J235+J211+J209+J208+J207+J202+J188+J187+J186+J185+J184+J176+J146+J102+J96+J89+J88+J87+J86+J85+J84+J83+J82+J79+J77+J76+J74+J72+J68</f>
        <v>13000.000000000009</v>
      </c>
      <c r="L1874" s="61">
        <f>L1880+L1881+L1882+L1883+L1884+L1885</f>
        <v>0</v>
      </c>
      <c r="N1874" s="61">
        <f>N83+N177+N238+N241+N248+N340+N341+N795+N945+N1137+N1223+N1224+N1303+N1304+N1313+N1315+N1368+N1381+N1425+N1490+N1513+N1527+N1839+N1867+N1257+N1152+N1154+789.3-650+134+3000+249.4-1189-1892.8+N72+N79+N82+N85+N87+N88+N89+N102+N140+N141+N146+N169+N170+N186+N187+N216+N232+N240+N242+N244+N245+N246+N262+N202+N350+N372+N420+N789+N793+N844+N845+N864+N865+N867+N896+N897+N940+N941+N943+N950+N958+N964+N1124+N1130+N1132+N1139+N1142+N1158+N1164+N1211+N1220+N1227+N1228+N1232+N1241+N1242+N1281+N1286+N1287+N1322+N1330+N1333+N1397+N1399+N1493+N1494+N1507+N1508+N1528+N1530+N1531+N1533+N1534+N1603+N1606+N1608+N1636+N1663+N1664+N1714+N1852+N1853+N1855+N1263+3000-441.3</f>
        <v>36885.000000000015</v>
      </c>
      <c r="P1874" s="61">
        <f>P152+P795+P921+P923+P943+P945++P1135+P1211+P1230+P1415+P177+480+158217-40269.3</f>
        <v>24684.300000000003</v>
      </c>
      <c r="R1874" s="61">
        <f>R1870-R1873</f>
        <v>9350.1000000000349</v>
      </c>
      <c r="T1874" s="61">
        <f>T74+T82+T83+T84+T124+T140+T298+T795+T802+T805+T875+T943+T952+T980+T984+T1132+T1133+T1135+T1197+T1228+T1415+T1498+T1536+T1537+T1582+T1604+T1621+T1690+T1714+T1840+T1852+T1593+T1249+T177+T152+T1744+T811+T235+T293-295.3+14.3+51.3+52.4+161.7+(T79+T88+T89+T100+T102+T146+T171+T190+T202+T209+T210+T238+T248+T262+T282+T283+T295+T315+T340+T367+T789+T835+T836+T890+T891+T893+T909+T914+T948+T953+T1158+T1176+T1235+T1241+T1242+T1281+T1322+T1330+T1331+T1430+T1474+T1475+T1490+T1492+T1494+T1507+T1508+T1530+T1531+T1533+T1539+T1788)</f>
        <v>7663.9000000000005</v>
      </c>
      <c r="V1874" s="61">
        <f>V68+V70+V79+V81+V83+V88+V89+V102+V176+V293+V795+V891+V943+V945+V1132+V1133+V1135+V1139+V1317+V1062+V1060+V642+V283+V177+V77+V124+V1505+V304+V184+V185+V138+V121+V36+V37+V22+V1128+V98+V1582+V1852+V1712+V1711+V1667+V1666+V1511+V1510+V1436+V1152+V875+V862+V861+V842+V841+V295+V235+V226+V225+V193+V192+V164+V163+V136+V135+V129+V128+V92+V91+V34+V33+V26+V25+V122+V1649+V1647+V1552+V1508+V1507+V1281+V1230+V1211+V1124+V1116+V1114+V1112+V1110+V1108+V1106+V1104+V1102+V1100+V1098+V1096+V1094+V1092+V1090+V1088+V1086+V1084+V953+V952+V941+V925+V899+V772+V770+V768+V766+V764+V762+V760+V758+V756+V754+V752+V750+V748+V746+V744+V742+V740+V738+V736+V734+V732+V730+V728+V726+V724+V722+V720+V718+V716+V714+V712+V710+V708+V706+V704+V702+V700+V698+V696+V694+V692+V690+V323+V1855+V1848+V1606+V1414+V71+V72+V75+V82+V84+V86+V96+V140+V141+V146+V169+V170+V238+V241+V248+V262+V305+V330+V331+V777+V789+V793+V805+V808+V824+V890+V893+V909+V947+V950+V1176+V1190+V1224+V1228+V1239+V1241+V1242+V1282+V1283+V1303+V1313+V1318+V1330+V1331+V1345+V1360+V1361+V1363+V1474+V1475+V1476+V1482+V1487+V1493+V1494+V1527+V1528+V1533+V1534+V1543+V1546+V1547+V1569+V1570+V1576+V1591+V1593+V1595+V1603+V1604+V1616+V1620+V1660+V1662+V1664+V1686+V1717+V1744+V1764+V1788+V1842+V1844+V1853+V23</f>
        <v>7.73070496506989E-12</v>
      </c>
    </row>
    <row r="1875" spans="1:24" hidden="1" x14ac:dyDescent="0.25">
      <c r="D1875" s="111" t="s">
        <v>654</v>
      </c>
      <c r="J1875" s="61">
        <f>J1867</f>
        <v>1963.7</v>
      </c>
      <c r="L1875" s="61">
        <v>2898.3</v>
      </c>
      <c r="N1875" s="61">
        <f>N293-789.3+650</f>
        <v>1241.8</v>
      </c>
      <c r="O1875" s="103"/>
      <c r="P1875" s="61">
        <f>P1490</f>
        <v>350.1</v>
      </c>
      <c r="T1875" s="61"/>
      <c r="X1875" s="61">
        <f>X323+X690+X692+X694+X696+X698+X700+X702+X704+X706+X708+X710+X712+X714+X716+X718+X720+X722+X724+X726+X728+X730+X732+X734+X736+X738+X740+X742+X744+X746+X748+X750+X752+X754+X756+X758+X760+X762+X764+X766+X768+X770+X772+X925+X1084+X1086+X1088+X1090+X1092+X1094+X1096+X1098+X1100+X1102+X1104+X1106+X1108+X1110+X1112+X1114+X1116+X1647+X1649+X124+X293+X795+X899+X941+X952+X953+X1124+X1133+X1135+X1139+X1211+X1230+X1281+X1507+X1508+X1552+X1839+X94+X1448+X1758+X1798+X1711+X1667+X1666+X1624+X1599+X1132+X1128+X102+X96+X92+X91+X83+X81+X1410+X192+X79+X460+X22+X23+X36+X37+X70+X71+X72+X138+X139+X68+X940+X836+X1772+X1672+X1606+X1603+X1582+X1539+X1537+X1536+X1533+X1520+X1419+X1414+X1412+X1375+X1361+X1360+X1313+X1297+X1294+X1287+X1286+X1283+X1282+X1261+X1232+X1228+X1216+X1212+X1158+X1152+X1136+X958+X947+X890+X875+X864+X835+X833+X832+X355+X350+X340+X337+X333+X331+X310+X309+X308+X307+X295+X283+X262+X232+X202+X193+X187+X186+X176+X168+X166+X154+X135+X89+X88+X87+X84+X82+X80+X73+X69+X235</f>
        <v>-4.7215564791258657E-12</v>
      </c>
    </row>
    <row r="1876" spans="1:24" hidden="1" x14ac:dyDescent="0.25">
      <c r="D1876" s="110" t="s">
        <v>1262</v>
      </c>
      <c r="J1876" s="61"/>
      <c r="L1876" s="61">
        <f>L1853</f>
        <v>1.1000000000000001</v>
      </c>
      <c r="N1876" s="61">
        <f>N1349+N1350</f>
        <v>2263.7000000000003</v>
      </c>
      <c r="O1876" s="103"/>
    </row>
    <row r="1877" spans="1:24" hidden="1" x14ac:dyDescent="0.25">
      <c r="D1877" s="110" t="s">
        <v>901</v>
      </c>
      <c r="J1877" s="61"/>
      <c r="L1877" s="61">
        <f>L152+L91-2300</f>
        <v>3500</v>
      </c>
      <c r="N1877" s="61">
        <f>N1595+N1844+1189+1892.8</f>
        <v>2104</v>
      </c>
      <c r="O1877" s="103"/>
    </row>
    <row r="1878" spans="1:24" hidden="1" x14ac:dyDescent="0.25">
      <c r="D1878" s="110" t="s">
        <v>901</v>
      </c>
      <c r="N1878" s="61">
        <f>N337</f>
        <v>0</v>
      </c>
      <c r="O1878" s="103"/>
    </row>
    <row r="1879" spans="1:24" hidden="1" x14ac:dyDescent="0.25">
      <c r="A1879"/>
      <c r="B1879"/>
      <c r="C1879"/>
      <c r="D1879" s="110"/>
      <c r="N1879" s="61">
        <f>N1135-134-3000-249.4-3000</f>
        <v>549.99999999999955</v>
      </c>
      <c r="O1879" s="103"/>
      <c r="P1879" s="61">
        <f>P1124-480</f>
        <v>240</v>
      </c>
    </row>
    <row r="1880" spans="1:24" hidden="1" x14ac:dyDescent="0.25">
      <c r="A1880"/>
      <c r="B1880"/>
      <c r="C1880"/>
      <c r="D1880" s="97"/>
      <c r="L1880" s="61"/>
    </row>
    <row r="1881" spans="1:24" x14ac:dyDescent="0.25">
      <c r="A1881"/>
      <c r="B1881"/>
      <c r="C1881"/>
      <c r="D1881" s="97"/>
      <c r="L1881" s="61"/>
    </row>
    <row r="1882" spans="1:24" x14ac:dyDescent="0.25">
      <c r="A1882"/>
      <c r="B1882"/>
      <c r="C1882"/>
      <c r="D1882" s="97"/>
      <c r="L1882" s="61"/>
      <c r="M1882" s="103"/>
      <c r="S1882" s="178"/>
      <c r="T1882" s="178"/>
    </row>
    <row r="1883" spans="1:24" x14ac:dyDescent="0.25">
      <c r="A1883"/>
      <c r="B1883"/>
      <c r="C1883"/>
      <c r="D1883" s="97"/>
      <c r="L1883" s="61"/>
      <c r="S1883" s="178"/>
      <c r="T1883" s="179"/>
    </row>
    <row r="1884" spans="1:24" x14ac:dyDescent="0.25">
      <c r="A1884"/>
      <c r="B1884"/>
      <c r="C1884"/>
      <c r="D1884" s="97"/>
      <c r="L1884" s="61"/>
    </row>
    <row r="1885" spans="1:24" x14ac:dyDescent="0.25">
      <c r="A1885"/>
      <c r="B1885"/>
      <c r="C1885"/>
      <c r="D1885" s="97"/>
    </row>
  </sheetData>
  <autoFilter ref="A14:AB1868">
    <filterColumn colId="24">
      <filters>
        <filter val="0,1"/>
        <filter val="0,2"/>
        <filter val="0,4"/>
        <filter val="0,7"/>
        <filter val="1 000,0"/>
        <filter val="1 012,5"/>
        <filter val="1 014,2"/>
        <filter val="1 020,0"/>
        <filter val="1 024,0"/>
        <filter val="1 031,8"/>
        <filter val="1 035,0"/>
        <filter val="1 035,9"/>
        <filter val="1 040,0"/>
        <filter val="1 042,5"/>
        <filter val="1 044,7"/>
        <filter val="1 056,8"/>
        <filter val="1 075,2"/>
        <filter val="1 099,2"/>
        <filter val="1 110,9"/>
        <filter val="1 124,0"/>
        <filter val="1 126,7"/>
        <filter val="1 134,3"/>
        <filter val="1 141,0"/>
        <filter val="1 147,8"/>
        <filter val="1 149,7"/>
        <filter val="1 154,0"/>
        <filter val="1 160,0"/>
        <filter val="1 162,0"/>
        <filter val="1 190,9"/>
        <filter val="1 193,4"/>
        <filter val="1 200,0"/>
        <filter val="1 234,1"/>
        <filter val="1 264,0"/>
        <filter val="1 276,6"/>
        <filter val="1 287,6"/>
        <filter val="1 304,0"/>
        <filter val="1 317,1"/>
        <filter val="1 322,5"/>
        <filter val="1 338,1"/>
        <filter val="1 342,2"/>
        <filter val="1 364,3"/>
        <filter val="1 412,0"/>
        <filter val="1 414,7"/>
        <filter val="1 418,1"/>
        <filter val="1 427,6"/>
        <filter val="1 428,1"/>
        <filter val="1 434,2"/>
        <filter val="1 450,0"/>
        <filter val="1 462,7"/>
        <filter val="1 477,0"/>
        <filter val="1 480,2"/>
        <filter val="1 493,1"/>
        <filter val="1 500,0"/>
        <filter val="1 505,6"/>
        <filter val="1 515,2"/>
        <filter val="1 517,4"/>
        <filter val="1 528 508,4"/>
        <filter val="1 529 739,3"/>
        <filter val="1 537,1"/>
        <filter val="1 554,0"/>
        <filter val="1 560,1"/>
        <filter val="1 568,3"/>
        <filter val="1 594,5"/>
        <filter val="1 600,0"/>
        <filter val="1 605,7"/>
        <filter val="1 608,0"/>
        <filter val="1 621,6"/>
        <filter val="1 653,9"/>
        <filter val="1 668,0"/>
        <filter val="1 708,0"/>
        <filter val="1 731,8"/>
        <filter val="1 733,3"/>
        <filter val="1 740,0"/>
        <filter val="1 744,8"/>
        <filter val="1 782,0"/>
        <filter val="1 786,5"/>
        <filter val="1 799,6"/>
        <filter val="1 826,8"/>
        <filter val="1 899,3"/>
        <filter val="1 915,8"/>
        <filter val="1 919,3"/>
        <filter val="1 926,0"/>
        <filter val="1 929,2"/>
        <filter val="1 941,7"/>
        <filter val="1 947,0"/>
        <filter val="1 948,0"/>
        <filter val="1 951,9"/>
        <filter val="1 960,9"/>
        <filter val="1 961,1"/>
        <filter val="1 975,8"/>
        <filter val="1,0"/>
        <filter val="1,1"/>
        <filter val="1,4"/>
        <filter val="1,8"/>
        <filter val="10 044,3"/>
        <filter val="10 055,6"/>
        <filter val="10 071,3"/>
        <filter val="10 230,0"/>
        <filter val="10 286,1"/>
        <filter val="10 431,7"/>
        <filter val="10,0"/>
        <filter val="100,0"/>
        <filter val="100,1"/>
        <filter val="100,6"/>
        <filter val="101,0"/>
        <filter val="101,1"/>
        <filter val="101,4"/>
        <filter val="102 345,9"/>
        <filter val="102,3"/>
        <filter val="103 338,3"/>
        <filter val="104,0"/>
        <filter val="105,0"/>
        <filter val="105,2"/>
        <filter val="105,6"/>
        <filter val="106,1"/>
        <filter val="106,8"/>
        <filter val="107,7"/>
        <filter val="109 609,9"/>
        <filter val="109,2"/>
        <filter val="109,4"/>
        <filter val="11 014,6"/>
        <filter val="11 663,6"/>
        <filter val="11,1"/>
        <filter val="112 467,3"/>
        <filter val="112,8"/>
        <filter val="113,2"/>
        <filter val="114,0"/>
        <filter val="114,6"/>
        <filter val="115,0"/>
        <filter val="116,8"/>
        <filter val="118 937,7"/>
        <filter val="118,0"/>
        <filter val="119,5"/>
        <filter val="12 013,1"/>
        <filter val="12 064,1"/>
        <filter val="12 216,6"/>
        <filter val="12 425,6"/>
        <filter val="12 427,0"/>
        <filter val="12 494,2"/>
        <filter val="12 561,7"/>
        <filter val="12 575,0"/>
        <filter val="12 839,3"/>
        <filter val="12 963,2"/>
        <filter val="120,0"/>
        <filter val="122,0"/>
        <filter val="122,4"/>
        <filter val="123,0"/>
        <filter val="123,2"/>
        <filter val="123,8"/>
        <filter val="124,5"/>
        <filter val="124,8"/>
        <filter val="126,0"/>
        <filter val="128,0"/>
        <filter val="128,7"/>
        <filter val="129 858,6"/>
        <filter val="13 000,0"/>
        <filter val="13 133,4"/>
        <filter val="13 213,2"/>
        <filter val="13 325,2"/>
        <filter val="13 343,9"/>
        <filter val="13 368,6"/>
        <filter val="13 452,3"/>
        <filter val="13 642,4"/>
        <filter val="13,1"/>
        <filter val="13,5"/>
        <filter val="13,6"/>
        <filter val="13,9"/>
        <filter val="130,0"/>
        <filter val="130,9"/>
        <filter val="131,9"/>
        <filter val="132,0"/>
        <filter val="133,0"/>
        <filter val="133,2"/>
        <filter val="134,0"/>
        <filter val="134,1"/>
        <filter val="134,8"/>
        <filter val="136 855,5"/>
        <filter val="136 906,7"/>
        <filter val="136,0"/>
        <filter val="136,7"/>
        <filter val="137,0"/>
        <filter val="138 276,4"/>
        <filter val="138 426,0"/>
        <filter val="138,0"/>
        <filter val="138,5"/>
        <filter val="139,0"/>
        <filter val="139,9"/>
        <filter val="14 357,0"/>
        <filter val="14 573,8"/>
        <filter val="14 620,5"/>
        <filter val="14 648,8"/>
        <filter val="14 872,9"/>
        <filter val="140 979,1"/>
        <filter val="140,5"/>
        <filter val="141,7"/>
        <filter val="142,0"/>
        <filter val="142,4"/>
        <filter val="142,7"/>
        <filter val="143 105,9"/>
        <filter val="143 917,5"/>
        <filter val="143,0"/>
        <filter val="144 868,6"/>
        <filter val="145,1"/>
        <filter val="147,2"/>
        <filter val="147,4"/>
        <filter val="148,0"/>
        <filter val="148,3"/>
        <filter val="15 016,0"/>
        <filter val="15 058,6"/>
        <filter val="15 877,5"/>
        <filter val="15 892,4"/>
        <filter val="15,0"/>
        <filter val="15,2"/>
        <filter val="15,3"/>
        <filter val="150,0"/>
        <filter val="152,2"/>
        <filter val="154,5"/>
        <filter val="155 723,5"/>
        <filter val="155,6"/>
        <filter val="156,2"/>
        <filter val="158,7"/>
        <filter val="16 585,4"/>
        <filter val="16 764,3"/>
        <filter val="160,0"/>
        <filter val="161,4"/>
        <filter val="162,3"/>
        <filter val="163,3"/>
        <filter val="164 167,5"/>
        <filter val="165,0"/>
        <filter val="166,0"/>
        <filter val="167 438,2"/>
        <filter val="168,0"/>
        <filter val="17 018,2"/>
        <filter val="17 503,7"/>
        <filter val="17 873,6"/>
        <filter val="17,1"/>
        <filter val="17,8"/>
        <filter val="170,9"/>
        <filter val="171,5"/>
        <filter val="172,7"/>
        <filter val="173 946,6"/>
        <filter val="174,0"/>
        <filter val="176,0"/>
        <filter val="178,8"/>
        <filter val="179,2"/>
        <filter val="18 400,6"/>
        <filter val="184 224,9"/>
        <filter val="184,0"/>
        <filter val="186,5"/>
        <filter val="187,1"/>
        <filter val="187,6"/>
        <filter val="188 371,9"/>
        <filter val="19 433,5"/>
        <filter val="19 504,5"/>
        <filter val="19 562,6"/>
        <filter val="19 894,1"/>
        <filter val="19,1"/>
        <filter val="19,2"/>
        <filter val="191 084,6"/>
        <filter val="191,8"/>
        <filter val="192,0"/>
        <filter val="193,1"/>
        <filter val="194,0"/>
        <filter val="196,6"/>
        <filter val="197,6"/>
        <filter val="198,9"/>
        <filter val="2 014,7"/>
        <filter val="2 028,6"/>
        <filter val="2 044,7"/>
        <filter val="2 087,1"/>
        <filter val="2 089,0"/>
        <filter val="2 090,8"/>
        <filter val="2 117,6"/>
        <filter val="2 119,1"/>
        <filter val="2 133,3"/>
        <filter val="2 194,9"/>
        <filter val="2 265,0"/>
        <filter val="2 293,9"/>
        <filter val="2 298,6"/>
        <filter val="2 304,1"/>
        <filter val="2 353,0"/>
        <filter val="2 355,0"/>
        <filter val="2 357,6"/>
        <filter val="2 364,6"/>
        <filter val="2 381,4"/>
        <filter val="2 386,9"/>
        <filter val="2 410,0"/>
        <filter val="2 419,4"/>
        <filter val="2 456,0"/>
        <filter val="2 458,4"/>
        <filter val="2 462,1"/>
        <filter val="2 479,3"/>
        <filter val="2 483,0"/>
        <filter val="2 500 843,6"/>
        <filter val="2 519,5"/>
        <filter val="2 528,1"/>
        <filter val="2 529,0"/>
        <filter val="2 530,8"/>
        <filter val="2 553,1"/>
        <filter val="2 638,9"/>
        <filter val="2 664,4"/>
        <filter val="2 674,7"/>
        <filter val="2 685,8"/>
        <filter val="2 699,2"/>
        <filter val="2 726,0"/>
        <filter val="2 740,0"/>
        <filter val="2 740,3"/>
        <filter val="2 762,2"/>
        <filter val="2 766,6"/>
        <filter val="2 769,1"/>
        <filter val="2 797,1"/>
        <filter val="2 803,7"/>
        <filter val="2 818,0"/>
        <filter val="2 852,8"/>
        <filter val="2 873,6"/>
        <filter val="2 880,1"/>
        <filter val="2 900,0"/>
        <filter val="2 905,0"/>
        <filter val="2 912,0"/>
        <filter val="2 920,3"/>
        <filter val="2,0"/>
        <filter val="2,5"/>
        <filter val="2,7"/>
        <filter val="2,8"/>
        <filter val="20 046,2"/>
        <filter val="20 095,1"/>
        <filter val="20 628,0"/>
        <filter val="20 739,1"/>
        <filter val="20 866,6"/>
        <filter val="20,0"/>
        <filter val="20,5"/>
        <filter val="20,8"/>
        <filter val="200,0"/>
        <filter val="200,4"/>
        <filter val="201,0"/>
        <filter val="202,0"/>
        <filter val="204,2"/>
        <filter val="205,5"/>
        <filter val="207 980,7"/>
        <filter val="21 428,4"/>
        <filter val="21 458,4"/>
        <filter val="21 910,7"/>
        <filter val="21,2"/>
        <filter val="21,4"/>
        <filter val="210,0"/>
        <filter val="211,2"/>
        <filter val="214,8"/>
        <filter val="216,0"/>
        <filter val="216,5"/>
        <filter val="218,2"/>
        <filter val="22 143,2"/>
        <filter val="22 858,7"/>
        <filter val="22 949,2"/>
        <filter val="22,0"/>
        <filter val="22,3"/>
        <filter val="22,5"/>
        <filter val="22,8"/>
        <filter val="220,0"/>
        <filter val="221 928,0"/>
        <filter val="224 482,9"/>
        <filter val="226 770,7"/>
        <filter val="228,0"/>
        <filter val="229,0"/>
        <filter val="229,1"/>
        <filter val="23 000,2"/>
        <filter val="23 049,2"/>
        <filter val="23 107,0"/>
        <filter val="23 190,7"/>
        <filter val="23 646,4"/>
        <filter val="23 690,7"/>
        <filter val="23,1"/>
        <filter val="23,8"/>
        <filter val="230,0"/>
        <filter val="232,3"/>
        <filter val="234 268,1"/>
        <filter val="236,0"/>
        <filter val="238 509,2"/>
        <filter val="238,7"/>
        <filter val="24 787,7"/>
        <filter val="24,1"/>
        <filter val="24,4"/>
        <filter val="24,8"/>
        <filter val="240,0"/>
        <filter val="242,0"/>
        <filter val="243,6"/>
        <filter val="245,0"/>
        <filter val="245,4"/>
        <filter val="25,0"/>
        <filter val="25,2"/>
        <filter val="25,5"/>
        <filter val="25,9"/>
        <filter val="250,0"/>
        <filter val="250,2"/>
        <filter val="252,4"/>
        <filter val="254 893,3"/>
        <filter val="254 918,8"/>
        <filter val="254,2"/>
        <filter val="255,9"/>
        <filter val="258,0"/>
        <filter val="26 640,9"/>
        <filter val="26 682,7"/>
        <filter val="26,1"/>
        <filter val="26,3"/>
        <filter val="260,0"/>
        <filter val="261 475,6"/>
        <filter val="264,0"/>
        <filter val="269 300,1"/>
        <filter val="27,0"/>
        <filter val="27,1"/>
        <filter val="273,0"/>
        <filter val="273,8"/>
        <filter val="274 403,7"/>
        <filter val="274,0"/>
        <filter val="276,2"/>
        <filter val="276,8"/>
        <filter val="277,2"/>
        <filter val="278 414,8"/>
        <filter val="28 098,1"/>
        <filter val="28 198,1"/>
        <filter val="28 452,9"/>
        <filter val="28,0"/>
        <filter val="28,6"/>
        <filter val="28,7"/>
        <filter val="280,0"/>
        <filter val="281,0"/>
        <filter val="284,0"/>
        <filter val="287,0"/>
        <filter val="288,0"/>
        <filter val="29 449,3"/>
        <filter val="29 751,3"/>
        <filter val="290,0"/>
        <filter val="292,0"/>
        <filter val="292,8"/>
        <filter val="295,0"/>
        <filter val="297,7"/>
        <filter val="299,2"/>
        <filter val="3 036,3"/>
        <filter val="3 045,3"/>
        <filter val="3 053,6"/>
        <filter val="3 078,0"/>
        <filter val="3 100,0"/>
        <filter val="3 180,4"/>
        <filter val="3 193,9"/>
        <filter val="3 229,6"/>
        <filter val="3 248,1"/>
        <filter val="3 312,4"/>
        <filter val="3 385,6"/>
        <filter val="3 391,6"/>
        <filter val="3 400,0"/>
        <filter val="3 424,9"/>
        <filter val="3 522,2"/>
        <filter val="3 561,4"/>
        <filter val="3 575,0"/>
        <filter val="3 660,0"/>
        <filter val="3 763,7"/>
        <filter val="3 801,3"/>
        <filter val="3 824,6"/>
        <filter val="3 873,9"/>
        <filter val="3 891,4"/>
        <filter val="3 903,2"/>
        <filter val="3 943,0"/>
        <filter val="3 973,2"/>
        <filter val="3 992,4"/>
        <filter val="3,0"/>
        <filter val="3,3"/>
        <filter val="3,6"/>
        <filter val="3,8"/>
        <filter val="30 000,0"/>
        <filter val="30 790,9"/>
        <filter val="30,0"/>
        <filter val="30,9"/>
        <filter val="300,0"/>
        <filter val="301,0"/>
        <filter val="301,1"/>
        <filter val="302,9"/>
        <filter val="304,0"/>
        <filter val="304,2"/>
        <filter val="305,1"/>
        <filter val="306,0"/>
        <filter val="308,7"/>
        <filter val="309,6"/>
        <filter val="310,0"/>
        <filter val="310,9"/>
        <filter val="313,5"/>
        <filter val="317,8"/>
        <filter val="32,2"/>
        <filter val="320,0"/>
        <filter val="325,2"/>
        <filter val="325,8"/>
        <filter val="327,6"/>
        <filter val="328,6"/>
        <filter val="329,8"/>
        <filter val="33 009,4"/>
        <filter val="33 640,8"/>
        <filter val="33,0"/>
        <filter val="33,1"/>
        <filter val="33,3"/>
        <filter val="33,5"/>
        <filter val="33,7"/>
        <filter val="330,0"/>
        <filter val="332,0"/>
        <filter val="333,1"/>
        <filter val="333,7"/>
        <filter val="336,4"/>
        <filter val="338,0"/>
        <filter val="339 974,8"/>
        <filter val="34,0"/>
        <filter val="34,2"/>
        <filter val="340,0"/>
        <filter val="340,4"/>
        <filter val="340,7"/>
        <filter val="341,0"/>
        <filter val="342,0"/>
        <filter val="343,7"/>
        <filter val="348,0"/>
        <filter val="349,1"/>
        <filter val="349,2"/>
        <filter val="349,6"/>
        <filter val="35 163,6"/>
        <filter val="35,6"/>
        <filter val="350,0"/>
        <filter val="350,4"/>
        <filter val="351,0"/>
        <filter val="352 814,1"/>
        <filter val="353,2"/>
        <filter val="36 558,8"/>
        <filter val="36,0"/>
        <filter val="36,1"/>
        <filter val="360,0"/>
        <filter val="37 474,8"/>
        <filter val="37,4"/>
        <filter val="375,0"/>
        <filter val="379,7"/>
        <filter val="38 309,7"/>
        <filter val="38 592,6"/>
        <filter val="38,0"/>
        <filter val="38,5"/>
        <filter val="382,0"/>
        <filter val="383,7"/>
        <filter val="384,2"/>
        <filter val="39,0"/>
        <filter val="39,1"/>
        <filter val="39,3"/>
        <filter val="39,8"/>
        <filter val="390,0"/>
        <filter val="392,3"/>
        <filter val="397,2"/>
        <filter val="398,6"/>
        <filter val="4 041,1"/>
        <filter val="4 041,9"/>
        <filter val="4 062,9"/>
        <filter val="4 069,4"/>
        <filter val="4 150,0"/>
        <filter val="4 203,0"/>
        <filter val="4 238,9"/>
        <filter val="4 306,2"/>
        <filter val="4 357,2"/>
        <filter val="4 397,0"/>
        <filter val="4 397,9"/>
        <filter val="4 415,6"/>
        <filter val="4 437,0"/>
        <filter val="4 490,1"/>
        <filter val="4 540,2"/>
        <filter val="4 541,5"/>
        <filter val="4 546,4"/>
        <filter val="4 569,1"/>
        <filter val="4 575,3"/>
        <filter val="4 706,4"/>
        <filter val="4 739,5"/>
        <filter val="4 758 502,9"/>
        <filter val="4 758,1"/>
        <filter val="4 786,3"/>
        <filter val="4 919,9"/>
        <filter val="4 988,1"/>
        <filter val="4 991,1"/>
        <filter val="4,0"/>
        <filter val="4,1"/>
        <filter val="4,5"/>
        <filter val="40 108,5"/>
        <filter val="40,0"/>
        <filter val="40,6"/>
        <filter val="400,0"/>
        <filter val="400,1"/>
        <filter val="401,7"/>
        <filter val="403,0"/>
        <filter val="405 654,2"/>
        <filter val="405 694,8"/>
        <filter val="407,9"/>
        <filter val="408,0"/>
        <filter val="409,6"/>
        <filter val="41 149,9"/>
        <filter val="41 283,4"/>
        <filter val="41 287,5"/>
        <filter val="41,4"/>
        <filter val="410,0"/>
        <filter val="42 518,4"/>
        <filter val="42 649,8"/>
        <filter val="420,0"/>
        <filter val="424,0"/>
        <filter val="426,2"/>
        <filter val="43 332,7"/>
        <filter val="43 334,1"/>
        <filter val="43,2"/>
        <filter val="43,3"/>
        <filter val="43,5"/>
        <filter val="433,6"/>
        <filter val="437,6"/>
        <filter val="44 041,8"/>
        <filter val="44 549,7"/>
        <filter val="44 626,0"/>
        <filter val="44,0"/>
        <filter val="44,8"/>
        <filter val="440,0"/>
        <filter val="445,2"/>
        <filter val="446,5"/>
        <filter val="448 125,7"/>
        <filter val="45 662,1"/>
        <filter val="45 951,2"/>
        <filter val="45,5"/>
        <filter val="45,8"/>
        <filter val="452,5"/>
        <filter val="46 190,2"/>
        <filter val="46 271,6"/>
        <filter val="46,0"/>
        <filter val="46,2"/>
        <filter val="46,8"/>
        <filter val="464,0"/>
        <filter val="465,4"/>
        <filter val="47 496,6"/>
        <filter val="470,0"/>
        <filter val="476,9"/>
        <filter val="478,9"/>
        <filter val="48 961,7"/>
        <filter val="48,0"/>
        <filter val="48,7"/>
        <filter val="480,0"/>
        <filter val="481,2"/>
        <filter val="481,3"/>
        <filter val="484,8"/>
        <filter val="49 473,0"/>
        <filter val="49,0"/>
        <filter val="492 315,0"/>
        <filter val="493,3"/>
        <filter val="494,5"/>
        <filter val="498 910,0"/>
        <filter val="5 015,8"/>
        <filter val="5 019,6"/>
        <filter val="5 023,6"/>
        <filter val="5 115,8"/>
        <filter val="5 121,7"/>
        <filter val="5 191,1"/>
        <filter val="5 223,0"/>
        <filter val="5 441,7"/>
        <filter val="5 531,7"/>
        <filter val="5 637,4"/>
        <filter val="5 643,4"/>
        <filter val="5 717,0"/>
        <filter val="5 956,2"/>
        <filter val="5 969,8"/>
        <filter val="5 988,0"/>
        <filter val="5 991,0"/>
        <filter val="5 996,5"/>
        <filter val="5,0"/>
        <filter val="5,2"/>
        <filter val="5,5"/>
        <filter val="50,0"/>
        <filter val="50,7"/>
        <filter val="500,0"/>
        <filter val="501,3"/>
        <filter val="501,6"/>
        <filter val="505,1"/>
        <filter val="506,0"/>
        <filter val="507,6"/>
        <filter val="51,0"/>
        <filter val="51,2"/>
        <filter val="512 682,9"/>
        <filter val="512 982,9"/>
        <filter val="518,6"/>
        <filter val="52 304,5"/>
        <filter val="52 868,7"/>
        <filter val="52,4"/>
        <filter val="52,5"/>
        <filter val="52,8"/>
        <filter val="520,0"/>
        <filter val="524,0"/>
        <filter val="526,1"/>
        <filter val="526,7"/>
        <filter val="527,0"/>
        <filter val="528,0"/>
        <filter val="529 305,4"/>
        <filter val="53,0"/>
        <filter val="53,2"/>
        <filter val="531,1"/>
        <filter val="537,6"/>
        <filter val="538,0"/>
        <filter val="54 280,0"/>
        <filter val="54 545,9"/>
        <filter val="54,0"/>
        <filter val="54,1"/>
        <filter val="54,4"/>
        <filter val="55,8"/>
        <filter val="56,0"/>
        <filter val="56,5"/>
        <filter val="560,0"/>
        <filter val="560,7"/>
        <filter val="565,7"/>
        <filter val="566,4"/>
        <filter val="568,0"/>
        <filter val="568,1"/>
        <filter val="57,1"/>
        <filter val="572,1"/>
        <filter val="573,6"/>
        <filter val="578,8"/>
        <filter val="58 104,8"/>
        <filter val="58 776,3"/>
        <filter val="581,3"/>
        <filter val="582,1"/>
        <filter val="583 851,3"/>
        <filter val="584,3"/>
        <filter val="59 032,2"/>
        <filter val="59,6"/>
        <filter val="59,9"/>
        <filter val="592,7"/>
        <filter val="593,9"/>
        <filter val="594,0"/>
        <filter val="594,9"/>
        <filter val="595,0"/>
        <filter val="6 066,0"/>
        <filter val="6 438,4"/>
        <filter val="6 456,5"/>
        <filter val="6 463,6"/>
        <filter val="6 498,2"/>
        <filter val="6 516,0"/>
        <filter val="6 556,8"/>
        <filter val="6 684,1"/>
        <filter val="6 831,6"/>
        <filter val="6 856,7"/>
        <filter val="6 885,1"/>
        <filter val="6,0"/>
        <filter val="6,1"/>
        <filter val="6,3"/>
        <filter val="6,5"/>
        <filter val="6,6"/>
        <filter val="6,7"/>
        <filter val="60 371,8"/>
        <filter val="60,0"/>
        <filter val="600,0"/>
        <filter val="606,5"/>
        <filter val="61 379,7"/>
        <filter val="61 552,7"/>
        <filter val="61 740,7"/>
        <filter val="61,1"/>
        <filter val="612,0"/>
        <filter val="62 272,8"/>
        <filter val="62,0"/>
        <filter val="62,8"/>
        <filter val="626,1"/>
        <filter val="63,0"/>
        <filter val="63,2"/>
        <filter val="63,4"/>
        <filter val="630,0"/>
        <filter val="632,1"/>
        <filter val="637,0"/>
        <filter val="639,9"/>
        <filter val="64,0"/>
        <filter val="644,4"/>
        <filter val="645,3"/>
        <filter val="65,0"/>
        <filter val="66 046,9"/>
        <filter val="66 608,8"/>
        <filter val="66 940,5"/>
        <filter val="66,0"/>
        <filter val="668,0"/>
        <filter val="67 373,1"/>
        <filter val="67 547,0"/>
        <filter val="67,4"/>
        <filter val="674 994,9"/>
        <filter val="68 310,3"/>
        <filter val="68,4"/>
        <filter val="688,6"/>
        <filter val="690,0"/>
        <filter val="690,7"/>
        <filter val="691,9"/>
        <filter val="696,6"/>
        <filter val="7 060,2"/>
        <filter val="7 143,4"/>
        <filter val="7 231,5"/>
        <filter val="7 273,7"/>
        <filter val="7 652,0"/>
        <filter val="7 658,1"/>
        <filter val="7 658,5"/>
        <filter val="7 787,1"/>
        <filter val="7 818,3"/>
        <filter val="7 832,9"/>
        <filter val="7 840,9"/>
        <filter val="7 970,5"/>
        <filter val="7,0"/>
        <filter val="7,8"/>
        <filter val="7,9"/>
        <filter val="70,0"/>
        <filter val="70,2"/>
        <filter val="70,8"/>
        <filter val="700,0"/>
        <filter val="701 982,6"/>
        <filter val="704,5"/>
        <filter val="708,4"/>
        <filter val="713 830,0"/>
        <filter val="713,3"/>
        <filter val="717,8"/>
        <filter val="72,0"/>
        <filter val="72,7"/>
        <filter val="720,0"/>
        <filter val="722,4"/>
        <filter val="725 477,3"/>
        <filter val="725,0"/>
        <filter val="726 925,4"/>
        <filter val="728,0"/>
        <filter val="73,1"/>
        <filter val="73,2"/>
        <filter val="73,6"/>
        <filter val="731 840,3"/>
        <filter val="734 910,9"/>
        <filter val="735,8"/>
        <filter val="74,0"/>
        <filter val="74,3"/>
        <filter val="74,8"/>
        <filter val="744,3"/>
        <filter val="75,0"/>
        <filter val="75,5"/>
        <filter val="75,6"/>
        <filter val="751,1"/>
        <filter val="758,0"/>
        <filter val="76,0"/>
        <filter val="767,0"/>
        <filter val="77,2"/>
        <filter val="774 645,9"/>
        <filter val="78 280,2"/>
        <filter val="78,0"/>
        <filter val="78,1"/>
        <filter val="781,2"/>
        <filter val="782,4"/>
        <filter val="782,6"/>
        <filter val="783,0"/>
        <filter val="784,3"/>
        <filter val="784,9"/>
        <filter val="79 045,7"/>
        <filter val="79 341,2"/>
        <filter val="79 674,9"/>
        <filter val="791,0"/>
        <filter val="791,9"/>
        <filter val="794,7"/>
        <filter val="8 066,6"/>
        <filter val="8 310,6"/>
        <filter val="8 386,3"/>
        <filter val="8 642,3"/>
        <filter val="8 684,7"/>
        <filter val="8 705,4"/>
        <filter val="80,0"/>
        <filter val="80,5"/>
        <filter val="80,8"/>
        <filter val="800,0"/>
        <filter val="819,0"/>
        <filter val="82,0"/>
        <filter val="82,6"/>
        <filter val="820,4"/>
        <filter val="83 970,3"/>
        <filter val="83,9"/>
        <filter val="84,0"/>
        <filter val="84,6"/>
        <filter val="846,8"/>
        <filter val="849,5"/>
        <filter val="849,9"/>
        <filter val="85,1"/>
        <filter val="85,3"/>
        <filter val="85,6"/>
        <filter val="85,9"/>
        <filter val="859,3"/>
        <filter val="865 327,7"/>
        <filter val="870,0"/>
        <filter val="871,8"/>
        <filter val="875,1"/>
        <filter val="879,0"/>
        <filter val="88,0"/>
        <filter val="888,0"/>
        <filter val="89,0"/>
        <filter val="9 021,3"/>
        <filter val="9 334,5"/>
        <filter val="9 428,8"/>
        <filter val="9 456,2"/>
        <filter val="9 467,3"/>
        <filter val="9 534,6"/>
        <filter val="9 570,0"/>
        <filter val="9 571,0"/>
        <filter val="9 583,4"/>
        <filter val="9 592,9"/>
        <filter val="9 715,1"/>
        <filter val="9 754,5"/>
        <filter val="9 900,3"/>
        <filter val="9 988,9"/>
        <filter val="9,0"/>
        <filter val="9,5"/>
        <filter val="9,7"/>
        <filter val="90 978,4"/>
        <filter val="90,0"/>
        <filter val="91 495,4"/>
        <filter val="91,0"/>
        <filter val="91,4"/>
        <filter val="912,0"/>
        <filter val="916,6"/>
        <filter val="918,3"/>
        <filter val="92,0"/>
        <filter val="92,1"/>
        <filter val="92,2"/>
        <filter val="92,5"/>
        <filter val="92,7"/>
        <filter val="929,9"/>
        <filter val="933,8"/>
        <filter val="94,3"/>
        <filter val="94,9"/>
        <filter val="95 155,4"/>
        <filter val="96,0"/>
        <filter val="960,0"/>
        <filter val="967,0"/>
        <filter val="969,3"/>
        <filter val="973,2"/>
        <filter val="98 631,9"/>
        <filter val="98,7"/>
        <filter val="982,0"/>
        <filter val="99,0"/>
        <filter val="991,8"/>
        <filter val="996,0"/>
        <filter val="999,3"/>
      </filters>
    </filterColumn>
  </autoFilter>
  <mergeCells count="28">
    <mergeCell ref="P12:P14"/>
    <mergeCell ref="Q12:Q14"/>
    <mergeCell ref="A1868:D1868"/>
    <mergeCell ref="A12:A14"/>
    <mergeCell ref="B12:B14"/>
    <mergeCell ref="C12:C14"/>
    <mergeCell ref="D12:D14"/>
    <mergeCell ref="N12:N14"/>
    <mergeCell ref="O12:O14"/>
    <mergeCell ref="L12:L14"/>
    <mergeCell ref="M12:M14"/>
    <mergeCell ref="J12:J14"/>
    <mergeCell ref="A9:Y9"/>
    <mergeCell ref="A10:Y10"/>
    <mergeCell ref="X12:X14"/>
    <mergeCell ref="Y12:Y14"/>
    <mergeCell ref="V12:V14"/>
    <mergeCell ref="W12:W14"/>
    <mergeCell ref="K12:K14"/>
    <mergeCell ref="H12:H14"/>
    <mergeCell ref="I12:I14"/>
    <mergeCell ref="T12:T14"/>
    <mergeCell ref="U12:U14"/>
    <mergeCell ref="F12:F14"/>
    <mergeCell ref="R12:R14"/>
    <mergeCell ref="S12:S14"/>
    <mergeCell ref="G12:G14"/>
    <mergeCell ref="E12:E14"/>
  </mergeCells>
  <pageMargins left="1.299212598425197" right="0.51181102362204722" top="0.55118110236220474" bottom="0.55118110236220474" header="0.31496062992125984" footer="0.31496062992125984"/>
  <pageSetup paperSize="9" scale="8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Base>C:\</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maksimova</dc:creator>
  <cp:lastModifiedBy>user</cp:lastModifiedBy>
  <cp:lastPrinted>2022-12-30T14:02:21Z</cp:lastPrinted>
  <dcterms:created xsi:type="dcterms:W3CDTF">2014-06-19T07:08:29Z</dcterms:created>
  <dcterms:modified xsi:type="dcterms:W3CDTF">2023-01-09T13:48:51Z</dcterms:modified>
</cp:coreProperties>
</file>