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848" windowWidth="15120" windowHeight="6276" activeTab="3"/>
  </bookViews>
  <sheets>
    <sheet name="Рабочие расчеты" sheetId="4" r:id="rId1"/>
    <sheet name="Прогноз 2020-2025" sheetId="5" r:id="rId2"/>
    <sheet name="Прогноз 2021-2026 для расп" sheetId="6" r:id="rId3"/>
    <sheet name="Прогноз 2021-2026 " sheetId="7" r:id="rId4"/>
  </sheets>
  <calcPr calcId="145621"/>
</workbook>
</file>

<file path=xl/calcChain.xml><?xml version="1.0" encoding="utf-8"?>
<calcChain xmlns="http://schemas.openxmlformats.org/spreadsheetml/2006/main">
  <c r="E16" i="7" l="1"/>
  <c r="G8" i="4" l="1"/>
  <c r="L28" i="7" l="1"/>
  <c r="N28" i="7" s="1"/>
  <c r="O28" i="7" s="1"/>
  <c r="F28" i="7"/>
  <c r="H28" i="7" s="1"/>
  <c r="E26" i="7"/>
  <c r="E24" i="7"/>
  <c r="E25" i="7" s="1"/>
  <c r="E23" i="7"/>
  <c r="G22" i="7"/>
  <c r="F22" i="7"/>
  <c r="F24" i="7" s="1"/>
  <c r="F25" i="7" s="1"/>
  <c r="F21" i="7"/>
  <c r="E21" i="7"/>
  <c r="H20" i="7"/>
  <c r="J20" i="7" s="1"/>
  <c r="G20" i="7"/>
  <c r="G21" i="7" s="1"/>
  <c r="Q19" i="7"/>
  <c r="P19" i="7"/>
  <c r="O19" i="7"/>
  <c r="N19" i="7"/>
  <c r="M19" i="7"/>
  <c r="L19" i="7"/>
  <c r="K19" i="7"/>
  <c r="J19" i="7"/>
  <c r="G19" i="7"/>
  <c r="F19" i="7"/>
  <c r="C19" i="7"/>
  <c r="J18" i="7"/>
  <c r="L18" i="7" s="1"/>
  <c r="N18" i="7" s="1"/>
  <c r="P18" i="7" s="1"/>
  <c r="G18" i="7"/>
  <c r="K18" i="7" s="1"/>
  <c r="M18" i="7" s="1"/>
  <c r="O18" i="7" s="1"/>
  <c r="Q18" i="7" s="1"/>
  <c r="E18" i="7"/>
  <c r="D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17" i="7"/>
  <c r="L16" i="7"/>
  <c r="N16" i="7" s="1"/>
  <c r="J16" i="7"/>
  <c r="H16" i="7"/>
  <c r="G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E14" i="7"/>
  <c r="F14" i="7" s="1"/>
  <c r="C14" i="7"/>
  <c r="M16" i="7" l="1"/>
  <c r="I20" i="7"/>
  <c r="I21" i="7" s="1"/>
  <c r="H21" i="7"/>
  <c r="G24" i="7"/>
  <c r="G25" i="7" s="1"/>
  <c r="H14" i="7"/>
  <c r="G14" i="7"/>
  <c r="L20" i="7"/>
  <c r="J21" i="7"/>
  <c r="K20" i="7"/>
  <c r="K21" i="7" s="1"/>
  <c r="P16" i="7"/>
  <c r="Q16" i="7" s="1"/>
  <c r="O16" i="7"/>
  <c r="H22" i="7"/>
  <c r="H27" i="7"/>
  <c r="I27" i="7" s="1"/>
  <c r="J27" i="7" s="1"/>
  <c r="P28" i="7"/>
  <c r="Q28" i="7" s="1"/>
  <c r="I22" i="7"/>
  <c r="Q28" i="6"/>
  <c r="Q27" i="6"/>
  <c r="O28" i="6"/>
  <c r="O27" i="6"/>
  <c r="M28" i="6"/>
  <c r="G27" i="6"/>
  <c r="H27" i="6" s="1"/>
  <c r="I24" i="7" l="1"/>
  <c r="I25" i="7" s="1"/>
  <c r="K22" i="7"/>
  <c r="K27" i="7"/>
  <c r="L27" i="7"/>
  <c r="N27" i="7" s="1"/>
  <c r="N20" i="7"/>
  <c r="M20" i="7"/>
  <c r="M21" i="7" s="1"/>
  <c r="L21" i="7"/>
  <c r="J14" i="7"/>
  <c r="L14" i="7" s="1"/>
  <c r="I14" i="7"/>
  <c r="K14" i="7" s="1"/>
  <c r="H24" i="7"/>
  <c r="H25" i="7" s="1"/>
  <c r="J22" i="7"/>
  <c r="I27" i="6"/>
  <c r="J27" i="6" s="1"/>
  <c r="K27" i="6" s="1"/>
  <c r="M27" i="6" s="1"/>
  <c r="G28" i="6"/>
  <c r="I28" i="6" s="1"/>
  <c r="F26" i="6"/>
  <c r="N14" i="7" l="1"/>
  <c r="M14" i="7"/>
  <c r="P27" i="7"/>
  <c r="Q27" i="7" s="1"/>
  <c r="O27" i="7"/>
  <c r="K24" i="7"/>
  <c r="K25" i="7" s="1"/>
  <c r="M22" i="7"/>
  <c r="J24" i="7"/>
  <c r="J25" i="7" s="1"/>
  <c r="L22" i="7"/>
  <c r="P20" i="7"/>
  <c r="N21" i="7"/>
  <c r="O20" i="7"/>
  <c r="O21" i="7" s="1"/>
  <c r="F24" i="6"/>
  <c r="F25" i="6" s="1"/>
  <c r="F23" i="6"/>
  <c r="F21" i="6"/>
  <c r="R19" i="6"/>
  <c r="Q19" i="6"/>
  <c r="O19" i="6"/>
  <c r="P19" i="6"/>
  <c r="L19" i="6"/>
  <c r="K19" i="6"/>
  <c r="J19" i="6"/>
  <c r="I19" i="6"/>
  <c r="I18" i="6"/>
  <c r="K18" i="6" s="1"/>
  <c r="Q20" i="7" l="1"/>
  <c r="Q21" i="7" s="1"/>
  <c r="P21" i="7"/>
  <c r="P14" i="7"/>
  <c r="Q14" i="7" s="1"/>
  <c r="O14" i="7"/>
  <c r="L24" i="7"/>
  <c r="L25" i="7" s="1"/>
  <c r="N22" i="7"/>
  <c r="M24" i="7"/>
  <c r="M25" i="7" s="1"/>
  <c r="O22" i="7"/>
  <c r="H19" i="6"/>
  <c r="H18" i="6"/>
  <c r="J18" i="6" s="1"/>
  <c r="G19" i="6"/>
  <c r="F18" i="6"/>
  <c r="E18" i="6"/>
  <c r="N17" i="6"/>
  <c r="L17" i="6"/>
  <c r="K17" i="6"/>
  <c r="K16" i="6"/>
  <c r="J17" i="6"/>
  <c r="O24" i="7" l="1"/>
  <c r="O25" i="7" s="1"/>
  <c r="Q22" i="7"/>
  <c r="Q24" i="7" s="1"/>
  <c r="N24" i="7"/>
  <c r="N25" i="7" s="1"/>
  <c r="P22" i="7"/>
  <c r="P24" i="7" s="1"/>
  <c r="H17" i="6"/>
  <c r="H16" i="6"/>
  <c r="P25" i="7" l="1"/>
  <c r="Q25" i="7"/>
  <c r="Q17" i="6"/>
  <c r="O17" i="6"/>
  <c r="I17" i="6"/>
  <c r="G17" i="6"/>
  <c r="F17" i="6"/>
  <c r="F16" i="6"/>
  <c r="I16" i="6"/>
  <c r="R15" i="6" l="1"/>
  <c r="P15" i="6"/>
  <c r="O15" i="6"/>
  <c r="N15" i="6"/>
  <c r="M15" i="6"/>
  <c r="L15" i="6"/>
  <c r="J15" i="6"/>
  <c r="H15" i="6"/>
  <c r="Q15" i="6" l="1"/>
  <c r="K15" i="6" l="1"/>
  <c r="I15" i="6"/>
  <c r="G15" i="6"/>
  <c r="G14" i="6"/>
  <c r="H14" i="6" s="1"/>
  <c r="D15" i="6"/>
  <c r="E15" i="6"/>
  <c r="F15" i="6"/>
  <c r="F14" i="6"/>
  <c r="C15" i="6"/>
  <c r="I14" i="6" l="1"/>
  <c r="E25" i="6"/>
  <c r="D25" i="6"/>
  <c r="R28" i="6"/>
  <c r="P28" i="6"/>
  <c r="R27" i="6"/>
  <c r="P27" i="6"/>
  <c r="L27" i="6"/>
  <c r="E23" i="6"/>
  <c r="D23" i="6"/>
  <c r="H22" i="6"/>
  <c r="J22" i="6" s="1"/>
  <c r="L22" i="6" s="1"/>
  <c r="N22" i="6" s="1"/>
  <c r="P22" i="6" s="1"/>
  <c r="R22" i="6" s="1"/>
  <c r="G22" i="6"/>
  <c r="I22" i="6" s="1"/>
  <c r="K22" i="6" s="1"/>
  <c r="M22" i="6" s="1"/>
  <c r="O22" i="6" s="1"/>
  <c r="Q22" i="6" s="1"/>
  <c r="G21" i="6"/>
  <c r="E21" i="6"/>
  <c r="D21" i="6"/>
  <c r="I20" i="6"/>
  <c r="J20" i="6" s="1"/>
  <c r="H20" i="6"/>
  <c r="H21" i="6" s="1"/>
  <c r="N19" i="6"/>
  <c r="M19" i="6"/>
  <c r="C19" i="6"/>
  <c r="M18" i="6"/>
  <c r="O18" i="6" s="1"/>
  <c r="Q18" i="6" s="1"/>
  <c r="L18" i="6"/>
  <c r="N18" i="6" s="1"/>
  <c r="P18" i="6" s="1"/>
  <c r="R18" i="6" s="1"/>
  <c r="R17" i="6"/>
  <c r="P17" i="6"/>
  <c r="M17" i="6"/>
  <c r="D17" i="6"/>
  <c r="C17" i="6"/>
  <c r="M16" i="6"/>
  <c r="O16" i="6" s="1"/>
  <c r="Q16" i="6" s="1"/>
  <c r="C14" i="6"/>
  <c r="J21" i="6" l="1"/>
  <c r="J14" i="6"/>
  <c r="L14" i="6" s="1"/>
  <c r="K14" i="6"/>
  <c r="M14" i="6" s="1"/>
  <c r="N16" i="6"/>
  <c r="G24" i="6"/>
  <c r="G25" i="6" s="1"/>
  <c r="I24" i="6"/>
  <c r="H24" i="6"/>
  <c r="H25" i="6" s="1"/>
  <c r="J24" i="6"/>
  <c r="I21" i="6"/>
  <c r="K20" i="6"/>
  <c r="K24" i="6" s="1"/>
  <c r="R16" i="6"/>
  <c r="P16" i="6"/>
  <c r="AI9" i="4"/>
  <c r="AG9" i="4"/>
  <c r="AH9" i="4"/>
  <c r="N14" i="6" l="1"/>
  <c r="O14" i="6"/>
  <c r="J25" i="6"/>
  <c r="K25" i="6"/>
  <c r="I25" i="6"/>
  <c r="L20" i="6"/>
  <c r="M20" i="6"/>
  <c r="M24" i="6" s="1"/>
  <c r="M25" i="6" s="1"/>
  <c r="K21" i="6"/>
  <c r="R21" i="5"/>
  <c r="R22" i="5"/>
  <c r="P21" i="5"/>
  <c r="P22" i="5"/>
  <c r="N22" i="5"/>
  <c r="N21" i="5"/>
  <c r="L21" i="5"/>
  <c r="L22" i="5"/>
  <c r="J21" i="5"/>
  <c r="J22" i="5"/>
  <c r="H22" i="5"/>
  <c r="P14" i="6" l="1"/>
  <c r="Q14" i="6"/>
  <c r="R14" i="6" s="1"/>
  <c r="L21" i="6"/>
  <c r="L24" i="6"/>
  <c r="L25" i="6" s="1"/>
  <c r="N20" i="6"/>
  <c r="O20" i="6"/>
  <c r="O24" i="6" s="1"/>
  <c r="O25" i="6" s="1"/>
  <c r="M21" i="6"/>
  <c r="H21" i="5"/>
  <c r="N21" i="6" l="1"/>
  <c r="N24" i="6"/>
  <c r="N25" i="6" s="1"/>
  <c r="P20" i="6"/>
  <c r="Q20" i="6"/>
  <c r="Q24" i="6" s="1"/>
  <c r="Q25" i="6" s="1"/>
  <c r="O21" i="6"/>
  <c r="R24" i="5"/>
  <c r="P24" i="5"/>
  <c r="R23" i="5"/>
  <c r="P23" i="5"/>
  <c r="N23" i="5"/>
  <c r="L23" i="5"/>
  <c r="J23" i="5"/>
  <c r="H23" i="5"/>
  <c r="R18" i="5"/>
  <c r="Q18" i="5"/>
  <c r="P18" i="5"/>
  <c r="O18" i="5"/>
  <c r="N18" i="5"/>
  <c r="M18" i="5"/>
  <c r="L18" i="5"/>
  <c r="K18" i="5"/>
  <c r="J18" i="5"/>
  <c r="I18" i="5"/>
  <c r="H18" i="5"/>
  <c r="G18" i="5"/>
  <c r="R13" i="5"/>
  <c r="R12" i="5"/>
  <c r="Q13" i="5"/>
  <c r="Q12" i="5"/>
  <c r="P13" i="5"/>
  <c r="P12" i="5"/>
  <c r="O13" i="5"/>
  <c r="O12" i="5"/>
  <c r="N13" i="5"/>
  <c r="N12" i="5"/>
  <c r="K12" i="5"/>
  <c r="K13" i="5" s="1"/>
  <c r="M12" i="5"/>
  <c r="M13" i="5" s="1"/>
  <c r="L12" i="5"/>
  <c r="L13" i="5" s="1"/>
  <c r="J13" i="5"/>
  <c r="J12" i="5"/>
  <c r="I13" i="5"/>
  <c r="I12" i="5"/>
  <c r="H13" i="5"/>
  <c r="H12" i="5"/>
  <c r="F13" i="5"/>
  <c r="G13" i="5"/>
  <c r="E13" i="5"/>
  <c r="R16" i="5"/>
  <c r="Q16" i="5"/>
  <c r="P16" i="5"/>
  <c r="O16" i="5"/>
  <c r="N16" i="5"/>
  <c r="M16" i="5"/>
  <c r="L16" i="5"/>
  <c r="K16" i="5"/>
  <c r="J16" i="5"/>
  <c r="I16" i="5"/>
  <c r="H16" i="5"/>
  <c r="E17" i="5"/>
  <c r="F17" i="5"/>
  <c r="G16" i="5"/>
  <c r="Q22" i="5"/>
  <c r="Q21" i="5"/>
  <c r="O21" i="5"/>
  <c r="O22" i="5"/>
  <c r="M22" i="5"/>
  <c r="M21" i="5"/>
  <c r="K22" i="5"/>
  <c r="K21" i="5"/>
  <c r="I22" i="5"/>
  <c r="I21" i="5"/>
  <c r="R20" i="5"/>
  <c r="R19" i="5"/>
  <c r="Q20" i="5"/>
  <c r="Q19" i="5"/>
  <c r="P20" i="5"/>
  <c r="P19" i="5"/>
  <c r="O20" i="5"/>
  <c r="N20" i="5"/>
  <c r="M20" i="5"/>
  <c r="M19" i="5"/>
  <c r="L20" i="5"/>
  <c r="J20" i="5"/>
  <c r="I20" i="5"/>
  <c r="K20" i="5"/>
  <c r="K19" i="5"/>
  <c r="R15" i="5"/>
  <c r="R14" i="5"/>
  <c r="P15" i="5"/>
  <c r="P14" i="5"/>
  <c r="N15" i="5"/>
  <c r="N14" i="5"/>
  <c r="L15" i="5"/>
  <c r="L14" i="5"/>
  <c r="J15" i="5"/>
  <c r="J14" i="5"/>
  <c r="H15" i="5"/>
  <c r="H14" i="5"/>
  <c r="P21" i="6" l="1"/>
  <c r="P24" i="6"/>
  <c r="P25" i="6" s="1"/>
  <c r="R20" i="6"/>
  <c r="Q21" i="6"/>
  <c r="G15" i="5"/>
  <c r="F15" i="5"/>
  <c r="E15" i="5"/>
  <c r="D15" i="5"/>
  <c r="R21" i="6" l="1"/>
  <c r="R24" i="6"/>
  <c r="R25" i="6" s="1"/>
  <c r="O19" i="5"/>
  <c r="L19" i="5"/>
  <c r="N19" i="5"/>
  <c r="I19" i="5"/>
  <c r="AF31" i="4"/>
  <c r="AF32" i="4" s="1"/>
  <c r="AF33" i="4"/>
  <c r="AD33" i="4"/>
  <c r="AB33" i="4"/>
  <c r="Z33" i="4"/>
  <c r="V33" i="4"/>
  <c r="Q33" i="4"/>
  <c r="AD32" i="4"/>
  <c r="AB32" i="4"/>
  <c r="Z32" i="4"/>
  <c r="V32" i="4"/>
  <c r="AB31" i="4"/>
  <c r="AD31" i="4"/>
  <c r="Z31" i="4"/>
  <c r="V31" i="4"/>
  <c r="Q31" i="4"/>
  <c r="J19" i="5"/>
  <c r="H19" i="5"/>
  <c r="AF10" i="4" l="1"/>
  <c r="AF9" i="4"/>
  <c r="AD10" i="4"/>
  <c r="AD9" i="4"/>
  <c r="AB10" i="4"/>
  <c r="AB9" i="4"/>
  <c r="Q10" i="4"/>
  <c r="AF8" i="4"/>
  <c r="AD8" i="4"/>
  <c r="AB8" i="4"/>
  <c r="Z8" i="4"/>
  <c r="V8" i="4"/>
  <c r="Q8" i="4"/>
  <c r="Q7" i="4"/>
  <c r="V7" i="4" s="1"/>
  <c r="Z7" i="4" s="1"/>
  <c r="AB7" i="4" s="1"/>
  <c r="AD7" i="4" s="1"/>
  <c r="AF7" i="4" s="1"/>
  <c r="AG7" i="4" l="1"/>
  <c r="AI7" i="4" s="1"/>
  <c r="AH7" i="4"/>
  <c r="G21" i="5"/>
  <c r="F21" i="5"/>
  <c r="F22" i="5"/>
  <c r="G20" i="5" l="1"/>
  <c r="F20" i="5"/>
  <c r="G14" i="5" l="1"/>
  <c r="D14" i="5"/>
  <c r="I14" i="5" l="1"/>
  <c r="G22" i="5"/>
  <c r="D22" i="5"/>
  <c r="K14" i="5" l="1"/>
  <c r="E20" i="5"/>
  <c r="D20" i="5"/>
  <c r="M14" i="5" l="1"/>
  <c r="O14" i="5" l="1"/>
  <c r="Q11" i="5"/>
  <c r="O11" i="5"/>
  <c r="Q14" i="5" l="1"/>
  <c r="M11" i="5"/>
  <c r="K11" i="5"/>
  <c r="I11" i="5"/>
  <c r="G11" i="5"/>
  <c r="F11" i="5"/>
  <c r="R21" i="4" l="1"/>
  <c r="Q21" i="4"/>
  <c r="W28" i="4"/>
  <c r="G27" i="4" l="1"/>
  <c r="AA10" i="4" l="1"/>
  <c r="Z9" i="4"/>
  <c r="Z10" i="4"/>
  <c r="W10" i="4"/>
  <c r="V10" i="4"/>
  <c r="V9" i="4"/>
  <c r="R10" i="4"/>
  <c r="Q9" i="4"/>
  <c r="AA29" i="4" l="1"/>
  <c r="W29" i="4"/>
  <c r="AA16" i="4" l="1"/>
  <c r="W16" i="4"/>
  <c r="R16" i="4"/>
  <c r="AA12" i="4"/>
  <c r="Z12" i="4"/>
  <c r="Z11" i="4"/>
  <c r="W12" i="4"/>
  <c r="V12" i="4"/>
  <c r="V11" i="4"/>
  <c r="R12" i="4"/>
  <c r="Q12" i="4"/>
  <c r="Q11" i="4"/>
  <c r="G12" i="4"/>
  <c r="G11" i="4"/>
  <c r="R8" i="4"/>
  <c r="W8" i="4"/>
  <c r="AA8" i="4"/>
  <c r="W7" i="4"/>
  <c r="R7" i="4"/>
  <c r="AA22" i="4" l="1"/>
  <c r="W22" i="4"/>
  <c r="R22" i="4"/>
  <c r="AA19" i="4"/>
  <c r="W19" i="4"/>
  <c r="R19" i="4"/>
  <c r="AA17" i="4"/>
  <c r="W17" i="4"/>
  <c r="R17" i="4"/>
  <c r="AA15" i="4"/>
  <c r="W15" i="4"/>
  <c r="R15" i="4"/>
  <c r="AA13" i="4"/>
  <c r="W13" i="4"/>
  <c r="R13" i="4"/>
  <c r="R9" i="4"/>
  <c r="V27" i="4" l="1"/>
  <c r="Z27" i="4" s="1"/>
  <c r="F27" i="4"/>
  <c r="Q25" i="4"/>
  <c r="Q24" i="4"/>
  <c r="V24" i="4" s="1"/>
  <c r="G18" i="4"/>
  <c r="F18" i="4"/>
  <c r="E18" i="4"/>
  <c r="D18" i="4"/>
  <c r="Z19" i="4"/>
  <c r="V19" i="4"/>
  <c r="Q19" i="4"/>
  <c r="Q17" i="4"/>
  <c r="G17" i="4"/>
  <c r="Z16" i="4"/>
  <c r="Z15" i="4"/>
  <c r="V16" i="4"/>
  <c r="V15" i="4"/>
  <c r="Q15" i="4"/>
  <c r="Q16" i="4"/>
  <c r="G16" i="4"/>
  <c r="G15" i="4"/>
  <c r="D16" i="4"/>
  <c r="R25" i="4" l="1"/>
  <c r="V25" i="4"/>
  <c r="Z24" i="4"/>
  <c r="W24" i="4"/>
  <c r="R24" i="4"/>
  <c r="R29" i="4"/>
  <c r="R11" i="4"/>
  <c r="AA9" i="4"/>
  <c r="W9" i="4"/>
  <c r="G10" i="4"/>
  <c r="G9" i="4"/>
  <c r="W25" i="4" l="1"/>
  <c r="Z25" i="4"/>
  <c r="AA24" i="4"/>
  <c r="AA7" i="4"/>
  <c r="F8" i="4"/>
  <c r="AA25" i="4" l="1"/>
  <c r="AA11" i="4"/>
  <c r="W11" i="4"/>
  <c r="R18" i="4" l="1"/>
  <c r="W18" i="4" l="1"/>
  <c r="AA18" i="4" l="1"/>
  <c r="Q30" i="4"/>
  <c r="Q18" i="4"/>
  <c r="Z13" i="4"/>
  <c r="V13" i="4"/>
  <c r="Q13" i="4"/>
  <c r="G13" i="4"/>
  <c r="R30" i="4" l="1"/>
  <c r="V30" i="4"/>
  <c r="V18" i="4"/>
  <c r="V17" i="4"/>
  <c r="Z30" i="4" l="1"/>
  <c r="W30" i="4"/>
  <c r="Z18" i="4"/>
  <c r="Z17" i="4"/>
  <c r="AA30" i="4" l="1"/>
  <c r="F29" i="4"/>
  <c r="F30" i="4"/>
  <c r="F24" i="4"/>
  <c r="S20" i="4" l="1"/>
  <c r="X18" i="4"/>
  <c r="S18" i="4"/>
  <c r="L18" i="4"/>
  <c r="X28" i="4"/>
  <c r="X27" i="4"/>
  <c r="L20" i="4"/>
  <c r="X17" i="4"/>
  <c r="E20" i="4" l="1"/>
  <c r="D9" i="4" l="1"/>
</calcChain>
</file>

<file path=xl/sharedStrings.xml><?xml version="1.0" encoding="utf-8"?>
<sst xmlns="http://schemas.openxmlformats.org/spreadsheetml/2006/main" count="263" uniqueCount="100">
  <si>
    <t>%</t>
  </si>
  <si>
    <t>Чел.</t>
  </si>
  <si>
    <t>Отгружено товаров собственного производства, выполнено работ и услуг собственными силами по разделам В, С, Д, Е (по «чистым» видам деятельности) по полному кругу организаций</t>
  </si>
  <si>
    <t>индекс физичекого объема</t>
  </si>
  <si>
    <t>Объем валовой продукции сельского хозяйства</t>
  </si>
  <si>
    <t>темп роста в сопоставимых ценах</t>
  </si>
  <si>
    <t>Объем розничного товарооборота</t>
  </si>
  <si>
    <t>Инвестиции в основной капитал по полному кругу организаций</t>
  </si>
  <si>
    <t>в том числе:</t>
  </si>
  <si>
    <t>инвестиции в основной капитал по крупным и средним организациям</t>
  </si>
  <si>
    <t>Прибыль прибыльных организаций для целей бухгалтерского учета</t>
  </si>
  <si>
    <t>Фонд оплаты труда (по крупным и средним организациям)</t>
  </si>
  <si>
    <t>Номинальная начисленная заработная плата одного работника по крупным и средним организациям (в среднем за период)</t>
  </si>
  <si>
    <t xml:space="preserve">Среднегодовая численность населения  </t>
  </si>
  <si>
    <t>Среднесписочная численность работников организаций (по крупным  и средним организациям)</t>
  </si>
  <si>
    <t>Численность зарегистрированных  безработных на конец года</t>
  </si>
  <si>
    <t xml:space="preserve">Уровень зарегистрированной безработицы </t>
  </si>
  <si>
    <t>Количество малых предприятий, в т.ч. микропредприятий, всего</t>
  </si>
  <si>
    <t>Количество средних предприятий</t>
  </si>
  <si>
    <t>Среднесписочная численность работников (без внешних совместителей) в малых предприятиях (включая микропредприятия)</t>
  </si>
  <si>
    <t xml:space="preserve">Среднесписочная численность работников (без внешних совместителей) в средних предприятиях </t>
  </si>
  <si>
    <t>Оборот малых предприятий (в т.ч. микропредприятий), всего</t>
  </si>
  <si>
    <t>Оборот средних предприятий</t>
  </si>
  <si>
    <t>Млн.  руб.</t>
  </si>
  <si>
    <t>Млн.  руб. в ценах соотв.лет</t>
  </si>
  <si>
    <t>Млн. руб.</t>
  </si>
  <si>
    <t>Руб.</t>
  </si>
  <si>
    <t>Тыс. чел.</t>
  </si>
  <si>
    <t>Тыс.чел.</t>
  </si>
  <si>
    <t>Единиц</t>
  </si>
  <si>
    <t>Млн.руб.</t>
  </si>
  <si>
    <t>Млн. руб. в ценах соотв.лет</t>
  </si>
  <si>
    <t>Млн. руб. в ценах соотв. лет</t>
  </si>
  <si>
    <t>2016 год</t>
  </si>
  <si>
    <t>2017 год</t>
  </si>
  <si>
    <t>2018 год</t>
  </si>
  <si>
    <t>2019 год</t>
  </si>
  <si>
    <t>2020 год</t>
  </si>
  <si>
    <t>2021 год</t>
  </si>
  <si>
    <t>Показатели</t>
  </si>
  <si>
    <t>Ед. измер.</t>
  </si>
  <si>
    <t>607 Указ</t>
  </si>
  <si>
    <t>Прогноз 2018-2020</t>
  </si>
  <si>
    <t>Муниц. программа</t>
  </si>
  <si>
    <t>Прогноз СЭР 2019-2021</t>
  </si>
  <si>
    <t>№ п/п</t>
  </si>
  <si>
    <t>Страте-гия</t>
  </si>
  <si>
    <t>2020 год, прогноз</t>
  </si>
  <si>
    <t>2021 год, прогноз</t>
  </si>
  <si>
    <t>оценка</t>
  </si>
  <si>
    <t>2022 год</t>
  </si>
  <si>
    <t>2019 год оценка</t>
  </si>
  <si>
    <t>2022 год, прогноз</t>
  </si>
  <si>
    <t>1 вариант (базовый)</t>
  </si>
  <si>
    <t>Количество индивидуальных предпринимателей</t>
  </si>
  <si>
    <t>2 вариант (целевой)</t>
  </si>
  <si>
    <t>Прогноз социально-экономического развития МО "Завьяловский район" на 2020 год и на плановый период 2021 и 2022 годов</t>
  </si>
  <si>
    <t>2023 год, прогноз</t>
  </si>
  <si>
    <t>2025 год, прогноз</t>
  </si>
  <si>
    <t>Объем отгруженной продукции собственного производства, выполненных работ и услуг (по крупным и средним организациям)</t>
  </si>
  <si>
    <t>2024 год, прогноз</t>
  </si>
  <si>
    <t xml:space="preserve">Инвестиции в основной капитал по крупным и средним организациям </t>
  </si>
  <si>
    <t>Темп роста</t>
  </si>
  <si>
    <t xml:space="preserve"> муниципального образования "Завьяловский район" на долгосрочный период</t>
  </si>
  <si>
    <t xml:space="preserve"> Прогноз социально-экономического развития </t>
  </si>
  <si>
    <t>2023 год</t>
  </si>
  <si>
    <t>Прогноз СЭР до 2025 года         1 вариант</t>
  </si>
  <si>
    <t>Прогноз СЭР до 2025 года         2 вариант</t>
  </si>
  <si>
    <t>2024 год</t>
  </si>
  <si>
    <t>2025 год</t>
  </si>
  <si>
    <t>Объем строительных работ</t>
  </si>
  <si>
    <t>2018 год факт</t>
  </si>
  <si>
    <t>2017 год факт</t>
  </si>
  <si>
    <t>Приложение</t>
  </si>
  <si>
    <t>к располряжению Администрации</t>
  </si>
  <si>
    <t>муниципального образования</t>
  </si>
  <si>
    <t>"Завьяловский район"</t>
  </si>
  <si>
    <t>от_______________№_________</t>
  </si>
  <si>
    <t>Тыс.  чел.</t>
  </si>
  <si>
    <t xml:space="preserve">ПРОГНОЗ </t>
  </si>
  <si>
    <t xml:space="preserve">Объем отгруженной продукции собственного производства, выполненных работ и услуг </t>
  </si>
  <si>
    <t>2020 год оценка</t>
  </si>
  <si>
    <t>2019 год факт</t>
  </si>
  <si>
    <t>2021 год                                        прогноз</t>
  </si>
  <si>
    <t>2022 год                                        прогноз</t>
  </si>
  <si>
    <t>2023 год                                        прогноз</t>
  </si>
  <si>
    <t>2024 год                                        прогноз</t>
  </si>
  <si>
    <t>2025 год                                        прогноз</t>
  </si>
  <si>
    <t>2026 год                                        прогноз</t>
  </si>
  <si>
    <t xml:space="preserve">базовый </t>
  </si>
  <si>
    <t>целевой</t>
  </si>
  <si>
    <t xml:space="preserve"> социально-экономического развития муниципального образования "Завьяловский район" на долгосрочный период</t>
  </si>
  <si>
    <t xml:space="preserve">Инвестиции в основной капитал (по крупным и средним организациям) </t>
  </si>
  <si>
    <t>Номинальная начисленная заработная плата одного работника (по крупным и средним организациям)</t>
  </si>
  <si>
    <t xml:space="preserve"> социально-экономического развития муниципального образования «Завьяловский район» на 2021 - 2026 годы</t>
  </si>
  <si>
    <t xml:space="preserve"> «Завьяловский район»</t>
  </si>
  <si>
    <t>к распоряжению Администрации</t>
  </si>
  <si>
    <t>1 вариант</t>
  </si>
  <si>
    <t>2 вариант</t>
  </si>
  <si>
    <t>Ед. измер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</si>
</sst>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6" xfId="0" applyNumberFormat="1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4" fontId="1" fillId="0" borderId="30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0" fillId="0" borderId="16" xfId="0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4" fontId="1" fillId="0" borderId="10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38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65" fontId="1" fillId="0" borderId="28" xfId="0" applyNumberFormat="1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center" vertical="center" wrapText="1"/>
    </xf>
    <xf numFmtId="3" fontId="1" fillId="0" borderId="30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3" fontId="1" fillId="0" borderId="38" xfId="0" applyNumberFormat="1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1" fillId="0" borderId="38" xfId="0" applyNumberFormat="1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35" xfId="0" applyFill="1" applyBorder="1"/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/>
    </xf>
    <xf numFmtId="0" fontId="0" fillId="0" borderId="16" xfId="0" applyBorder="1"/>
    <xf numFmtId="0" fontId="0" fillId="0" borderId="19" xfId="0" applyBorder="1"/>
    <xf numFmtId="0" fontId="0" fillId="0" borderId="25" xfId="0" applyFill="1" applyBorder="1" applyAlignment="1">
      <alignment vertical="center"/>
    </xf>
    <xf numFmtId="0" fontId="0" fillId="0" borderId="14" xfId="0" applyBorder="1"/>
    <xf numFmtId="0" fontId="0" fillId="0" borderId="17" xfId="0" applyBorder="1"/>
    <xf numFmtId="0" fontId="0" fillId="0" borderId="10" xfId="0" applyBorder="1"/>
    <xf numFmtId="0" fontId="0" fillId="0" borderId="32" xfId="0" applyBorder="1"/>
    <xf numFmtId="0" fontId="0" fillId="0" borderId="5" xfId="0" applyBorder="1"/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top" wrapText="1"/>
    </xf>
    <xf numFmtId="0" fontId="3" fillId="0" borderId="32" xfId="0" applyFont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0" fillId="0" borderId="0" xfId="0" applyNumberForma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165" fontId="1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" fontId="3" fillId="0" borderId="1" xfId="0" applyNumberFormat="1" applyFont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29" xfId="0" applyFont="1" applyBorder="1" applyAlignment="1">
      <alignment horizontal="center" vertical="top"/>
    </xf>
    <xf numFmtId="0" fontId="1" fillId="2" borderId="30" xfId="0" applyFont="1" applyFill="1" applyBorder="1" applyAlignment="1">
      <alignment horizontal="center" vertical="top" wrapText="1"/>
    </xf>
    <xf numFmtId="0" fontId="3" fillId="0" borderId="29" xfId="0" applyFont="1" applyBorder="1" applyAlignment="1">
      <alignment vertical="top"/>
    </xf>
    <xf numFmtId="165" fontId="3" fillId="0" borderId="29" xfId="0" applyNumberFormat="1" applyFont="1" applyFill="1" applyBorder="1" applyAlignment="1">
      <alignment vertical="top" wrapText="1"/>
    </xf>
    <xf numFmtId="165" fontId="1" fillId="0" borderId="23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51" xfId="0" applyFont="1" applyFill="1" applyBorder="1" applyAlignment="1">
      <alignment vertical="top" wrapText="1"/>
    </xf>
    <xf numFmtId="165" fontId="1" fillId="0" borderId="9" xfId="0" applyNumberFormat="1" applyFont="1" applyFill="1" applyBorder="1" applyAlignment="1">
      <alignment vertical="top" wrapText="1"/>
    </xf>
    <xf numFmtId="165" fontId="3" fillId="0" borderId="51" xfId="0" applyNumberFormat="1" applyFont="1" applyBorder="1" applyAlignment="1">
      <alignment vertical="top" wrapText="1"/>
    </xf>
    <xf numFmtId="165" fontId="1" fillId="2" borderId="23" xfId="0" applyNumberFormat="1" applyFont="1" applyFill="1" applyBorder="1" applyAlignment="1">
      <alignment vertical="top" wrapText="1"/>
    </xf>
    <xf numFmtId="165" fontId="3" fillId="0" borderId="21" xfId="0" applyNumberFormat="1" applyFont="1" applyBorder="1" applyAlignment="1">
      <alignment vertical="top" wrapText="1"/>
    </xf>
    <xf numFmtId="0" fontId="3" fillId="0" borderId="51" xfId="0" applyFont="1" applyBorder="1" applyAlignment="1">
      <alignment vertical="top" wrapText="1"/>
    </xf>
    <xf numFmtId="3" fontId="1" fillId="2" borderId="30" xfId="0" applyNumberFormat="1" applyFont="1" applyFill="1" applyBorder="1" applyAlignment="1">
      <alignment vertical="top" wrapText="1"/>
    </xf>
    <xf numFmtId="3" fontId="1" fillId="2" borderId="14" xfId="0" applyNumberFormat="1" applyFont="1" applyFill="1" applyBorder="1" applyAlignment="1">
      <alignment vertical="top" wrapText="1"/>
    </xf>
    <xf numFmtId="3" fontId="1" fillId="2" borderId="8" xfId="0" applyNumberFormat="1" applyFont="1" applyFill="1" applyBorder="1" applyAlignment="1">
      <alignment vertical="top" wrapText="1"/>
    </xf>
    <xf numFmtId="3" fontId="1" fillId="2" borderId="46" xfId="0" applyNumberFormat="1" applyFont="1" applyFill="1" applyBorder="1" applyAlignment="1">
      <alignment vertical="top" wrapText="1"/>
    </xf>
    <xf numFmtId="3" fontId="1" fillId="2" borderId="5" xfId="0" applyNumberFormat="1" applyFont="1" applyFill="1" applyBorder="1" applyAlignment="1">
      <alignment vertical="top" wrapText="1"/>
    </xf>
    <xf numFmtId="164" fontId="1" fillId="2" borderId="46" xfId="0" applyNumberFormat="1" applyFont="1" applyFill="1" applyBorder="1" applyAlignment="1">
      <alignment vertical="top" wrapText="1"/>
    </xf>
    <xf numFmtId="165" fontId="3" fillId="0" borderId="29" xfId="0" applyNumberFormat="1" applyFont="1" applyBorder="1" applyAlignment="1">
      <alignment vertical="top"/>
    </xf>
    <xf numFmtId="165" fontId="3" fillId="0" borderId="29" xfId="0" applyNumberFormat="1" applyFont="1" applyBorder="1" applyAlignment="1">
      <alignment vertical="top" wrapText="1"/>
    </xf>
    <xf numFmtId="165" fontId="1" fillId="2" borderId="42" xfId="0" applyNumberFormat="1" applyFont="1" applyFill="1" applyBorder="1" applyAlignment="1">
      <alignment vertical="top" wrapText="1"/>
    </xf>
    <xf numFmtId="165" fontId="3" fillId="0" borderId="48" xfId="0" applyNumberFormat="1" applyFont="1" applyBorder="1" applyAlignment="1">
      <alignment vertical="top" wrapText="1"/>
    </xf>
    <xf numFmtId="0" fontId="1" fillId="2" borderId="42" xfId="0" applyFont="1" applyFill="1" applyBorder="1" applyAlignment="1">
      <alignment vertical="top" wrapText="1"/>
    </xf>
    <xf numFmtId="165" fontId="3" fillId="0" borderId="45" xfId="0" applyNumberFormat="1" applyFont="1" applyBorder="1" applyAlignment="1">
      <alignment vertical="top" wrapText="1"/>
    </xf>
    <xf numFmtId="165" fontId="1" fillId="2" borderId="6" xfId="0" applyNumberFormat="1" applyFont="1" applyFill="1" applyBorder="1" applyAlignment="1">
      <alignment vertical="top" wrapText="1"/>
    </xf>
    <xf numFmtId="164" fontId="1" fillId="2" borderId="30" xfId="0" applyNumberFormat="1" applyFont="1" applyFill="1" applyBorder="1" applyAlignment="1">
      <alignment vertical="top" wrapText="1"/>
    </xf>
    <xf numFmtId="164" fontId="1" fillId="2" borderId="14" xfId="0" applyNumberFormat="1" applyFont="1" applyFill="1" applyBorder="1" applyAlignment="1">
      <alignment vertical="top" wrapText="1"/>
    </xf>
    <xf numFmtId="164" fontId="1" fillId="2" borderId="8" xfId="0" applyNumberFormat="1" applyFont="1" applyFill="1" applyBorder="1" applyAlignment="1">
      <alignment vertical="top" wrapText="1"/>
    </xf>
    <xf numFmtId="164" fontId="1" fillId="2" borderId="5" xfId="0" applyNumberFormat="1" applyFont="1" applyFill="1" applyBorder="1" applyAlignment="1">
      <alignment vertical="top" wrapText="1"/>
    </xf>
    <xf numFmtId="164" fontId="1" fillId="2" borderId="48" xfId="0" applyNumberFormat="1" applyFont="1" applyFill="1" applyBorder="1" applyAlignment="1">
      <alignment vertical="top" wrapText="1"/>
    </xf>
    <xf numFmtId="164" fontId="1" fillId="2" borderId="45" xfId="0" applyNumberFormat="1" applyFont="1" applyFill="1" applyBorder="1" applyAlignment="1">
      <alignment vertical="top" wrapText="1"/>
    </xf>
    <xf numFmtId="164" fontId="1" fillId="2" borderId="38" xfId="0" applyNumberFormat="1" applyFont="1" applyFill="1" applyBorder="1" applyAlignment="1">
      <alignment vertical="top" wrapText="1"/>
    </xf>
    <xf numFmtId="165" fontId="3" fillId="0" borderId="40" xfId="0" applyNumberFormat="1" applyFont="1" applyBorder="1" applyAlignment="1">
      <alignment vertical="top" wrapText="1"/>
    </xf>
    <xf numFmtId="164" fontId="1" fillId="2" borderId="6" xfId="0" applyNumberFormat="1" applyFont="1" applyFill="1" applyBorder="1" applyAlignment="1">
      <alignment vertical="top" wrapText="1"/>
    </xf>
    <xf numFmtId="164" fontId="1" fillId="2" borderId="42" xfId="0" applyNumberFormat="1" applyFont="1" applyFill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165" fontId="3" fillId="0" borderId="20" xfId="0" applyNumberFormat="1" applyFont="1" applyBorder="1" applyAlignment="1">
      <alignment vertical="top" wrapText="1"/>
    </xf>
    <xf numFmtId="164" fontId="1" fillId="0" borderId="30" xfId="0" applyNumberFormat="1" applyFont="1" applyFill="1" applyBorder="1" applyAlignment="1">
      <alignment vertical="top" wrapText="1"/>
    </xf>
    <xf numFmtId="164" fontId="1" fillId="0" borderId="14" xfId="0" applyNumberFormat="1" applyFont="1" applyFill="1" applyBorder="1" applyAlignment="1">
      <alignment vertical="top" wrapText="1"/>
    </xf>
    <xf numFmtId="164" fontId="1" fillId="0" borderId="8" xfId="0" applyNumberFormat="1" applyFont="1" applyFill="1" applyBorder="1" applyAlignment="1">
      <alignment vertical="top" wrapText="1"/>
    </xf>
    <xf numFmtId="164" fontId="1" fillId="0" borderId="45" xfId="0" applyNumberFormat="1" applyFont="1" applyFill="1" applyBorder="1" applyAlignment="1">
      <alignment vertical="top" wrapText="1"/>
    </xf>
    <xf numFmtId="164" fontId="1" fillId="0" borderId="5" xfId="0" applyNumberFormat="1" applyFont="1" applyFill="1" applyBorder="1" applyAlignment="1">
      <alignment vertical="top" wrapText="1"/>
    </xf>
    <xf numFmtId="164" fontId="1" fillId="0" borderId="46" xfId="0" applyNumberFormat="1" applyFont="1" applyFill="1" applyBorder="1" applyAlignment="1">
      <alignment vertical="top" wrapText="1"/>
    </xf>
    <xf numFmtId="164" fontId="1" fillId="0" borderId="48" xfId="0" applyNumberFormat="1" applyFont="1" applyFill="1" applyBorder="1" applyAlignment="1">
      <alignment vertical="top" wrapText="1"/>
    </xf>
    <xf numFmtId="164" fontId="1" fillId="0" borderId="29" xfId="0" applyNumberFormat="1" applyFont="1" applyFill="1" applyBorder="1" applyAlignment="1">
      <alignment vertical="top" wrapText="1"/>
    </xf>
    <xf numFmtId="164" fontId="1" fillId="0" borderId="44" xfId="0" applyNumberFormat="1" applyFont="1" applyFill="1" applyBorder="1" applyAlignment="1">
      <alignment vertical="top" wrapText="1"/>
    </xf>
    <xf numFmtId="165" fontId="3" fillId="0" borderId="40" xfId="0" applyNumberFormat="1" applyFont="1" applyFill="1" applyBorder="1" applyAlignment="1">
      <alignment vertical="top" wrapText="1"/>
    </xf>
    <xf numFmtId="165" fontId="3" fillId="0" borderId="20" xfId="0" applyNumberFormat="1" applyFont="1" applyFill="1" applyBorder="1" applyAlignment="1">
      <alignment vertical="top" wrapText="1"/>
    </xf>
    <xf numFmtId="165" fontId="1" fillId="0" borderId="42" xfId="0" applyNumberFormat="1" applyFont="1" applyFill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1" fontId="3" fillId="0" borderId="20" xfId="0" applyNumberFormat="1" applyFont="1" applyBorder="1" applyAlignment="1">
      <alignment vertical="top" wrapText="1"/>
    </xf>
    <xf numFmtId="1" fontId="3" fillId="0" borderId="40" xfId="0" applyNumberFormat="1" applyFont="1" applyBorder="1" applyAlignment="1">
      <alignment vertical="top" wrapText="1"/>
    </xf>
    <xf numFmtId="1" fontId="1" fillId="2" borderId="6" xfId="0" applyNumberFormat="1" applyFont="1" applyFill="1" applyBorder="1" applyAlignment="1">
      <alignment vertical="top" wrapText="1"/>
    </xf>
    <xf numFmtId="0" fontId="1" fillId="0" borderId="42" xfId="0" applyFont="1" applyFill="1" applyBorder="1" applyAlignment="1">
      <alignment vertical="top" wrapText="1"/>
    </xf>
    <xf numFmtId="0" fontId="3" fillId="0" borderId="47" xfId="0" applyFont="1" applyBorder="1" applyAlignment="1">
      <alignment vertical="top"/>
    </xf>
    <xf numFmtId="0" fontId="3" fillId="0" borderId="47" xfId="0" applyFont="1" applyBorder="1" applyAlignment="1">
      <alignment vertical="top" wrapText="1"/>
    </xf>
    <xf numFmtId="2" fontId="1" fillId="2" borderId="17" xfId="0" applyNumberFormat="1" applyFont="1" applyFill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1" fillId="2" borderId="35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0" fontId="3" fillId="0" borderId="48" xfId="0" applyFont="1" applyBorder="1" applyAlignment="1">
      <alignment vertical="top" wrapText="1"/>
    </xf>
    <xf numFmtId="0" fontId="3" fillId="0" borderId="45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vertical="top" wrapText="1"/>
    </xf>
    <xf numFmtId="0" fontId="1" fillId="0" borderId="3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4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top" wrapText="1"/>
    </xf>
    <xf numFmtId="0" fontId="1" fillId="2" borderId="4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3" fontId="1" fillId="0" borderId="36" xfId="0" applyNumberFormat="1" applyFont="1" applyFill="1" applyBorder="1" applyAlignment="1">
      <alignment horizontal="center" vertical="center" wrapText="1"/>
    </xf>
    <xf numFmtId="3" fontId="1" fillId="0" borderId="37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33"/>
  <sheetViews>
    <sheetView zoomScale="70" zoomScaleNormal="70" workbookViewId="0">
      <pane xSplit="2" ySplit="6" topLeftCell="F10" activePane="bottomRight" state="frozen"/>
      <selection pane="topRight" activeCell="C1" sqref="C1"/>
      <selection pane="bottomLeft" activeCell="A5" sqref="A5"/>
      <selection pane="bottomRight" activeCell="G10" sqref="G10"/>
    </sheetView>
  </sheetViews>
  <sheetFormatPr defaultRowHeight="14.4" x14ac:dyDescent="0.3"/>
  <cols>
    <col min="1" max="1" width="4.6640625" customWidth="1"/>
    <col min="2" max="2" width="39.109375" customWidth="1"/>
    <col min="3" max="3" width="12.109375" customWidth="1"/>
    <col min="4" max="4" width="10.6640625" customWidth="1"/>
    <col min="5" max="5" width="10" bestFit="1" customWidth="1"/>
    <col min="6" max="6" width="10.33203125" customWidth="1"/>
    <col min="7" max="7" width="11" customWidth="1"/>
    <col min="8" max="9" width="11.109375" hidden="1" customWidth="1"/>
    <col min="10" max="11" width="9.6640625" customWidth="1"/>
    <col min="12" max="12" width="10.88671875" customWidth="1"/>
    <col min="13" max="14" width="11.109375" hidden="1" customWidth="1"/>
    <col min="15" max="15" width="9.77734375" customWidth="1"/>
    <col min="16" max="16" width="9.33203125" customWidth="1"/>
    <col min="17" max="18" width="11.5546875" customWidth="1"/>
    <col min="19" max="19" width="10.6640625" customWidth="1"/>
    <col min="20" max="20" width="9.33203125" customWidth="1"/>
    <col min="21" max="21" width="9" customWidth="1"/>
    <col min="22" max="23" width="11.6640625" customWidth="1"/>
    <col min="24" max="24" width="10.6640625" customWidth="1"/>
    <col min="25" max="25" width="9.109375" customWidth="1"/>
    <col min="26" max="26" width="11" customWidth="1"/>
    <col min="27" max="27" width="11.33203125" customWidth="1"/>
    <col min="28" max="28" width="10.77734375" customWidth="1"/>
    <col min="29" max="29" width="11.6640625" customWidth="1"/>
    <col min="30" max="30" width="11.77734375" customWidth="1"/>
    <col min="31" max="31" width="11.6640625" customWidth="1"/>
    <col min="32" max="32" width="11" customWidth="1"/>
    <col min="33" max="33" width="12.21875" customWidth="1"/>
  </cols>
  <sheetData>
    <row r="2" spans="1:35" ht="15.6" x14ac:dyDescent="0.3">
      <c r="A2" s="211" t="s">
        <v>56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</row>
    <row r="3" spans="1:35" ht="15" thickBot="1" x14ac:dyDescent="0.35"/>
    <row r="4" spans="1:35" ht="15.6" customHeight="1" x14ac:dyDescent="0.3">
      <c r="A4" s="232" t="s">
        <v>45</v>
      </c>
      <c r="B4" s="235" t="s">
        <v>39</v>
      </c>
      <c r="C4" s="238" t="s">
        <v>40</v>
      </c>
      <c r="D4" s="205" t="s">
        <v>33</v>
      </c>
      <c r="E4" s="205" t="s">
        <v>34</v>
      </c>
      <c r="F4" s="205" t="s">
        <v>35</v>
      </c>
      <c r="G4" s="229" t="s">
        <v>36</v>
      </c>
      <c r="H4" s="230"/>
      <c r="I4" s="230"/>
      <c r="J4" s="230"/>
      <c r="K4" s="230"/>
      <c r="L4" s="231"/>
      <c r="M4" s="229" t="s">
        <v>37</v>
      </c>
      <c r="N4" s="230"/>
      <c r="O4" s="230"/>
      <c r="P4" s="230"/>
      <c r="Q4" s="230"/>
      <c r="R4" s="230"/>
      <c r="S4" s="231"/>
      <c r="T4" s="216" t="s">
        <v>38</v>
      </c>
      <c r="U4" s="217"/>
      <c r="V4" s="217"/>
      <c r="W4" s="217"/>
      <c r="X4" s="218"/>
      <c r="Y4" s="208" t="s">
        <v>50</v>
      </c>
      <c r="Z4" s="209"/>
      <c r="AA4" s="209"/>
      <c r="AB4" s="241" t="s">
        <v>65</v>
      </c>
      <c r="AC4" s="242"/>
      <c r="AD4" s="243" t="s">
        <v>68</v>
      </c>
      <c r="AE4" s="244"/>
      <c r="AF4" s="243" t="s">
        <v>69</v>
      </c>
      <c r="AG4" s="245"/>
    </row>
    <row r="5" spans="1:35" ht="15.6" customHeight="1" x14ac:dyDescent="0.3">
      <c r="A5" s="219"/>
      <c r="B5" s="235"/>
      <c r="C5" s="238"/>
      <c r="D5" s="206"/>
      <c r="E5" s="206"/>
      <c r="F5" s="206"/>
      <c r="G5" s="227" t="s">
        <v>49</v>
      </c>
      <c r="H5" s="220" t="s">
        <v>42</v>
      </c>
      <c r="I5" s="220" t="s">
        <v>43</v>
      </c>
      <c r="J5" s="213" t="s">
        <v>41</v>
      </c>
      <c r="K5" s="219" t="s">
        <v>46</v>
      </c>
      <c r="L5" s="239" t="s">
        <v>44</v>
      </c>
      <c r="M5" s="236" t="s">
        <v>42</v>
      </c>
      <c r="N5" s="213" t="s">
        <v>43</v>
      </c>
      <c r="O5" s="213" t="s">
        <v>41</v>
      </c>
      <c r="P5" s="237" t="s">
        <v>46</v>
      </c>
      <c r="Q5" s="212" t="s">
        <v>66</v>
      </c>
      <c r="R5" s="215" t="s">
        <v>67</v>
      </c>
      <c r="S5" s="233" t="s">
        <v>44</v>
      </c>
      <c r="T5" s="214" t="s">
        <v>46</v>
      </c>
      <c r="U5" s="213" t="s">
        <v>41</v>
      </c>
      <c r="V5" s="212" t="s">
        <v>66</v>
      </c>
      <c r="W5" s="215" t="s">
        <v>67</v>
      </c>
      <c r="X5" s="233" t="s">
        <v>44</v>
      </c>
      <c r="Y5" s="210" t="s">
        <v>46</v>
      </c>
      <c r="Z5" s="212" t="s">
        <v>66</v>
      </c>
      <c r="AA5" s="215" t="s">
        <v>67</v>
      </c>
      <c r="AB5" s="212" t="s">
        <v>66</v>
      </c>
      <c r="AC5" s="215" t="s">
        <v>67</v>
      </c>
      <c r="AD5" s="212" t="s">
        <v>66</v>
      </c>
      <c r="AE5" s="215" t="s">
        <v>67</v>
      </c>
      <c r="AF5" s="246" t="s">
        <v>66</v>
      </c>
      <c r="AG5" s="247" t="s">
        <v>67</v>
      </c>
    </row>
    <row r="6" spans="1:35" ht="54" customHeight="1" x14ac:dyDescent="0.3">
      <c r="A6" s="220"/>
      <c r="B6" s="235"/>
      <c r="C6" s="238"/>
      <c r="D6" s="207"/>
      <c r="E6" s="207"/>
      <c r="F6" s="207"/>
      <c r="G6" s="228"/>
      <c r="H6" s="213"/>
      <c r="I6" s="213"/>
      <c r="J6" s="213"/>
      <c r="K6" s="220"/>
      <c r="L6" s="240"/>
      <c r="M6" s="236"/>
      <c r="N6" s="213"/>
      <c r="O6" s="213"/>
      <c r="P6" s="237"/>
      <c r="Q6" s="212"/>
      <c r="R6" s="215"/>
      <c r="S6" s="234"/>
      <c r="T6" s="214"/>
      <c r="U6" s="213"/>
      <c r="V6" s="212"/>
      <c r="W6" s="215"/>
      <c r="X6" s="234"/>
      <c r="Y6" s="210"/>
      <c r="Z6" s="212"/>
      <c r="AA6" s="215"/>
      <c r="AB6" s="212"/>
      <c r="AC6" s="215"/>
      <c r="AD6" s="212"/>
      <c r="AE6" s="215"/>
      <c r="AF6" s="246"/>
      <c r="AG6" s="247"/>
    </row>
    <row r="7" spans="1:35" ht="78" customHeight="1" x14ac:dyDescent="0.3">
      <c r="A7" s="221">
        <v>1</v>
      </c>
      <c r="B7" s="6" t="s">
        <v>2</v>
      </c>
      <c r="C7" s="3" t="s">
        <v>23</v>
      </c>
      <c r="D7" s="10">
        <v>16083.2</v>
      </c>
      <c r="E7" s="10">
        <v>17274.240000000002</v>
      </c>
      <c r="F7" s="10">
        <v>20185.868200000001</v>
      </c>
      <c r="G7" s="13">
        <v>20659.7</v>
      </c>
      <c r="H7" s="13">
        <v>18142.400000000001</v>
      </c>
      <c r="I7" s="13"/>
      <c r="J7" s="13"/>
      <c r="K7" s="17">
        <v>19134.8</v>
      </c>
      <c r="L7" s="14">
        <v>19911.5</v>
      </c>
      <c r="M7" s="15">
        <v>17335.7</v>
      </c>
      <c r="N7" s="13"/>
      <c r="O7" s="16"/>
      <c r="P7" s="17">
        <v>19078.400000000001</v>
      </c>
      <c r="Q7" s="18">
        <f>G7*1.036*1.025</f>
        <v>21938.53543</v>
      </c>
      <c r="R7" s="18">
        <f>Q7*1.005</f>
        <v>22048.228107149997</v>
      </c>
      <c r="S7" s="14">
        <v>20588.5</v>
      </c>
      <c r="T7" s="15">
        <v>19650.8</v>
      </c>
      <c r="U7" s="19"/>
      <c r="V7" s="20">
        <f>Q7*1.036*1.025</f>
        <v>23296.530773117</v>
      </c>
      <c r="W7" s="21">
        <f>V7*1.0045</f>
        <v>23401.365161596026</v>
      </c>
      <c r="X7" s="14">
        <v>21412</v>
      </c>
      <c r="Y7" s="22">
        <v>20240.3</v>
      </c>
      <c r="Z7" s="23">
        <f>V7*1.042*1.025</f>
        <v>24881.859692227608</v>
      </c>
      <c r="AA7" s="18">
        <f>Z7*1.003</f>
        <v>24956.50527130429</v>
      </c>
      <c r="AB7" s="23">
        <f>Z7*1.044*1.026</f>
        <v>26652.054718171454</v>
      </c>
      <c r="AC7" s="76"/>
      <c r="AD7" s="23">
        <f>AB7*1.045*1.027</f>
        <v>28603.38490436237</v>
      </c>
      <c r="AE7" s="81"/>
      <c r="AF7" s="23">
        <f>AD7*1.043*1.027</f>
        <v>30638.830377541697</v>
      </c>
      <c r="AG7" s="23">
        <f>AF7*1.031*1.041</f>
        <v>32883.768118134547</v>
      </c>
      <c r="AH7" s="97">
        <f>AF7/G7*100</f>
        <v>148.30239731236028</v>
      </c>
      <c r="AI7" s="97">
        <f>AG7/G7*100</f>
        <v>159.1686622658342</v>
      </c>
    </row>
    <row r="8" spans="1:35" ht="15.6" x14ac:dyDescent="0.3">
      <c r="A8" s="226"/>
      <c r="B8" s="7" t="s">
        <v>3</v>
      </c>
      <c r="C8" s="4" t="s">
        <v>0</v>
      </c>
      <c r="D8" s="10">
        <v>94.4</v>
      </c>
      <c r="E8" s="10">
        <v>103.4</v>
      </c>
      <c r="F8" s="10">
        <f>116.8/118.1*100</f>
        <v>98.899237933954282</v>
      </c>
      <c r="G8" s="11">
        <f>102.3/101.9*100</f>
        <v>100.39254170755643</v>
      </c>
      <c r="H8" s="13">
        <v>101.1</v>
      </c>
      <c r="I8" s="13"/>
      <c r="J8" s="13"/>
      <c r="K8" s="16"/>
      <c r="L8" s="14">
        <v>101.8</v>
      </c>
      <c r="M8" s="15">
        <v>101.1</v>
      </c>
      <c r="N8" s="13"/>
      <c r="O8" s="16"/>
      <c r="P8" s="16"/>
      <c r="Q8" s="18">
        <f>106.1/103.6*100</f>
        <v>102.4131274131274</v>
      </c>
      <c r="R8" s="18">
        <f>106.1/103.1*100</f>
        <v>102.909796314258</v>
      </c>
      <c r="S8" s="14">
        <v>100.5</v>
      </c>
      <c r="T8" s="24"/>
      <c r="U8" s="25"/>
      <c r="V8" s="23">
        <f>106.2/103.6*100</f>
        <v>102.50965250965251</v>
      </c>
      <c r="W8" s="18">
        <f>106.3/103.4*100</f>
        <v>102.80464216634428</v>
      </c>
      <c r="X8" s="14">
        <v>101</v>
      </c>
      <c r="Y8" s="22"/>
      <c r="Z8" s="23">
        <f>106.8/104.2*100</f>
        <v>102.49520153550864</v>
      </c>
      <c r="AA8" s="18">
        <f>106.5/103.4*100</f>
        <v>102.9980657640232</v>
      </c>
      <c r="AB8" s="23">
        <f>107.1/1.044</f>
        <v>102.58620689655172</v>
      </c>
      <c r="AC8" s="23"/>
      <c r="AD8" s="23">
        <f>107.3/1.045</f>
        <v>102.67942583732058</v>
      </c>
      <c r="AE8" s="81"/>
      <c r="AF8" s="23">
        <f>107.1/1.043</f>
        <v>102.68456375838926</v>
      </c>
      <c r="AG8" s="23">
        <v>103.1</v>
      </c>
    </row>
    <row r="9" spans="1:35" ht="40.799999999999997" customHeight="1" x14ac:dyDescent="0.3">
      <c r="A9" s="221">
        <v>2</v>
      </c>
      <c r="B9" s="7" t="s">
        <v>4</v>
      </c>
      <c r="C9" s="4" t="s">
        <v>31</v>
      </c>
      <c r="D9" s="10">
        <f>6257+108</f>
        <v>6365</v>
      </c>
      <c r="E9" s="10">
        <v>6059.7560000000003</v>
      </c>
      <c r="F9" s="10">
        <v>5932.0739999999996</v>
      </c>
      <c r="G9" s="11">
        <f>F9*1.035*1.013</f>
        <v>6219.5126456699991</v>
      </c>
      <c r="H9" s="13">
        <v>6608.1</v>
      </c>
      <c r="I9" s="13"/>
      <c r="J9" s="13"/>
      <c r="K9" s="16"/>
      <c r="L9" s="14">
        <v>6175.6</v>
      </c>
      <c r="M9" s="15">
        <v>6757.5</v>
      </c>
      <c r="N9" s="13"/>
      <c r="O9" s="16"/>
      <c r="P9" s="16"/>
      <c r="Q9" s="18">
        <f>G9*1.054</f>
        <v>6555.366328536179</v>
      </c>
      <c r="R9" s="18">
        <f>Q9*1.0035</f>
        <v>6578.3101106860559</v>
      </c>
      <c r="S9" s="14">
        <v>6373.4</v>
      </c>
      <c r="T9" s="24"/>
      <c r="U9" s="26"/>
      <c r="V9" s="18">
        <f>Q9*1.06</f>
        <v>6948.68830824835</v>
      </c>
      <c r="W9" s="18">
        <f>V9*1.0051</f>
        <v>6984.1266186204175</v>
      </c>
      <c r="X9" s="14">
        <v>6590.3</v>
      </c>
      <c r="Y9" s="22"/>
      <c r="Z9" s="23">
        <f>V9*1.066</f>
        <v>7407.3017365927417</v>
      </c>
      <c r="AA9" s="18">
        <f>Z9*1.005</f>
        <v>7444.338245275705</v>
      </c>
      <c r="AB9" s="23">
        <f>Z9*1.039*1.032</f>
        <v>7942.464472458093</v>
      </c>
      <c r="AC9" s="76"/>
      <c r="AD9" s="23">
        <f>AB9*1.041*1.035</f>
        <v>8557.4892088828838</v>
      </c>
      <c r="AE9" s="81"/>
      <c r="AF9" s="23">
        <f>AD9*1.042*1.032</f>
        <v>9202.244675836957</v>
      </c>
      <c r="AG9" s="23">
        <f>AF9*1.039*1.032</f>
        <v>9867.0884491768247</v>
      </c>
      <c r="AH9" s="97">
        <f>AF9/G9*100</f>
        <v>147.95764877564039</v>
      </c>
      <c r="AI9" s="97">
        <f>AG9/G9*100</f>
        <v>158.64729298438286</v>
      </c>
    </row>
    <row r="10" spans="1:35" ht="15.6" customHeight="1" x14ac:dyDescent="0.3">
      <c r="A10" s="222"/>
      <c r="B10" s="7" t="s">
        <v>5</v>
      </c>
      <c r="C10" s="4" t="s">
        <v>0</v>
      </c>
      <c r="D10" s="10">
        <v>101</v>
      </c>
      <c r="E10" s="10">
        <v>96</v>
      </c>
      <c r="F10" s="10">
        <v>97.9</v>
      </c>
      <c r="G10" s="11">
        <f>104.8/103.5*100</f>
        <v>101.25603864734299</v>
      </c>
      <c r="H10" s="13">
        <v>102.3</v>
      </c>
      <c r="I10" s="13">
        <v>102</v>
      </c>
      <c r="J10" s="13"/>
      <c r="K10" s="13"/>
      <c r="L10" s="14">
        <v>100.1</v>
      </c>
      <c r="M10" s="15">
        <v>102.2</v>
      </c>
      <c r="N10" s="13">
        <v>102</v>
      </c>
      <c r="O10" s="16"/>
      <c r="P10" s="13"/>
      <c r="Q10" s="18">
        <f>105.4/103.2*100</f>
        <v>102.13178294573643</v>
      </c>
      <c r="R10" s="18">
        <f>105.9/103.2*100</f>
        <v>102.61627906976744</v>
      </c>
      <c r="S10" s="14">
        <v>102</v>
      </c>
      <c r="T10" s="15"/>
      <c r="U10" s="19"/>
      <c r="V10" s="20">
        <f>106/103.4*100</f>
        <v>102.51450676982591</v>
      </c>
      <c r="W10" s="21">
        <f>106.5/103.4*100</f>
        <v>102.9980657640232</v>
      </c>
      <c r="X10" s="14">
        <v>100.1</v>
      </c>
      <c r="Y10" s="22"/>
      <c r="Z10" s="23">
        <f>106.6/103.6*100</f>
        <v>102.89575289575291</v>
      </c>
      <c r="AA10" s="18">
        <f>107.1/103.6*100</f>
        <v>103.37837837837837</v>
      </c>
      <c r="AB10" s="23">
        <f>107.2/1.039</f>
        <v>103.17613089509145</v>
      </c>
      <c r="AC10" s="76"/>
      <c r="AD10" s="23">
        <f>107.7/1.041</f>
        <v>103.45821325648416</v>
      </c>
      <c r="AE10" s="81"/>
      <c r="AF10" s="23">
        <f>107.5/1.042</f>
        <v>103.16698656429942</v>
      </c>
      <c r="AG10" s="76">
        <v>103.2</v>
      </c>
    </row>
    <row r="11" spans="1:35" ht="43.2" customHeight="1" x14ac:dyDescent="0.3">
      <c r="A11" s="221">
        <v>3</v>
      </c>
      <c r="B11" s="9" t="s">
        <v>6</v>
      </c>
      <c r="C11" s="4" t="s">
        <v>32</v>
      </c>
      <c r="D11" s="10">
        <v>6151.8</v>
      </c>
      <c r="E11" s="10">
        <v>6401.2</v>
      </c>
      <c r="F11" s="10">
        <v>6712.18</v>
      </c>
      <c r="G11" s="11">
        <f>F11*1.035*1.011</f>
        <v>7023.5244692999986</v>
      </c>
      <c r="H11" s="13">
        <v>6627.4</v>
      </c>
      <c r="I11" s="13">
        <v>8132</v>
      </c>
      <c r="J11" s="13"/>
      <c r="K11" s="16"/>
      <c r="L11" s="14">
        <v>7202.5</v>
      </c>
      <c r="M11" s="15">
        <v>6779.9</v>
      </c>
      <c r="N11" s="13">
        <v>8945</v>
      </c>
      <c r="O11" s="16"/>
      <c r="P11" s="16"/>
      <c r="Q11" s="23">
        <f>G11*1.035*1.014</f>
        <v>7371.1186952856551</v>
      </c>
      <c r="R11" s="18">
        <f>Q11*1.0044</f>
        <v>7403.551617544912</v>
      </c>
      <c r="S11" s="14">
        <v>7536.6</v>
      </c>
      <c r="T11" s="24"/>
      <c r="U11" s="25"/>
      <c r="V11" s="23">
        <f>Q11*1.05</f>
        <v>7739.6746300499381</v>
      </c>
      <c r="W11" s="18">
        <f>V11*1.004</f>
        <v>7770.6333285701376</v>
      </c>
      <c r="X11" s="14">
        <v>7939.9</v>
      </c>
      <c r="Y11" s="22"/>
      <c r="Z11" s="23">
        <f>V11*1.018*1.035</f>
        <v>8154.7533804595159</v>
      </c>
      <c r="AA11" s="18">
        <f>Z11*1.003</f>
        <v>8179.2176406008939</v>
      </c>
      <c r="AB11" s="24"/>
      <c r="AC11" s="76"/>
      <c r="AD11" s="79"/>
      <c r="AE11" s="81"/>
      <c r="AF11" s="79"/>
      <c r="AG11" s="76"/>
    </row>
    <row r="12" spans="1:35" ht="19.8" customHeight="1" x14ac:dyDescent="0.3">
      <c r="A12" s="222"/>
      <c r="B12" s="7" t="s">
        <v>5</v>
      </c>
      <c r="C12" s="4" t="s">
        <v>0</v>
      </c>
      <c r="D12" s="10">
        <v>97.4</v>
      </c>
      <c r="E12" s="10">
        <v>101</v>
      </c>
      <c r="F12" s="10">
        <v>101.1</v>
      </c>
      <c r="G12" s="11">
        <f>104.6/103.5*100</f>
        <v>101.06280193236714</v>
      </c>
      <c r="H12" s="13">
        <v>102.1</v>
      </c>
      <c r="I12" s="13"/>
      <c r="J12" s="13"/>
      <c r="K12" s="16"/>
      <c r="L12" s="14">
        <v>101.2</v>
      </c>
      <c r="M12" s="15">
        <v>102.3</v>
      </c>
      <c r="N12" s="13"/>
      <c r="O12" s="16"/>
      <c r="P12" s="16"/>
      <c r="Q12" s="23">
        <f>104.9/103.4*100</f>
        <v>101.45067698259187</v>
      </c>
      <c r="R12" s="18">
        <f>105.4/103.4*100</f>
        <v>101.93423597678917</v>
      </c>
      <c r="S12" s="14">
        <v>101.1</v>
      </c>
      <c r="T12" s="24"/>
      <c r="U12" s="25"/>
      <c r="V12" s="23">
        <f>105/103.3*100</f>
        <v>101.64569215876089</v>
      </c>
      <c r="W12" s="18">
        <f>105.4/103.3*100</f>
        <v>102.03291384317524</v>
      </c>
      <c r="X12" s="14">
        <v>101.3</v>
      </c>
      <c r="Y12" s="22"/>
      <c r="Z12" s="23">
        <f>105.3/103.6*100</f>
        <v>101.64092664092665</v>
      </c>
      <c r="AA12" s="18">
        <f>105.7/103.6*100</f>
        <v>102.02702702702705</v>
      </c>
      <c r="AB12" s="24"/>
      <c r="AC12" s="76"/>
      <c r="AD12" s="79"/>
      <c r="AE12" s="81"/>
      <c r="AF12" s="79"/>
      <c r="AG12" s="76"/>
    </row>
    <row r="13" spans="1:35" ht="31.2" customHeight="1" x14ac:dyDescent="0.3">
      <c r="A13" s="221">
        <v>4</v>
      </c>
      <c r="B13" s="7" t="s">
        <v>7</v>
      </c>
      <c r="C13" s="223" t="s">
        <v>24</v>
      </c>
      <c r="D13" s="10">
        <v>4029</v>
      </c>
      <c r="E13" s="10">
        <v>3934.6</v>
      </c>
      <c r="F13" s="10">
        <v>4329.0475999999999</v>
      </c>
      <c r="G13" s="11">
        <f>F13*1.03</f>
        <v>4458.9190280000003</v>
      </c>
      <c r="H13" s="13">
        <v>3396.3</v>
      </c>
      <c r="I13" s="16"/>
      <c r="J13" s="13"/>
      <c r="K13" s="16"/>
      <c r="L13" s="14">
        <v>4909</v>
      </c>
      <c r="M13" s="15">
        <v>3533.4</v>
      </c>
      <c r="N13" s="16"/>
      <c r="O13" s="16"/>
      <c r="P13" s="16"/>
      <c r="Q13" s="18">
        <f>G13*1.04</f>
        <v>4637.2757891200008</v>
      </c>
      <c r="R13" s="18">
        <f>Q13*1.003</f>
        <v>4651.1876164873602</v>
      </c>
      <c r="S13" s="14">
        <v>5150.7</v>
      </c>
      <c r="T13" s="24"/>
      <c r="U13" s="13"/>
      <c r="V13" s="23">
        <f>Q13*1.045</f>
        <v>4845.9531996304004</v>
      </c>
      <c r="W13" s="18">
        <f>V13*1.0035</f>
        <v>4862.914035829107</v>
      </c>
      <c r="X13" s="14">
        <v>5367</v>
      </c>
      <c r="Y13" s="22"/>
      <c r="Z13" s="23">
        <f>V13*1.045</f>
        <v>5064.0210936137682</v>
      </c>
      <c r="AA13" s="18">
        <f>Z13*1.0035</f>
        <v>5081.7451674414169</v>
      </c>
      <c r="AB13" s="24"/>
      <c r="AC13" s="76"/>
      <c r="AD13" s="79"/>
      <c r="AE13" s="81"/>
      <c r="AF13" s="79"/>
      <c r="AG13" s="76"/>
    </row>
    <row r="14" spans="1:35" ht="15.6" x14ac:dyDescent="0.3">
      <c r="A14" s="222"/>
      <c r="B14" s="7" t="s">
        <v>8</v>
      </c>
      <c r="C14" s="224"/>
      <c r="D14" s="10"/>
      <c r="E14" s="10"/>
      <c r="F14" s="10"/>
      <c r="G14" s="11"/>
      <c r="H14" s="16"/>
      <c r="I14" s="16"/>
      <c r="J14" s="13"/>
      <c r="K14" s="16"/>
      <c r="L14" s="12"/>
      <c r="M14" s="24"/>
      <c r="N14" s="16"/>
      <c r="O14" s="16"/>
      <c r="P14" s="16"/>
      <c r="Q14" s="27"/>
      <c r="R14" s="27"/>
      <c r="S14" s="12"/>
      <c r="T14" s="24"/>
      <c r="U14" s="25"/>
      <c r="V14" s="25"/>
      <c r="W14" s="26"/>
      <c r="X14" s="12"/>
      <c r="Y14" s="28"/>
      <c r="Z14" s="16"/>
      <c r="AA14" s="27"/>
      <c r="AB14" s="24"/>
      <c r="AC14" s="76"/>
      <c r="AD14" s="79"/>
      <c r="AE14" s="81"/>
      <c r="AF14" s="79"/>
      <c r="AG14" s="76"/>
    </row>
    <row r="15" spans="1:35" ht="31.2" customHeight="1" x14ac:dyDescent="0.3">
      <c r="A15" s="222"/>
      <c r="B15" s="7" t="s">
        <v>9</v>
      </c>
      <c r="C15" s="225"/>
      <c r="D15" s="10">
        <v>1805.2</v>
      </c>
      <c r="E15" s="10">
        <v>1573.6</v>
      </c>
      <c r="F15" s="10">
        <v>1596.3530000000001</v>
      </c>
      <c r="G15" s="11">
        <f>F15*1.07</f>
        <v>1708.0977100000002</v>
      </c>
      <c r="H15" s="13">
        <v>1860.1</v>
      </c>
      <c r="I15" s="13"/>
      <c r="J15" s="13">
        <v>1655.9</v>
      </c>
      <c r="K15" s="16"/>
      <c r="L15" s="14">
        <v>1680</v>
      </c>
      <c r="M15" s="15">
        <v>1888</v>
      </c>
      <c r="N15" s="13"/>
      <c r="O15" s="13">
        <v>1722.8</v>
      </c>
      <c r="P15" s="16"/>
      <c r="Q15" s="23">
        <f>G15*1.05</f>
        <v>1793.5025955000003</v>
      </c>
      <c r="R15" s="18">
        <f>Q15*1.0035</f>
        <v>1799.7798545842504</v>
      </c>
      <c r="S15" s="14">
        <v>1771.5</v>
      </c>
      <c r="T15" s="24"/>
      <c r="U15" s="13">
        <v>1801.1</v>
      </c>
      <c r="V15" s="23">
        <f>Q15*1.055</f>
        <v>1892.1452382525001</v>
      </c>
      <c r="W15" s="18">
        <f>V15*1.0035</f>
        <v>1898.767746586384</v>
      </c>
      <c r="X15" s="14">
        <v>1845.9</v>
      </c>
      <c r="Y15" s="22"/>
      <c r="Z15" s="23">
        <f>V15*1.053</f>
        <v>1992.4289358798826</v>
      </c>
      <c r="AA15" s="18">
        <f>Z15*1.0035</f>
        <v>1999.4024371554624</v>
      </c>
      <c r="AB15" s="24"/>
      <c r="AC15" s="76"/>
      <c r="AD15" s="79"/>
      <c r="AE15" s="81"/>
      <c r="AF15" s="79"/>
      <c r="AG15" s="76"/>
    </row>
    <row r="16" spans="1:35" ht="17.399999999999999" customHeight="1" x14ac:dyDescent="0.3">
      <c r="A16" s="222"/>
      <c r="B16" s="7" t="s">
        <v>5</v>
      </c>
      <c r="C16" s="3" t="s">
        <v>0</v>
      </c>
      <c r="D16" s="10">
        <f>135/104.7*100</f>
        <v>128.9398280802292</v>
      </c>
      <c r="E16" s="10">
        <v>82.3</v>
      </c>
      <c r="F16" s="10">
        <v>103.1</v>
      </c>
      <c r="G16" s="11">
        <f>106/105.1*100</f>
        <v>100.85632730732637</v>
      </c>
      <c r="H16" s="13">
        <v>101.2</v>
      </c>
      <c r="I16" s="13"/>
      <c r="J16" s="13"/>
      <c r="K16" s="16"/>
      <c r="L16" s="14">
        <v>100</v>
      </c>
      <c r="M16" s="15">
        <v>101.5</v>
      </c>
      <c r="N16" s="13"/>
      <c r="O16" s="16"/>
      <c r="P16" s="16"/>
      <c r="Q16" s="23">
        <f>105/104*100</f>
        <v>100.96153846153845</v>
      </c>
      <c r="R16" s="18">
        <f>105.35/104*100</f>
        <v>101.29807692307691</v>
      </c>
      <c r="S16" s="14">
        <v>101</v>
      </c>
      <c r="T16" s="24"/>
      <c r="U16" s="25"/>
      <c r="V16" s="23">
        <f>105.5/104.1*100</f>
        <v>101.34486071085496</v>
      </c>
      <c r="W16" s="18">
        <f>105.8/104.1*100</f>
        <v>101.63304514889531</v>
      </c>
      <c r="X16" s="14">
        <v>100</v>
      </c>
      <c r="Y16" s="22"/>
      <c r="Z16" s="23">
        <f>105.3/104*100</f>
        <v>101.25</v>
      </c>
      <c r="AA16" s="18">
        <f>105.755/104*100</f>
        <v>101.6875</v>
      </c>
      <c r="AB16" s="24"/>
      <c r="AC16" s="76"/>
      <c r="AD16" s="79"/>
      <c r="AE16" s="81"/>
      <c r="AF16" s="79"/>
      <c r="AG16" s="76"/>
    </row>
    <row r="17" spans="1:33" ht="41.4" customHeight="1" x14ac:dyDescent="0.3">
      <c r="A17" s="2">
        <v>5</v>
      </c>
      <c r="B17" s="7" t="s">
        <v>10</v>
      </c>
      <c r="C17" s="4" t="s">
        <v>24</v>
      </c>
      <c r="D17" s="10">
        <v>514.29999999999995</v>
      </c>
      <c r="E17" s="10">
        <v>512.5</v>
      </c>
      <c r="F17" s="10">
        <v>479.2</v>
      </c>
      <c r="G17" s="11">
        <f>F17*1.03</f>
        <v>493.57600000000002</v>
      </c>
      <c r="H17" s="13">
        <v>517.79999999999995</v>
      </c>
      <c r="I17" s="13"/>
      <c r="J17" s="13"/>
      <c r="K17" s="16"/>
      <c r="L17" s="14">
        <v>408.4</v>
      </c>
      <c r="M17" s="15">
        <v>529.20000000000005</v>
      </c>
      <c r="N17" s="13"/>
      <c r="O17" s="16"/>
      <c r="P17" s="16"/>
      <c r="Q17" s="23">
        <f>G17*1.03</f>
        <v>508.38328000000001</v>
      </c>
      <c r="R17" s="18">
        <f>Q17*1.004</f>
        <v>510.41681312000003</v>
      </c>
      <c r="S17" s="14">
        <v>420.7</v>
      </c>
      <c r="T17" s="24"/>
      <c r="U17" s="25"/>
      <c r="V17" s="23">
        <f>Q17*1.01</f>
        <v>513.4671128</v>
      </c>
      <c r="W17" s="18">
        <f>V17*1.0035</f>
        <v>515.26424769480002</v>
      </c>
      <c r="X17" s="14">
        <f>S17*1.02</f>
        <v>429.11399999999998</v>
      </c>
      <c r="Y17" s="22"/>
      <c r="Z17" s="23">
        <f>V17*1.02</f>
        <v>523.73645505599995</v>
      </c>
      <c r="AA17" s="18">
        <f>Z17*1.0032</f>
        <v>525.41241171217916</v>
      </c>
      <c r="AB17" s="24"/>
      <c r="AC17" s="76"/>
      <c r="AD17" s="79"/>
      <c r="AE17" s="81"/>
      <c r="AF17" s="79"/>
      <c r="AG17" s="76"/>
    </row>
    <row r="18" spans="1:33" ht="30" customHeight="1" x14ac:dyDescent="0.3">
      <c r="A18" s="2">
        <v>6</v>
      </c>
      <c r="B18" s="7" t="s">
        <v>11</v>
      </c>
      <c r="C18" s="4" t="s">
        <v>25</v>
      </c>
      <c r="D18" s="10">
        <f>D19*D21*12/1000</f>
        <v>4515.1294607999998</v>
      </c>
      <c r="E18" s="10">
        <f>E19*E21*12/1000</f>
        <v>4672.4965896000003</v>
      </c>
      <c r="F18" s="10">
        <f>F19*F21*12/1000</f>
        <v>5194.3186560000004</v>
      </c>
      <c r="G18" s="11">
        <f>G19*G21*12/1000</f>
        <v>5387.5757039999999</v>
      </c>
      <c r="H18" s="19">
        <v>4995.8999999999996</v>
      </c>
      <c r="I18" s="13"/>
      <c r="J18" s="13"/>
      <c r="K18" s="16"/>
      <c r="L18" s="14">
        <f>L21*L19*12/1000</f>
        <v>4985.0380800000003</v>
      </c>
      <c r="M18" s="15">
        <v>5232</v>
      </c>
      <c r="N18" s="13"/>
      <c r="O18" s="16"/>
      <c r="P18" s="16"/>
      <c r="Q18" s="23">
        <f>Q19*Q21*12/1000</f>
        <v>5817.6095662080015</v>
      </c>
      <c r="R18" s="23">
        <f>R19*R21*12/1000</f>
        <v>5873.0077533022159</v>
      </c>
      <c r="S18" s="14">
        <f>S19*S21*12/1000</f>
        <v>5105.88</v>
      </c>
      <c r="T18" s="24"/>
      <c r="U18" s="25"/>
      <c r="V18" s="23">
        <f>V19*V21*12/1000</f>
        <v>6153.4054124927998</v>
      </c>
      <c r="W18" s="23">
        <f>W19*W21*12/1000</f>
        <v>6220.0149031988367</v>
      </c>
      <c r="X18" s="14">
        <f>X21*X19*12/1000</f>
        <v>5086.8673200000003</v>
      </c>
      <c r="Y18" s="22"/>
      <c r="Z18" s="23">
        <f>Z19*Z21*12/1000</f>
        <v>6477.2452155882229</v>
      </c>
      <c r="AA18" s="18">
        <f>AA19*AA21*12/1000</f>
        <v>6543.7543204468348</v>
      </c>
      <c r="AB18" s="24"/>
      <c r="AC18" s="76"/>
      <c r="AD18" s="79"/>
      <c r="AE18" s="81"/>
      <c r="AF18" s="79"/>
      <c r="AG18" s="76"/>
    </row>
    <row r="19" spans="1:33" ht="62.4" customHeight="1" x14ac:dyDescent="0.3">
      <c r="A19" s="2">
        <v>7</v>
      </c>
      <c r="B19" s="8" t="s">
        <v>12</v>
      </c>
      <c r="C19" s="4" t="s">
        <v>26</v>
      </c>
      <c r="D19" s="10">
        <v>26387.599999999999</v>
      </c>
      <c r="E19" s="10">
        <v>29096.9</v>
      </c>
      <c r="F19" s="10">
        <v>32458</v>
      </c>
      <c r="G19" s="11">
        <v>33756.74</v>
      </c>
      <c r="H19" s="13">
        <v>29113.5</v>
      </c>
      <c r="I19" s="13"/>
      <c r="J19" s="13">
        <v>33756.699999999997</v>
      </c>
      <c r="K19" s="16"/>
      <c r="L19" s="14">
        <v>31471.200000000001</v>
      </c>
      <c r="M19" s="15">
        <v>30278</v>
      </c>
      <c r="N19" s="13"/>
      <c r="O19" s="13">
        <v>35107</v>
      </c>
      <c r="P19" s="13"/>
      <c r="Q19" s="18">
        <f>G19*1.056</f>
        <v>35647.117440000002</v>
      </c>
      <c r="R19" s="18">
        <f>Q19*1.0045</f>
        <v>35807.529468480003</v>
      </c>
      <c r="S19" s="14">
        <v>32730</v>
      </c>
      <c r="T19" s="24"/>
      <c r="U19" s="17">
        <v>36511.300000000003</v>
      </c>
      <c r="V19" s="18">
        <f>Q19*1.05</f>
        <v>37429.473312000002</v>
      </c>
      <c r="W19" s="18">
        <f>V19*1.0035</f>
        <v>37560.476468592002</v>
      </c>
      <c r="X19" s="14">
        <v>32860.9</v>
      </c>
      <c r="Y19" s="22"/>
      <c r="Z19" s="23">
        <f>V19*1.045</f>
        <v>39113.799611039998</v>
      </c>
      <c r="AA19" s="18">
        <f>Z19*1.003</f>
        <v>39231.141009873114</v>
      </c>
      <c r="AB19" s="74"/>
      <c r="AC19" s="76"/>
      <c r="AD19" s="79"/>
      <c r="AE19" s="81"/>
      <c r="AF19" s="79"/>
      <c r="AG19" s="76"/>
    </row>
    <row r="20" spans="1:33" ht="19.8" customHeight="1" x14ac:dyDescent="0.3">
      <c r="A20" s="1">
        <v>8</v>
      </c>
      <c r="B20" s="8" t="s">
        <v>13</v>
      </c>
      <c r="C20" s="4" t="s">
        <v>27</v>
      </c>
      <c r="D20" s="10">
        <v>73.3</v>
      </c>
      <c r="E20" s="10">
        <f>(74680+75902)/2/1000</f>
        <v>75.290999999999997</v>
      </c>
      <c r="F20" s="10">
        <v>76.709999999999994</v>
      </c>
      <c r="G20" s="11">
        <v>78.13</v>
      </c>
      <c r="H20" s="13">
        <v>76.099999999999994</v>
      </c>
      <c r="I20" s="13"/>
      <c r="J20" s="13">
        <v>78.724999999999994</v>
      </c>
      <c r="K20" s="29">
        <v>80.099999999999994</v>
      </c>
      <c r="L20" s="14">
        <f>(76500+77450)/2/1000</f>
        <v>76.974999999999994</v>
      </c>
      <c r="M20" s="15">
        <v>76.400000000000006</v>
      </c>
      <c r="N20" s="13"/>
      <c r="O20" s="13">
        <v>79.924999999999997</v>
      </c>
      <c r="P20" s="30">
        <v>82.6</v>
      </c>
      <c r="Q20" s="18">
        <v>79.33</v>
      </c>
      <c r="R20" s="18">
        <v>79.349999999999994</v>
      </c>
      <c r="S20" s="14">
        <f>(77450+250+950+77450)/2/1000</f>
        <v>78.05</v>
      </c>
      <c r="T20" s="31">
        <v>84.5</v>
      </c>
      <c r="U20" s="19">
        <v>81.125</v>
      </c>
      <c r="V20" s="20">
        <v>80.099999999999994</v>
      </c>
      <c r="W20" s="21">
        <v>80.55</v>
      </c>
      <c r="X20" s="32">
        <v>84.5</v>
      </c>
      <c r="Y20" s="30">
        <v>85.8</v>
      </c>
      <c r="Z20" s="23">
        <v>81.3</v>
      </c>
      <c r="AA20" s="18">
        <v>81.400000000000006</v>
      </c>
      <c r="AB20" s="24"/>
      <c r="AC20" s="76"/>
      <c r="AD20" s="79"/>
      <c r="AE20" s="81"/>
      <c r="AF20" s="79"/>
      <c r="AG20" s="76"/>
    </row>
    <row r="21" spans="1:33" ht="45" customHeight="1" x14ac:dyDescent="0.3">
      <c r="A21" s="1">
        <v>9</v>
      </c>
      <c r="B21" s="7" t="s">
        <v>14</v>
      </c>
      <c r="C21" s="4" t="s">
        <v>28</v>
      </c>
      <c r="D21" s="10">
        <v>14.259</v>
      </c>
      <c r="E21" s="10">
        <v>13.382</v>
      </c>
      <c r="F21" s="33">
        <v>13.336</v>
      </c>
      <c r="G21" s="34">
        <v>13.3</v>
      </c>
      <c r="H21" s="13">
        <v>14.3</v>
      </c>
      <c r="I21" s="13"/>
      <c r="J21" s="13">
        <v>12.879</v>
      </c>
      <c r="K21" s="16"/>
      <c r="L21" s="14">
        <v>13.2</v>
      </c>
      <c r="M21" s="15">
        <v>14.4</v>
      </c>
      <c r="N21" s="13"/>
      <c r="O21" s="13">
        <v>12.75</v>
      </c>
      <c r="P21" s="16"/>
      <c r="Q21" s="23">
        <f>G21+0.3</f>
        <v>13.600000000000001</v>
      </c>
      <c r="R21" s="18">
        <f>Q21*1.005</f>
        <v>13.667999999999999</v>
      </c>
      <c r="S21" s="14">
        <v>13</v>
      </c>
      <c r="T21" s="24"/>
      <c r="U21" s="13">
        <v>12.622999999999999</v>
      </c>
      <c r="V21" s="23">
        <v>13.7</v>
      </c>
      <c r="W21" s="18">
        <v>13.8</v>
      </c>
      <c r="X21" s="14">
        <v>12.9</v>
      </c>
      <c r="Y21" s="22"/>
      <c r="Z21" s="23">
        <v>13.8</v>
      </c>
      <c r="AA21" s="18">
        <v>13.9</v>
      </c>
      <c r="AB21" s="75"/>
      <c r="AC21" s="76"/>
      <c r="AD21" s="79"/>
      <c r="AE21" s="81"/>
      <c r="AF21" s="79"/>
      <c r="AG21" s="76"/>
    </row>
    <row r="22" spans="1:33" ht="32.4" customHeight="1" x14ac:dyDescent="0.3">
      <c r="A22" s="1">
        <v>10</v>
      </c>
      <c r="B22" s="7" t="s">
        <v>15</v>
      </c>
      <c r="C22" s="4" t="s">
        <v>1</v>
      </c>
      <c r="D22" s="64">
        <v>267</v>
      </c>
      <c r="E22" s="35">
        <v>232</v>
      </c>
      <c r="F22" s="35">
        <v>182</v>
      </c>
      <c r="G22" s="36">
        <v>210</v>
      </c>
      <c r="H22" s="37">
        <v>260</v>
      </c>
      <c r="I22" s="37"/>
      <c r="J22" s="13"/>
      <c r="K22" s="16"/>
      <c r="L22" s="38">
        <v>198</v>
      </c>
      <c r="M22" s="39">
        <v>260</v>
      </c>
      <c r="N22" s="37"/>
      <c r="O22" s="16"/>
      <c r="P22" s="16"/>
      <c r="Q22" s="40">
        <v>200</v>
      </c>
      <c r="R22" s="41">
        <f>Q22/1.005</f>
        <v>199.00497512437812</v>
      </c>
      <c r="S22" s="38">
        <v>196</v>
      </c>
      <c r="T22" s="24"/>
      <c r="U22" s="25"/>
      <c r="V22" s="40">
        <v>195</v>
      </c>
      <c r="W22" s="41">
        <f>V22/1.005</f>
        <v>194.02985074626866</v>
      </c>
      <c r="X22" s="38">
        <v>194</v>
      </c>
      <c r="Y22" s="42"/>
      <c r="Z22" s="40">
        <v>190</v>
      </c>
      <c r="AA22" s="41">
        <f>Z22/1.005</f>
        <v>189.05472636815924</v>
      </c>
      <c r="AB22" s="24"/>
      <c r="AC22" s="76"/>
      <c r="AD22" s="79"/>
      <c r="AE22" s="81"/>
      <c r="AF22" s="79"/>
      <c r="AG22" s="76"/>
    </row>
    <row r="23" spans="1:33" ht="31.2" x14ac:dyDescent="0.3">
      <c r="A23" s="1">
        <v>11</v>
      </c>
      <c r="B23" s="7" t="s">
        <v>16</v>
      </c>
      <c r="C23" s="4" t="s">
        <v>0</v>
      </c>
      <c r="D23" s="43">
        <v>0.7</v>
      </c>
      <c r="E23" s="43">
        <v>0.57999999999999996</v>
      </c>
      <c r="F23" s="43">
        <v>0.44</v>
      </c>
      <c r="G23" s="44">
        <v>0.52</v>
      </c>
      <c r="H23" s="45">
        <v>0.65</v>
      </c>
      <c r="I23" s="45"/>
      <c r="J23" s="13"/>
      <c r="K23" s="16"/>
      <c r="L23" s="46">
        <v>0.49</v>
      </c>
      <c r="M23" s="47">
        <v>0.65</v>
      </c>
      <c r="N23" s="45"/>
      <c r="O23" s="16"/>
      <c r="P23" s="16"/>
      <c r="Q23" s="48">
        <v>0.5</v>
      </c>
      <c r="R23" s="49">
        <v>0.49</v>
      </c>
      <c r="S23" s="46">
        <v>0.48</v>
      </c>
      <c r="T23" s="24"/>
      <c r="U23" s="25"/>
      <c r="V23" s="48">
        <v>0.49</v>
      </c>
      <c r="W23" s="49">
        <v>0.48</v>
      </c>
      <c r="X23" s="46">
        <v>0.47</v>
      </c>
      <c r="Y23" s="50"/>
      <c r="Z23" s="48">
        <v>0.48</v>
      </c>
      <c r="AA23" s="49">
        <v>0.47</v>
      </c>
      <c r="AB23" s="24"/>
      <c r="AC23" s="76"/>
      <c r="AD23" s="79"/>
      <c r="AE23" s="81"/>
      <c r="AF23" s="79"/>
      <c r="AG23" s="76"/>
    </row>
    <row r="24" spans="1:33" ht="33" customHeight="1" x14ac:dyDescent="0.3">
      <c r="A24" s="1">
        <v>12</v>
      </c>
      <c r="B24" s="7" t="s">
        <v>17</v>
      </c>
      <c r="C24" s="4" t="s">
        <v>29</v>
      </c>
      <c r="D24" s="35">
        <v>1087</v>
      </c>
      <c r="E24" s="35">
        <v>1120</v>
      </c>
      <c r="F24" s="35">
        <f>1127+69</f>
        <v>1196</v>
      </c>
      <c r="G24" s="51">
        <v>1200</v>
      </c>
      <c r="H24" s="37">
        <v>1410</v>
      </c>
      <c r="I24" s="37"/>
      <c r="J24" s="37">
        <v>1268</v>
      </c>
      <c r="K24" s="16"/>
      <c r="L24" s="38">
        <v>1410</v>
      </c>
      <c r="M24" s="39">
        <v>1433</v>
      </c>
      <c r="N24" s="37"/>
      <c r="O24" s="37">
        <v>1306</v>
      </c>
      <c r="P24" s="27"/>
      <c r="Q24" s="40">
        <f>G24*1.1</f>
        <v>1320</v>
      </c>
      <c r="R24" s="41">
        <f>Q24*1.003</f>
        <v>1323.9599999999998</v>
      </c>
      <c r="S24" s="38">
        <v>1433</v>
      </c>
      <c r="T24" s="24"/>
      <c r="U24" s="37">
        <v>1358</v>
      </c>
      <c r="V24" s="40">
        <f>Q24*1.1</f>
        <v>1452.0000000000002</v>
      </c>
      <c r="W24" s="41">
        <f>V24*1.0032</f>
        <v>1456.6464000000003</v>
      </c>
      <c r="X24" s="38">
        <v>1440</v>
      </c>
      <c r="Y24" s="42"/>
      <c r="Z24" s="40">
        <f>V24*1.005</f>
        <v>1459.26</v>
      </c>
      <c r="AA24" s="41">
        <f>Z24*1.0031</f>
        <v>1463.7837060000002</v>
      </c>
      <c r="AB24" s="75"/>
      <c r="AC24" s="76"/>
      <c r="AD24" s="79"/>
      <c r="AE24" s="81"/>
      <c r="AF24" s="79"/>
      <c r="AG24" s="76"/>
    </row>
    <row r="25" spans="1:33" ht="30.6" customHeight="1" x14ac:dyDescent="0.3">
      <c r="A25" s="1"/>
      <c r="B25" s="5" t="s">
        <v>54</v>
      </c>
      <c r="C25" s="4" t="s">
        <v>29</v>
      </c>
      <c r="D25" s="35">
        <v>1591</v>
      </c>
      <c r="E25" s="35">
        <v>1933</v>
      </c>
      <c r="F25" s="35">
        <v>2015</v>
      </c>
      <c r="G25" s="51">
        <v>2333</v>
      </c>
      <c r="H25" s="37"/>
      <c r="I25" s="37"/>
      <c r="J25" s="37">
        <v>2076</v>
      </c>
      <c r="K25" s="16"/>
      <c r="L25" s="38"/>
      <c r="M25" s="39"/>
      <c r="N25" s="37"/>
      <c r="O25" s="37">
        <v>2158</v>
      </c>
      <c r="P25" s="27"/>
      <c r="Q25" s="40">
        <f>G25*1.1</f>
        <v>2566.3000000000002</v>
      </c>
      <c r="R25" s="41">
        <f>Q25*1.0025</f>
        <v>2572.7157499999998</v>
      </c>
      <c r="S25" s="38"/>
      <c r="T25" s="24"/>
      <c r="U25" s="37">
        <v>2223</v>
      </c>
      <c r="V25" s="40">
        <f>Q25*1.1</f>
        <v>2822.9300000000003</v>
      </c>
      <c r="W25" s="41">
        <f>V25*1.0032</f>
        <v>2831.9633760000006</v>
      </c>
      <c r="X25" s="38"/>
      <c r="Y25" s="42"/>
      <c r="Z25" s="40">
        <f>V25*1.05</f>
        <v>2964.0765000000006</v>
      </c>
      <c r="AA25" s="41">
        <f>Z25*1.0025</f>
        <v>2971.4866912500006</v>
      </c>
      <c r="AB25" s="75"/>
      <c r="AC25" s="76"/>
      <c r="AD25" s="79"/>
      <c r="AE25" s="81"/>
      <c r="AF25" s="79"/>
      <c r="AG25" s="76"/>
    </row>
    <row r="26" spans="1:33" ht="19.95" customHeight="1" x14ac:dyDescent="0.3">
      <c r="A26" s="1">
        <v>13</v>
      </c>
      <c r="B26" s="7" t="s">
        <v>18</v>
      </c>
      <c r="C26" s="4" t="s">
        <v>29</v>
      </c>
      <c r="D26" s="35">
        <v>4</v>
      </c>
      <c r="E26" s="35">
        <v>7</v>
      </c>
      <c r="F26" s="51">
        <v>5</v>
      </c>
      <c r="G26" s="51">
        <v>5</v>
      </c>
      <c r="H26" s="37">
        <v>6</v>
      </c>
      <c r="I26" s="37"/>
      <c r="J26" s="37">
        <v>5</v>
      </c>
      <c r="K26" s="16"/>
      <c r="L26" s="38">
        <v>5</v>
      </c>
      <c r="M26" s="39">
        <v>6</v>
      </c>
      <c r="N26" s="37"/>
      <c r="O26" s="37">
        <v>5</v>
      </c>
      <c r="P26" s="27"/>
      <c r="Q26" s="40">
        <v>5</v>
      </c>
      <c r="R26" s="41">
        <v>5</v>
      </c>
      <c r="S26" s="52">
        <v>5</v>
      </c>
      <c r="T26" s="24"/>
      <c r="U26" s="37">
        <v>5</v>
      </c>
      <c r="V26" s="40">
        <v>5</v>
      </c>
      <c r="W26" s="41">
        <v>6</v>
      </c>
      <c r="X26" s="38">
        <v>5</v>
      </c>
      <c r="Y26" s="42"/>
      <c r="Z26" s="40">
        <v>5</v>
      </c>
      <c r="AA26" s="41">
        <v>6</v>
      </c>
      <c r="AB26" s="75"/>
      <c r="AC26" s="76"/>
      <c r="AD26" s="79"/>
      <c r="AE26" s="81"/>
      <c r="AF26" s="79"/>
      <c r="AG26" s="76"/>
    </row>
    <row r="27" spans="1:33" ht="64.2" customHeight="1" x14ac:dyDescent="0.3">
      <c r="A27" s="1">
        <v>14</v>
      </c>
      <c r="B27" s="7" t="s">
        <v>19</v>
      </c>
      <c r="C27" s="4" t="s">
        <v>1</v>
      </c>
      <c r="D27" s="35">
        <v>8076</v>
      </c>
      <c r="E27" s="35">
        <v>7290</v>
      </c>
      <c r="F27" s="35">
        <f>7387+146</f>
        <v>7533</v>
      </c>
      <c r="G27" s="36">
        <f>7910-116</f>
        <v>7794</v>
      </c>
      <c r="H27" s="37">
        <v>8530</v>
      </c>
      <c r="I27" s="37"/>
      <c r="J27" s="37">
        <v>7535</v>
      </c>
      <c r="K27" s="16"/>
      <c r="L27" s="38">
        <v>8530</v>
      </c>
      <c r="M27" s="39">
        <v>8669</v>
      </c>
      <c r="N27" s="37"/>
      <c r="O27" s="37">
        <v>7685</v>
      </c>
      <c r="P27" s="16"/>
      <c r="Q27" s="40">
        <v>8135</v>
      </c>
      <c r="R27" s="41">
        <v>8305</v>
      </c>
      <c r="S27" s="38">
        <v>8669</v>
      </c>
      <c r="T27" s="24"/>
      <c r="U27" s="37">
        <v>7839</v>
      </c>
      <c r="V27" s="40">
        <f>Q27*1.04001-63</f>
        <v>8397.48135</v>
      </c>
      <c r="W27" s="41">
        <v>8720</v>
      </c>
      <c r="X27" s="38">
        <f>S27*1.02</f>
        <v>8842.380000000001</v>
      </c>
      <c r="Y27" s="42"/>
      <c r="Z27" s="40">
        <f>V27*1.004</f>
        <v>8431.0712753999996</v>
      </c>
      <c r="AA27" s="41">
        <v>9156</v>
      </c>
      <c r="AB27" s="75"/>
      <c r="AC27" s="76"/>
      <c r="AD27" s="79"/>
      <c r="AE27" s="81"/>
      <c r="AF27" s="79"/>
      <c r="AG27" s="76"/>
    </row>
    <row r="28" spans="1:33" ht="48" customHeight="1" x14ac:dyDescent="0.3">
      <c r="A28" s="1">
        <v>15</v>
      </c>
      <c r="B28" s="7" t="s">
        <v>20</v>
      </c>
      <c r="C28" s="4" t="s">
        <v>1</v>
      </c>
      <c r="D28" s="35">
        <v>776</v>
      </c>
      <c r="E28" s="35">
        <v>998</v>
      </c>
      <c r="F28" s="35">
        <v>779</v>
      </c>
      <c r="G28" s="36">
        <v>795</v>
      </c>
      <c r="H28" s="37">
        <v>880</v>
      </c>
      <c r="I28" s="37"/>
      <c r="J28" s="37">
        <v>795</v>
      </c>
      <c r="K28" s="16"/>
      <c r="L28" s="38">
        <v>1017</v>
      </c>
      <c r="M28" s="39">
        <v>892</v>
      </c>
      <c r="N28" s="37"/>
      <c r="O28" s="37">
        <v>810</v>
      </c>
      <c r="P28" s="16"/>
      <c r="Q28" s="40">
        <v>810</v>
      </c>
      <c r="R28" s="41">
        <v>815</v>
      </c>
      <c r="S28" s="38">
        <v>1054</v>
      </c>
      <c r="T28" s="24"/>
      <c r="U28" s="37">
        <v>826</v>
      </c>
      <c r="V28" s="40">
        <v>826</v>
      </c>
      <c r="W28" s="41">
        <f>V28+107</f>
        <v>933</v>
      </c>
      <c r="X28" s="38">
        <f>S28*1.03</f>
        <v>1085.6200000000001</v>
      </c>
      <c r="Y28" s="42"/>
      <c r="Z28" s="40">
        <v>840</v>
      </c>
      <c r="AA28" s="41">
        <v>937</v>
      </c>
      <c r="AB28" s="78"/>
      <c r="AC28" s="76"/>
      <c r="AD28" s="79"/>
      <c r="AE28" s="81"/>
      <c r="AF28" s="79"/>
      <c r="AG28" s="76"/>
    </row>
    <row r="29" spans="1:33" ht="31.2" x14ac:dyDescent="0.3">
      <c r="A29" s="1">
        <v>16</v>
      </c>
      <c r="B29" s="7" t="s">
        <v>21</v>
      </c>
      <c r="C29" s="4" t="s">
        <v>30</v>
      </c>
      <c r="D29" s="10">
        <v>8939.7999999999993</v>
      </c>
      <c r="E29" s="10">
        <v>11940.2</v>
      </c>
      <c r="F29" s="10">
        <f>E29*1.09</f>
        <v>13014.818000000001</v>
      </c>
      <c r="G29" s="11">
        <v>13016</v>
      </c>
      <c r="H29" s="13">
        <v>9209.9</v>
      </c>
      <c r="I29" s="13"/>
      <c r="J29" s="13"/>
      <c r="K29" s="16"/>
      <c r="L29" s="14">
        <v>12817.1</v>
      </c>
      <c r="M29" s="15">
        <v>9412.5</v>
      </c>
      <c r="N29" s="13"/>
      <c r="O29" s="16"/>
      <c r="P29" s="16"/>
      <c r="Q29" s="23">
        <v>13471</v>
      </c>
      <c r="R29" s="18">
        <f>Q29*1.003</f>
        <v>13511.412999999999</v>
      </c>
      <c r="S29" s="14">
        <v>13451.4</v>
      </c>
      <c r="T29" s="24"/>
      <c r="U29" s="25"/>
      <c r="V29" s="23">
        <v>14051</v>
      </c>
      <c r="W29" s="18">
        <f>V29*1.0035</f>
        <v>14100.1785</v>
      </c>
      <c r="X29" s="14">
        <v>14129.4</v>
      </c>
      <c r="Y29" s="22"/>
      <c r="Z29" s="23">
        <v>14753.5</v>
      </c>
      <c r="AA29" s="18">
        <f>Z29*1.0022</f>
        <v>14785.957699999999</v>
      </c>
      <c r="AB29" s="24"/>
      <c r="AC29" s="76"/>
      <c r="AD29" s="79"/>
      <c r="AE29" s="81"/>
      <c r="AF29" s="79"/>
      <c r="AG29" s="76"/>
    </row>
    <row r="30" spans="1:33" ht="21.6" customHeight="1" thickBot="1" x14ac:dyDescent="0.35">
      <c r="A30" s="1">
        <v>17</v>
      </c>
      <c r="B30" s="7" t="s">
        <v>22</v>
      </c>
      <c r="C30" s="4" t="s">
        <v>30</v>
      </c>
      <c r="D30" s="53">
        <v>1768.8</v>
      </c>
      <c r="E30" s="53">
        <v>1712.5</v>
      </c>
      <c r="F30" s="53">
        <f>E30*1.17</f>
        <v>2003.6249999999998</v>
      </c>
      <c r="G30" s="54">
        <v>2004</v>
      </c>
      <c r="H30" s="55">
        <v>482.5</v>
      </c>
      <c r="I30" s="55"/>
      <c r="J30" s="55"/>
      <c r="K30" s="56"/>
      <c r="L30" s="57">
        <v>1838.3</v>
      </c>
      <c r="M30" s="58">
        <v>493.1</v>
      </c>
      <c r="N30" s="55"/>
      <c r="O30" s="56"/>
      <c r="P30" s="56"/>
      <c r="Q30" s="59">
        <f>G30*1.03</f>
        <v>2064.12</v>
      </c>
      <c r="R30" s="60">
        <f>Q30*1.0022</f>
        <v>2068.6610639999999</v>
      </c>
      <c r="S30" s="57">
        <v>1929.2</v>
      </c>
      <c r="T30" s="61"/>
      <c r="U30" s="62"/>
      <c r="V30" s="59">
        <f>Q30*1.025</f>
        <v>2115.7229999999995</v>
      </c>
      <c r="W30" s="60">
        <f>V30*1.002</f>
        <v>2119.9544459999993</v>
      </c>
      <c r="X30" s="57">
        <v>2026.5</v>
      </c>
      <c r="Y30" s="63"/>
      <c r="Z30" s="59">
        <f>V30*1.02</f>
        <v>2158.0374599999996</v>
      </c>
      <c r="AA30" s="60">
        <f>Z30*1.002</f>
        <v>2162.3535349199997</v>
      </c>
      <c r="AB30" s="61"/>
      <c r="AC30" s="77"/>
      <c r="AD30" s="80"/>
      <c r="AE30" s="82"/>
      <c r="AF30" s="80"/>
      <c r="AG30" s="77"/>
    </row>
    <row r="31" spans="1:33" ht="15.6" x14ac:dyDescent="0.3">
      <c r="A31" s="83">
        <v>18</v>
      </c>
      <c r="B31" s="7" t="s">
        <v>70</v>
      </c>
      <c r="C31" s="4" t="s">
        <v>30</v>
      </c>
      <c r="D31" s="85">
        <v>190.4</v>
      </c>
      <c r="E31" s="84">
        <v>245.1</v>
      </c>
      <c r="F31" s="85">
        <v>476.2</v>
      </c>
      <c r="G31" s="85">
        <v>416.3</v>
      </c>
      <c r="H31" s="7"/>
      <c r="I31" s="7"/>
      <c r="J31" s="7"/>
      <c r="K31" s="7"/>
      <c r="L31" s="7"/>
      <c r="M31" s="7"/>
      <c r="N31" s="7"/>
      <c r="O31" s="7"/>
      <c r="P31" s="7"/>
      <c r="Q31" s="85">
        <f>G31+127</f>
        <v>543.29999999999995</v>
      </c>
      <c r="R31" s="7"/>
      <c r="S31" s="7"/>
      <c r="T31" s="7"/>
      <c r="U31" s="7"/>
      <c r="V31" s="86">
        <f>Q31*1.042*1.01</f>
        <v>571.77978600000006</v>
      </c>
      <c r="W31" s="7"/>
      <c r="X31" s="7"/>
      <c r="Y31" s="7"/>
      <c r="Z31" s="86">
        <f>V31+183.5</f>
        <v>755.27978600000006</v>
      </c>
      <c r="AA31" s="7"/>
      <c r="AB31" s="86">
        <f>Z31+201</f>
        <v>956.27978600000006</v>
      </c>
      <c r="AC31" s="7"/>
      <c r="AD31" s="86">
        <f>AB31+150</f>
        <v>1106.2797860000001</v>
      </c>
      <c r="AE31" s="7"/>
      <c r="AF31" s="86">
        <f>AD31*1.043</f>
        <v>1153.8498167979999</v>
      </c>
      <c r="AG31" s="7"/>
    </row>
    <row r="32" spans="1:33" x14ac:dyDescent="0.3">
      <c r="E32">
        <v>128.69999999999999</v>
      </c>
      <c r="F32">
        <v>194.2</v>
      </c>
      <c r="Q32" s="88">
        <v>130.5</v>
      </c>
      <c r="V32" s="87">
        <f>V31/Q31*100</f>
        <v>105.24200000000002</v>
      </c>
      <c r="Z32" s="87">
        <f>Z31/V31*100</f>
        <v>132.0927749621425</v>
      </c>
      <c r="AB32" s="87">
        <f>AB31/Z31*100</f>
        <v>126.61265450575689</v>
      </c>
      <c r="AD32" s="87">
        <f>AD31/AB31*100</f>
        <v>115.68578591705167</v>
      </c>
      <c r="AF32" s="87">
        <f>AF31/AD31*100</f>
        <v>104.3</v>
      </c>
    </row>
    <row r="33" spans="17:32" x14ac:dyDescent="0.3">
      <c r="Q33" s="88">
        <f>130.5/1.044</f>
        <v>125</v>
      </c>
      <c r="V33" s="87">
        <f>105.2/1.042</f>
        <v>100.95969289827255</v>
      </c>
      <c r="Z33" s="87">
        <f>132.1/1.043</f>
        <v>126.65388302972195</v>
      </c>
      <c r="AB33" s="87">
        <f>126.6/1.044</f>
        <v>121.26436781609195</v>
      </c>
      <c r="AD33" s="87">
        <f>115.7/1.044</f>
        <v>110.82375478927203</v>
      </c>
      <c r="AF33" s="88">
        <f>104.3/1.043</f>
        <v>100</v>
      </c>
    </row>
  </sheetData>
  <mergeCells count="46">
    <mergeCell ref="AB4:AC4"/>
    <mergeCell ref="AD4:AE4"/>
    <mergeCell ref="AF4:AG4"/>
    <mergeCell ref="AB5:AB6"/>
    <mergeCell ref="AC5:AC6"/>
    <mergeCell ref="AD5:AD6"/>
    <mergeCell ref="AE5:AE6"/>
    <mergeCell ref="AF5:AF6"/>
    <mergeCell ref="AG5:AG6"/>
    <mergeCell ref="G5:G6"/>
    <mergeCell ref="G4:L4"/>
    <mergeCell ref="AA5:AA6"/>
    <mergeCell ref="A4:A6"/>
    <mergeCell ref="M4:S4"/>
    <mergeCell ref="S5:S6"/>
    <mergeCell ref="B4:B6"/>
    <mergeCell ref="M5:M6"/>
    <mergeCell ref="N5:N6"/>
    <mergeCell ref="O5:O6"/>
    <mergeCell ref="P5:P6"/>
    <mergeCell ref="C4:C6"/>
    <mergeCell ref="L5:L6"/>
    <mergeCell ref="X5:X6"/>
    <mergeCell ref="R5:R6"/>
    <mergeCell ref="E4:E6"/>
    <mergeCell ref="A13:A16"/>
    <mergeCell ref="C13:C15"/>
    <mergeCell ref="A7:A8"/>
    <mergeCell ref="A9:A10"/>
    <mergeCell ref="A11:A12"/>
    <mergeCell ref="F4:F6"/>
    <mergeCell ref="D4:D6"/>
    <mergeCell ref="Y4:AA4"/>
    <mergeCell ref="Y5:Y6"/>
    <mergeCell ref="A2:AA2"/>
    <mergeCell ref="Z5:Z6"/>
    <mergeCell ref="Q5:Q6"/>
    <mergeCell ref="V5:V6"/>
    <mergeCell ref="U5:U6"/>
    <mergeCell ref="T5:T6"/>
    <mergeCell ref="W5:W6"/>
    <mergeCell ref="T4:X4"/>
    <mergeCell ref="K5:K6"/>
    <mergeCell ref="H5:H6"/>
    <mergeCell ref="I5:I6"/>
    <mergeCell ref="J5:J6"/>
  </mergeCells>
  <pageMargins left="0.19685039370078741" right="0.19685039370078741" top="0.15748031496062992" bottom="0.19685039370078741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26"/>
  <sheetViews>
    <sheetView zoomScale="70" zoomScaleNormal="70" workbookViewId="0">
      <pane xSplit="2" ySplit="10" topLeftCell="C14" activePane="bottomRight" state="frozen"/>
      <selection pane="topRight" activeCell="C1" sqref="C1"/>
      <selection pane="bottomLeft" activeCell="A5" sqref="A5"/>
      <selection pane="bottomRight" activeCell="B14" sqref="B14"/>
    </sheetView>
  </sheetViews>
  <sheetFormatPr defaultRowHeight="14.4" x14ac:dyDescent="0.3"/>
  <cols>
    <col min="1" max="1" width="4.6640625" customWidth="1"/>
    <col min="2" max="2" width="44" customWidth="1"/>
    <col min="3" max="3" width="8.5546875" customWidth="1"/>
    <col min="4" max="4" width="9.6640625" customWidth="1"/>
    <col min="5" max="5" width="9.21875" customWidth="1"/>
    <col min="6" max="6" width="9.44140625" customWidth="1"/>
    <col min="7" max="7" width="10.5546875" customWidth="1"/>
    <col min="8" max="8" width="10.33203125" customWidth="1"/>
    <col min="9" max="9" width="10.44140625" customWidth="1"/>
    <col min="10" max="10" width="10.77734375" customWidth="1"/>
    <col min="11" max="11" width="10.5546875" customWidth="1"/>
    <col min="12" max="12" width="10.44140625" customWidth="1"/>
    <col min="13" max="13" width="11" customWidth="1"/>
    <col min="14" max="14" width="10.6640625" customWidth="1"/>
    <col min="15" max="15" width="10.33203125" customWidth="1"/>
    <col min="16" max="16" width="10.21875" customWidth="1"/>
    <col min="17" max="17" width="10.44140625" customWidth="1"/>
    <col min="18" max="18" width="10.21875" customWidth="1"/>
  </cols>
  <sheetData>
    <row r="6" spans="1:18" ht="19.95" customHeight="1" x14ac:dyDescent="0.3">
      <c r="A6" s="211" t="s">
        <v>64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</row>
    <row r="7" spans="1:18" ht="19.2" customHeight="1" x14ac:dyDescent="0.3">
      <c r="A7" s="211" t="s">
        <v>63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</row>
    <row r="8" spans="1:18" ht="15" thickBot="1" x14ac:dyDescent="0.35"/>
    <row r="9" spans="1:18" ht="21.6" customHeight="1" x14ac:dyDescent="0.3">
      <c r="A9" s="252" t="s">
        <v>45</v>
      </c>
      <c r="B9" s="205" t="s">
        <v>39</v>
      </c>
      <c r="C9" s="255" t="s">
        <v>40</v>
      </c>
      <c r="D9" s="252" t="s">
        <v>72</v>
      </c>
      <c r="E9" s="252" t="s">
        <v>71</v>
      </c>
      <c r="F9" s="252" t="s">
        <v>51</v>
      </c>
      <c r="G9" s="248" t="s">
        <v>47</v>
      </c>
      <c r="H9" s="251"/>
      <c r="I9" s="248" t="s">
        <v>48</v>
      </c>
      <c r="J9" s="249"/>
      <c r="K9" s="250" t="s">
        <v>52</v>
      </c>
      <c r="L9" s="249"/>
      <c r="M9" s="248" t="s">
        <v>57</v>
      </c>
      <c r="N9" s="251"/>
      <c r="O9" s="248" t="s">
        <v>60</v>
      </c>
      <c r="P9" s="249"/>
      <c r="Q9" s="248" t="s">
        <v>58</v>
      </c>
      <c r="R9" s="249"/>
    </row>
    <row r="10" spans="1:18" ht="34.200000000000003" customHeight="1" thickBot="1" x14ac:dyDescent="0.35">
      <c r="A10" s="253"/>
      <c r="B10" s="254"/>
      <c r="C10" s="256"/>
      <c r="D10" s="253"/>
      <c r="E10" s="253"/>
      <c r="F10" s="253"/>
      <c r="G10" s="66" t="s">
        <v>53</v>
      </c>
      <c r="H10" s="92" t="s">
        <v>55</v>
      </c>
      <c r="I10" s="66" t="s">
        <v>53</v>
      </c>
      <c r="J10" s="67" t="s">
        <v>55</v>
      </c>
      <c r="K10" s="93" t="s">
        <v>53</v>
      </c>
      <c r="L10" s="67" t="s">
        <v>55</v>
      </c>
      <c r="M10" s="66" t="s">
        <v>53</v>
      </c>
      <c r="N10" s="92" t="s">
        <v>55</v>
      </c>
      <c r="O10" s="66" t="s">
        <v>53</v>
      </c>
      <c r="P10" s="67" t="s">
        <v>55</v>
      </c>
      <c r="Q10" s="66" t="s">
        <v>53</v>
      </c>
      <c r="R10" s="67" t="s">
        <v>55</v>
      </c>
    </row>
    <row r="11" spans="1:18" ht="21.6" customHeight="1" x14ac:dyDescent="0.3">
      <c r="A11" s="69">
        <v>1</v>
      </c>
      <c r="B11" s="184" t="s">
        <v>13</v>
      </c>
      <c r="C11" s="65" t="s">
        <v>28</v>
      </c>
      <c r="D11" s="120">
        <v>75.3</v>
      </c>
      <c r="E11" s="120">
        <v>76.7</v>
      </c>
      <c r="F11" s="121">
        <f>(77525+1500+77525)/2/1000</f>
        <v>78.275000000000006</v>
      </c>
      <c r="G11" s="122">
        <f>(79025+1200+79025)/2/1000</f>
        <v>79.625</v>
      </c>
      <c r="H11" s="123">
        <v>79.599999999999994</v>
      </c>
      <c r="I11" s="122">
        <f>(80225+1200+80225)/2/1000</f>
        <v>80.825000000000003</v>
      </c>
      <c r="J11" s="124">
        <v>80.8</v>
      </c>
      <c r="K11" s="125">
        <f>(81425+1100+81425)/2/1000</f>
        <v>81.974999999999994</v>
      </c>
      <c r="L11" s="126">
        <v>82</v>
      </c>
      <c r="M11" s="127">
        <f>(82525+1000+82525)/2/1000</f>
        <v>83.025000000000006</v>
      </c>
      <c r="N11" s="128">
        <v>83</v>
      </c>
      <c r="O11" s="127">
        <f>(83525+900+83525)/2/1000</f>
        <v>83.974999999999994</v>
      </c>
      <c r="P11" s="126">
        <v>84</v>
      </c>
      <c r="Q11" s="127">
        <f>(84425+800+84425)/2/1000</f>
        <v>84.825000000000003</v>
      </c>
      <c r="R11" s="129">
        <v>84.8</v>
      </c>
    </row>
    <row r="12" spans="1:18" ht="50.4" customHeight="1" x14ac:dyDescent="0.3">
      <c r="A12" s="73">
        <v>2</v>
      </c>
      <c r="B12" s="91" t="s">
        <v>14</v>
      </c>
      <c r="C12" s="118" t="s">
        <v>1</v>
      </c>
      <c r="D12" s="130">
        <v>13382</v>
      </c>
      <c r="E12" s="130">
        <v>13009</v>
      </c>
      <c r="F12" s="130">
        <v>13300</v>
      </c>
      <c r="G12" s="131">
        <v>13612</v>
      </c>
      <c r="H12" s="132">
        <f>G12*1.001</f>
        <v>13625.611999999999</v>
      </c>
      <c r="I12" s="131">
        <f>G12*1.001</f>
        <v>13625.611999999999</v>
      </c>
      <c r="J12" s="133">
        <f>I12*1.001</f>
        <v>13639.237611999997</v>
      </c>
      <c r="K12" s="134">
        <f>I12*1.004</f>
        <v>13680.114447999998</v>
      </c>
      <c r="L12" s="134">
        <f>K12*1.001</f>
        <v>13693.794562447996</v>
      </c>
      <c r="M12" s="134">
        <f>K12*1.004</f>
        <v>13734.834905791999</v>
      </c>
      <c r="N12" s="132">
        <f>M12*1.001</f>
        <v>13748.569740697789</v>
      </c>
      <c r="O12" s="131">
        <f>M12*1.001</f>
        <v>13748.569740697789</v>
      </c>
      <c r="P12" s="135">
        <f>O12*1.001</f>
        <v>13762.318310438484</v>
      </c>
      <c r="Q12" s="131">
        <f>O12*1.002</f>
        <v>13776.066880179183</v>
      </c>
      <c r="R12" s="133">
        <f>Q12*1.002</f>
        <v>13803.619013939542</v>
      </c>
    </row>
    <row r="13" spans="1:18" ht="19.2" customHeight="1" x14ac:dyDescent="0.3">
      <c r="A13" s="73"/>
      <c r="B13" s="91" t="s">
        <v>62</v>
      </c>
      <c r="C13" s="90"/>
      <c r="D13" s="120">
        <v>96.7</v>
      </c>
      <c r="E13" s="136">
        <f>E12/D12*100</f>
        <v>97.212673740845915</v>
      </c>
      <c r="F13" s="137">
        <f>F12/E12*100</f>
        <v>102.23691290644939</v>
      </c>
      <c r="G13" s="138">
        <f>G12/F12*100</f>
        <v>102.34586466165413</v>
      </c>
      <c r="H13" s="139">
        <f t="shared" ref="H13:R13" si="0">H12/F12*100</f>
        <v>102.44821052631579</v>
      </c>
      <c r="I13" s="140">
        <f t="shared" si="0"/>
        <v>100.1</v>
      </c>
      <c r="J13" s="141">
        <f t="shared" si="0"/>
        <v>100.1</v>
      </c>
      <c r="K13" s="142">
        <f t="shared" si="0"/>
        <v>100.4</v>
      </c>
      <c r="L13" s="139">
        <f t="shared" si="0"/>
        <v>100.4</v>
      </c>
      <c r="M13" s="138">
        <f t="shared" si="0"/>
        <v>100.4</v>
      </c>
      <c r="N13" s="139">
        <f t="shared" si="0"/>
        <v>100.4</v>
      </c>
      <c r="O13" s="138">
        <f t="shared" si="0"/>
        <v>100.1</v>
      </c>
      <c r="P13" s="141">
        <f t="shared" si="0"/>
        <v>100.1</v>
      </c>
      <c r="Q13" s="138">
        <f t="shared" si="0"/>
        <v>100.2</v>
      </c>
      <c r="R13" s="141">
        <f t="shared" si="0"/>
        <v>100.30009990009991</v>
      </c>
    </row>
    <row r="14" spans="1:18" ht="41.4" customHeight="1" x14ac:dyDescent="0.3">
      <c r="A14" s="73">
        <v>3</v>
      </c>
      <c r="B14" s="91" t="s">
        <v>80</v>
      </c>
      <c r="C14" s="119" t="s">
        <v>23</v>
      </c>
      <c r="D14" s="143">
        <f>E14/1.164</f>
        <v>18550.450171821307</v>
      </c>
      <c r="E14" s="143">
        <v>21592.723999999998</v>
      </c>
      <c r="F14" s="143">
        <v>20885.8</v>
      </c>
      <c r="G14" s="144">
        <f>F14*1.036*1.026</f>
        <v>22200.268708800002</v>
      </c>
      <c r="H14" s="145">
        <f>G14*1.005*1.002</f>
        <v>22355.892592448687</v>
      </c>
      <c r="I14" s="144">
        <f>G14*1.036*1.03</f>
        <v>23689.462733786309</v>
      </c>
      <c r="J14" s="135">
        <f>H14*1.033*1.033</f>
        <v>23855.727070583471</v>
      </c>
      <c r="K14" s="146">
        <f>I14*1.042*1.03</f>
        <v>25424.952773663495</v>
      </c>
      <c r="L14" s="146">
        <f>J14*1.035*1.032</f>
        <v>25480.779198631615</v>
      </c>
      <c r="M14" s="144">
        <f>K14*1.044*1.031</f>
        <v>27366.503867271535</v>
      </c>
      <c r="N14" s="145">
        <f>L14*1.043*1.034</f>
        <v>27480.05209611465</v>
      </c>
      <c r="O14" s="144">
        <f>M14*1.045*1.032</f>
        <v>29513.132430620313</v>
      </c>
      <c r="P14" s="135">
        <f>N14*1.038*1.043</f>
        <v>29750.838721024986</v>
      </c>
      <c r="Q14" s="144">
        <f>O14*1.043*1.031</f>
        <v>31736.445236016229</v>
      </c>
      <c r="R14" s="133">
        <f>P14*1.041*1.038</f>
        <v>32147.506786713318</v>
      </c>
    </row>
    <row r="15" spans="1:18" ht="19.8" customHeight="1" x14ac:dyDescent="0.3">
      <c r="A15" s="89"/>
      <c r="B15" s="91" t="s">
        <v>62</v>
      </c>
      <c r="C15" s="65" t="s">
        <v>0</v>
      </c>
      <c r="D15" s="143">
        <f>108.7/1.084</f>
        <v>100.27675276752767</v>
      </c>
      <c r="E15" s="143">
        <f>116.3/1.141</f>
        <v>101.92813321647677</v>
      </c>
      <c r="F15" s="143">
        <f>96.7/1.049</f>
        <v>92.183031458531943</v>
      </c>
      <c r="G15" s="144">
        <f>106.3/1.036</f>
        <v>102.6061776061776</v>
      </c>
      <c r="H15" s="147">
        <f>107/1.036</f>
        <v>103.28185328185327</v>
      </c>
      <c r="I15" s="144">
        <v>102.9</v>
      </c>
      <c r="J15" s="148">
        <f>106.7/1.033</f>
        <v>103.29138431752179</v>
      </c>
      <c r="K15" s="146">
        <v>103</v>
      </c>
      <c r="L15" s="147">
        <f>106.8/1.032</f>
        <v>103.48837209302324</v>
      </c>
      <c r="M15" s="144">
        <v>103.1</v>
      </c>
      <c r="N15" s="147">
        <f>107.8/1.041</f>
        <v>103.55427473583093</v>
      </c>
      <c r="O15" s="144">
        <v>103.2</v>
      </c>
      <c r="P15" s="148">
        <f>108.2/1.043</f>
        <v>103.73921380632791</v>
      </c>
      <c r="Q15" s="149">
        <v>103.1</v>
      </c>
      <c r="R15" s="150">
        <f>108/1.041</f>
        <v>103.7463976945245</v>
      </c>
    </row>
    <row r="16" spans="1:18" ht="51.6" customHeight="1" x14ac:dyDescent="0.3">
      <c r="A16" s="71"/>
      <c r="B16" s="185" t="s">
        <v>12</v>
      </c>
      <c r="C16" s="68" t="s">
        <v>26</v>
      </c>
      <c r="D16" s="155">
        <v>29096.9</v>
      </c>
      <c r="E16" s="155">
        <v>32458</v>
      </c>
      <c r="F16" s="155">
        <v>33756.74</v>
      </c>
      <c r="G16" s="156">
        <f>F16*1.054</f>
        <v>35579.60396</v>
      </c>
      <c r="H16" s="157">
        <f>F16*1.055</f>
        <v>35613.360699999997</v>
      </c>
      <c r="I16" s="156">
        <f>G16*1.057</f>
        <v>37607.641385719995</v>
      </c>
      <c r="J16" s="160">
        <f>H16*1.062</f>
        <v>37821.389063399998</v>
      </c>
      <c r="K16" s="159">
        <f>I16*1.06</f>
        <v>39864.099868863195</v>
      </c>
      <c r="L16" s="157">
        <f>J16*1.063</f>
        <v>40204.136574394193</v>
      </c>
      <c r="M16" s="156">
        <f>K16*1.063</f>
        <v>42375.538160601573</v>
      </c>
      <c r="N16" s="157">
        <f>L16*1.066</f>
        <v>42857.609588304214</v>
      </c>
      <c r="O16" s="156">
        <f>M16*1.066</f>
        <v>45172.323679201276</v>
      </c>
      <c r="P16" s="160">
        <f>N16*1.069</f>
        <v>45814.784649897207</v>
      </c>
      <c r="Q16" s="156">
        <f>O16*1.065</f>
        <v>48108.524718349356</v>
      </c>
      <c r="R16" s="135">
        <f>P16*1.067</f>
        <v>48884.375221440314</v>
      </c>
    </row>
    <row r="17" spans="1:20" ht="20.399999999999999" customHeight="1" x14ac:dyDescent="0.3">
      <c r="A17" s="69"/>
      <c r="B17" s="91" t="s">
        <v>62</v>
      </c>
      <c r="C17" s="68" t="s">
        <v>0</v>
      </c>
      <c r="D17" s="155">
        <v>109.1</v>
      </c>
      <c r="E17" s="155">
        <f>E16/D16*100</f>
        <v>111.55140238307173</v>
      </c>
      <c r="F17" s="155">
        <f>F16/E16*100</f>
        <v>104.00129397991249</v>
      </c>
      <c r="G17" s="156">
        <v>105.4</v>
      </c>
      <c r="H17" s="181">
        <v>105.5</v>
      </c>
      <c r="I17" s="156">
        <v>105.7</v>
      </c>
      <c r="J17" s="141">
        <v>106.2</v>
      </c>
      <c r="K17" s="159">
        <v>106</v>
      </c>
      <c r="L17" s="182">
        <v>106.3</v>
      </c>
      <c r="M17" s="163">
        <v>106.3</v>
      </c>
      <c r="N17" s="153">
        <v>106.6</v>
      </c>
      <c r="O17" s="163">
        <v>106.6</v>
      </c>
      <c r="P17" s="183">
        <v>106.9</v>
      </c>
      <c r="Q17" s="163">
        <v>106.5</v>
      </c>
      <c r="R17" s="183">
        <v>106.7</v>
      </c>
    </row>
    <row r="18" spans="1:20" ht="35.4" customHeight="1" x14ac:dyDescent="0.3">
      <c r="A18" s="69">
        <v>4</v>
      </c>
      <c r="B18" s="91" t="s">
        <v>11</v>
      </c>
      <c r="C18" s="65" t="s">
        <v>23</v>
      </c>
      <c r="D18" s="143">
        <v>4672.5</v>
      </c>
      <c r="E18" s="143">
        <v>5194.3</v>
      </c>
      <c r="F18" s="143">
        <v>5387.6</v>
      </c>
      <c r="G18" s="144">
        <f t="shared" ref="G18:R18" si="1">G16*G12*12/1000000</f>
        <v>5811.7148292422398</v>
      </c>
      <c r="H18" s="145">
        <f t="shared" si="1"/>
        <v>5823.0460189709793</v>
      </c>
      <c r="I18" s="144">
        <f t="shared" si="1"/>
        <v>6149.1255570835556</v>
      </c>
      <c r="J18" s="135">
        <f t="shared" si="1"/>
        <v>6190.258947019327</v>
      </c>
      <c r="K18" s="146">
        <f t="shared" si="1"/>
        <v>6544.1453828706035</v>
      </c>
      <c r="L18" s="146">
        <f t="shared" si="1"/>
        <v>6606.5662417242702</v>
      </c>
      <c r="M18" s="144">
        <f t="shared" si="1"/>
        <v>6984.252248159416</v>
      </c>
      <c r="N18" s="145">
        <f t="shared" si="1"/>
        <v>7070.7700121327853</v>
      </c>
      <c r="O18" s="144">
        <f t="shared" si="1"/>
        <v>7452.6581094344747</v>
      </c>
      <c r="P18" s="135">
        <f t="shared" si="1"/>
        <v>7566.2117961129152</v>
      </c>
      <c r="Q18" s="144">
        <f t="shared" si="1"/>
        <v>7952.9550483208095</v>
      </c>
      <c r="R18" s="135">
        <f t="shared" si="1"/>
        <v>8097.3754954947426</v>
      </c>
    </row>
    <row r="19" spans="1:20" ht="31.2" customHeight="1" x14ac:dyDescent="0.3">
      <c r="A19" s="73">
        <v>5</v>
      </c>
      <c r="B19" s="91" t="s">
        <v>61</v>
      </c>
      <c r="C19" s="65" t="s">
        <v>23</v>
      </c>
      <c r="D19" s="143">
        <v>1502</v>
      </c>
      <c r="E19" s="120">
        <v>1731.2</v>
      </c>
      <c r="F19" s="143">
        <v>1970.5</v>
      </c>
      <c r="G19" s="144">
        <v>2265.6999999999998</v>
      </c>
      <c r="H19" s="145">
        <f>G19*1.012</f>
        <v>2292.8883999999998</v>
      </c>
      <c r="I19" s="144">
        <f>G19+471</f>
        <v>2736.7</v>
      </c>
      <c r="J19" s="148">
        <f>I19*1.013</f>
        <v>2772.2770999999993</v>
      </c>
      <c r="K19" s="146">
        <f>(291+44+G19)*1.04+200</f>
        <v>2904.7280000000001</v>
      </c>
      <c r="L19" s="151">
        <f>K19*1.013</f>
        <v>2942.4894639999998</v>
      </c>
      <c r="M19" s="152">
        <f>(281+44+G19)*1.04+380</f>
        <v>3074.328</v>
      </c>
      <c r="N19" s="147">
        <f>M19*1.014</f>
        <v>3117.3685919999998</v>
      </c>
      <c r="O19" s="144">
        <f>M19*1.044+44</f>
        <v>3253.5984320000002</v>
      </c>
      <c r="P19" s="148">
        <f>O19*1.01+20</f>
        <v>3306.1344163200001</v>
      </c>
      <c r="Q19" s="144">
        <f>O19*1.043+50</f>
        <v>3443.503164576</v>
      </c>
      <c r="R19" s="148">
        <f>Q19*1.01+25</f>
        <v>3502.9381962217599</v>
      </c>
      <c r="S19" s="97"/>
      <c r="T19" s="97"/>
    </row>
    <row r="20" spans="1:20" ht="19.2" customHeight="1" x14ac:dyDescent="0.3">
      <c r="A20" s="73">
        <v>6</v>
      </c>
      <c r="B20" s="91" t="s">
        <v>62</v>
      </c>
      <c r="C20" s="65" t="s">
        <v>0</v>
      </c>
      <c r="D20" s="136">
        <f>83.2/1.037</f>
        <v>80.231436837029904</v>
      </c>
      <c r="E20" s="136">
        <f>115.3/1.049</f>
        <v>109.91420400381315</v>
      </c>
      <c r="F20" s="137">
        <f>113.8/1.05</f>
        <v>108.38095238095238</v>
      </c>
      <c r="G20" s="138">
        <f>112.4/1.044</f>
        <v>107.66283524904215</v>
      </c>
      <c r="H20" s="153">
        <v>108.9</v>
      </c>
      <c r="I20" s="138">
        <f>120.7/1.035</f>
        <v>116.61835748792272</v>
      </c>
      <c r="J20" s="150">
        <f>120.9/1.035</f>
        <v>116.81159420289856</v>
      </c>
      <c r="K20" s="142">
        <f>106.3/1.043</f>
        <v>101.91754554170662</v>
      </c>
      <c r="L20" s="150">
        <f>106.1/1.038</f>
        <v>102.21579961464353</v>
      </c>
      <c r="M20" s="138">
        <f>105.8/1.044</f>
        <v>101.34099616858236</v>
      </c>
      <c r="N20" s="154">
        <f>105.9/1.041</f>
        <v>101.72910662824209</v>
      </c>
      <c r="O20" s="138">
        <f>105.8/1.044</f>
        <v>101.34099616858236</v>
      </c>
      <c r="P20" s="150">
        <f>106/1.041</f>
        <v>101.82516810758887</v>
      </c>
      <c r="Q20" s="138">
        <f>105.8/1.043</f>
        <v>101.43815915627997</v>
      </c>
      <c r="R20" s="150">
        <f>105.9/1.04</f>
        <v>101.82692307692308</v>
      </c>
    </row>
    <row r="21" spans="1:20" ht="21.6" customHeight="1" x14ac:dyDescent="0.3">
      <c r="A21" s="73">
        <v>7</v>
      </c>
      <c r="B21" s="185" t="s">
        <v>6</v>
      </c>
      <c r="C21" s="64" t="s">
        <v>23</v>
      </c>
      <c r="D21" s="155">
        <v>6617</v>
      </c>
      <c r="E21" s="155">
        <v>6938.9</v>
      </c>
      <c r="F21" s="155">
        <f>7030.5+242</f>
        <v>7272.5</v>
      </c>
      <c r="G21" s="156">
        <f>7371.1+230</f>
        <v>7601.1</v>
      </c>
      <c r="H21" s="157">
        <f>G21*1.0012</f>
        <v>7610.2213200000015</v>
      </c>
      <c r="I21" s="156">
        <f>7740.9+260</f>
        <v>8000.9</v>
      </c>
      <c r="J21" s="158">
        <f>I21*1.005</f>
        <v>8040.9044999999987</v>
      </c>
      <c r="K21" s="159">
        <f>8154.8+265</f>
        <v>8419.7999999999993</v>
      </c>
      <c r="L21" s="160">
        <f>J21*1.055</f>
        <v>8483.1542474999987</v>
      </c>
      <c r="M21" s="156">
        <f>K21*1.055</f>
        <v>8882.8889999999992</v>
      </c>
      <c r="N21" s="161">
        <f>L21*1.058</f>
        <v>8975.1771938549991</v>
      </c>
      <c r="O21" s="156">
        <f>1.057*M21</f>
        <v>9389.2136729999984</v>
      </c>
      <c r="P21" s="158">
        <f>N21*1.059</f>
        <v>9504.7126482924432</v>
      </c>
      <c r="Q21" s="156">
        <f>O21*1.056</f>
        <v>9915.0096386879995</v>
      </c>
      <c r="R21" s="160">
        <f>P21*1.058</f>
        <v>10055.985981893406</v>
      </c>
    </row>
    <row r="22" spans="1:20" ht="19.2" customHeight="1" x14ac:dyDescent="0.3">
      <c r="A22" s="73">
        <v>8</v>
      </c>
      <c r="B22" s="91" t="s">
        <v>62</v>
      </c>
      <c r="C22" s="64" t="s">
        <v>0</v>
      </c>
      <c r="D22" s="162">
        <f>103.9/1.04</f>
        <v>99.90384615384616</v>
      </c>
      <c r="E22" s="162">
        <v>101.1</v>
      </c>
      <c r="F22" s="162">
        <f>104.8/1.046</f>
        <v>100.19120458891013</v>
      </c>
      <c r="G22" s="156">
        <f>104.5/1.034</f>
        <v>101.06382978723404</v>
      </c>
      <c r="H22" s="161">
        <f>104.6/1.032</f>
        <v>101.35658914728681</v>
      </c>
      <c r="I22" s="163">
        <f>105.2/1.04</f>
        <v>101.15384615384615</v>
      </c>
      <c r="J22" s="164">
        <f>105.6/1.04</f>
        <v>101.53846153846153</v>
      </c>
      <c r="K22" s="159">
        <f>105.2/1.039</f>
        <v>101.25120307988452</v>
      </c>
      <c r="L22" s="158">
        <f>105.5/1.038</f>
        <v>101.63776493256262</v>
      </c>
      <c r="M22" s="163">
        <f>105.5/1.04</f>
        <v>101.44230769230769</v>
      </c>
      <c r="N22" s="165">
        <f>105.8/1.04</f>
        <v>101.73076923076923</v>
      </c>
      <c r="O22" s="166">
        <f>105.6/1.04</f>
        <v>101.53846153846153</v>
      </c>
      <c r="P22" s="164">
        <f>105.9/1.04</f>
        <v>101.82692307692308</v>
      </c>
      <c r="Q22" s="166">
        <f>105.6/1.039</f>
        <v>101.63618864292589</v>
      </c>
      <c r="R22" s="164">
        <f>105.8/1.038</f>
        <v>101.92678227360308</v>
      </c>
    </row>
    <row r="23" spans="1:20" ht="32.4" customHeight="1" x14ac:dyDescent="0.3">
      <c r="A23" s="73">
        <v>9</v>
      </c>
      <c r="B23" s="91" t="s">
        <v>15</v>
      </c>
      <c r="C23" s="65" t="s">
        <v>1</v>
      </c>
      <c r="D23" s="120">
        <v>232</v>
      </c>
      <c r="E23" s="120">
        <v>182</v>
      </c>
      <c r="F23" s="167">
        <v>205</v>
      </c>
      <c r="G23" s="140">
        <v>200</v>
      </c>
      <c r="H23" s="168">
        <f>G23*0.972</f>
        <v>194.4</v>
      </c>
      <c r="I23" s="140">
        <v>195</v>
      </c>
      <c r="J23" s="169">
        <f>0.972*I23</f>
        <v>189.54</v>
      </c>
      <c r="K23" s="170">
        <v>190</v>
      </c>
      <c r="L23" s="169">
        <f>0.972*K23</f>
        <v>184.68</v>
      </c>
      <c r="M23" s="140">
        <v>190</v>
      </c>
      <c r="N23" s="168">
        <f>0.972*M23</f>
        <v>184.68</v>
      </c>
      <c r="O23" s="171">
        <v>188</v>
      </c>
      <c r="P23" s="169">
        <f>0.972*O23</f>
        <v>182.73599999999999</v>
      </c>
      <c r="Q23" s="140">
        <v>185</v>
      </c>
      <c r="R23" s="169">
        <f>0.972*Q23</f>
        <v>179.82</v>
      </c>
    </row>
    <row r="24" spans="1:20" ht="25.8" customHeight="1" thickBot="1" x14ac:dyDescent="0.35">
      <c r="A24" s="72">
        <v>10</v>
      </c>
      <c r="B24" s="186" t="s">
        <v>16</v>
      </c>
      <c r="C24" s="70" t="s">
        <v>0</v>
      </c>
      <c r="D24" s="172">
        <v>0.57999999999999996</v>
      </c>
      <c r="E24" s="172">
        <v>0.44</v>
      </c>
      <c r="F24" s="173">
        <v>0.49</v>
      </c>
      <c r="G24" s="174">
        <v>0.48</v>
      </c>
      <c r="H24" s="175">
        <v>0.47</v>
      </c>
      <c r="I24" s="176">
        <v>0.45</v>
      </c>
      <c r="J24" s="177">
        <v>0.44</v>
      </c>
      <c r="K24" s="178">
        <v>0.43</v>
      </c>
      <c r="L24" s="177">
        <v>0.42</v>
      </c>
      <c r="M24" s="176">
        <v>0.42</v>
      </c>
      <c r="N24" s="175">
        <v>0.42</v>
      </c>
      <c r="O24" s="179">
        <v>0.41</v>
      </c>
      <c r="P24" s="180">
        <f>0.978*O24</f>
        <v>0.40097999999999995</v>
      </c>
      <c r="Q24" s="174">
        <v>0.4</v>
      </c>
      <c r="R24" s="180">
        <f>0.957*Q24</f>
        <v>0.38280000000000003</v>
      </c>
    </row>
    <row r="26" spans="1:20" ht="15.6" x14ac:dyDescent="0.3">
      <c r="E26" s="98"/>
    </row>
  </sheetData>
  <mergeCells count="14">
    <mergeCell ref="I9:J9"/>
    <mergeCell ref="K9:L9"/>
    <mergeCell ref="M9:N9"/>
    <mergeCell ref="A9:A10"/>
    <mergeCell ref="A6:R6"/>
    <mergeCell ref="A7:R7"/>
    <mergeCell ref="O9:P9"/>
    <mergeCell ref="Q9:R9"/>
    <mergeCell ref="G9:H9"/>
    <mergeCell ref="B9:B10"/>
    <mergeCell ref="C9:C10"/>
    <mergeCell ref="D9:D10"/>
    <mergeCell ref="E9:E10"/>
    <mergeCell ref="F9:F10"/>
  </mergeCells>
  <pageMargins left="0.39370078740157483" right="0.39370078740157483" top="1.3779527559055118" bottom="0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0"/>
  <sheetViews>
    <sheetView topLeftCell="A4" zoomScale="70" zoomScaleNormal="70" workbookViewId="0">
      <selection activeCell="A28" sqref="A28"/>
    </sheetView>
  </sheetViews>
  <sheetFormatPr defaultRowHeight="14.4" x14ac:dyDescent="0.3"/>
  <cols>
    <col min="1" max="1" width="43.21875" customWidth="1"/>
    <col min="2" max="2" width="7.77734375" customWidth="1"/>
    <col min="3" max="3" width="9.5546875" hidden="1" customWidth="1"/>
    <col min="4" max="4" width="9.5546875" customWidth="1"/>
    <col min="5" max="7" width="9.44140625" customWidth="1"/>
    <col min="8" max="8" width="9.5546875" customWidth="1"/>
    <col min="9" max="9" width="9.44140625" customWidth="1"/>
    <col min="10" max="10" width="9.5546875" customWidth="1"/>
    <col min="11" max="12" width="9.44140625" customWidth="1"/>
    <col min="13" max="16" width="9.5546875" customWidth="1"/>
    <col min="17" max="18" width="9.44140625" customWidth="1"/>
  </cols>
  <sheetData>
    <row r="3" spans="1:19" ht="14.4" customHeight="1" x14ac:dyDescent="0.3">
      <c r="O3" s="257" t="s">
        <v>73</v>
      </c>
      <c r="P3" s="257"/>
      <c r="Q3" s="257"/>
      <c r="R3" s="257"/>
    </row>
    <row r="4" spans="1:19" ht="14.4" customHeight="1" x14ac:dyDescent="0.3">
      <c r="O4" s="257" t="s">
        <v>74</v>
      </c>
      <c r="P4" s="257"/>
      <c r="Q4" s="257"/>
      <c r="R4" s="257"/>
    </row>
    <row r="5" spans="1:19" ht="15.6" x14ac:dyDescent="0.3">
      <c r="O5" s="257" t="s">
        <v>75</v>
      </c>
      <c r="P5" s="257"/>
      <c r="Q5" s="257"/>
      <c r="R5" s="257"/>
    </row>
    <row r="6" spans="1:19" ht="15.6" x14ac:dyDescent="0.3">
      <c r="O6" s="257" t="s">
        <v>76</v>
      </c>
      <c r="P6" s="257"/>
      <c r="Q6" s="257"/>
      <c r="R6" s="257"/>
    </row>
    <row r="7" spans="1:19" ht="15.6" x14ac:dyDescent="0.3">
      <c r="O7" s="257" t="s">
        <v>77</v>
      </c>
      <c r="P7" s="257"/>
      <c r="Q7" s="257"/>
      <c r="R7" s="257"/>
    </row>
    <row r="8" spans="1:19" ht="15.6" x14ac:dyDescent="0.3">
      <c r="O8" s="99"/>
      <c r="P8" s="99"/>
      <c r="Q8" s="99"/>
      <c r="R8" s="99"/>
    </row>
    <row r="9" spans="1:19" ht="15.6" customHeight="1" x14ac:dyDescent="0.3">
      <c r="A9" s="211" t="s">
        <v>79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96"/>
    </row>
    <row r="10" spans="1:19" ht="19.2" customHeight="1" x14ac:dyDescent="0.3">
      <c r="A10" s="211" t="s">
        <v>91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</row>
    <row r="12" spans="1:19" ht="35.4" customHeight="1" x14ac:dyDescent="0.3">
      <c r="A12" s="235" t="s">
        <v>39</v>
      </c>
      <c r="B12" s="237" t="s">
        <v>40</v>
      </c>
      <c r="C12" s="213" t="s">
        <v>72</v>
      </c>
      <c r="D12" s="213" t="s">
        <v>71</v>
      </c>
      <c r="E12" s="213" t="s">
        <v>82</v>
      </c>
      <c r="F12" s="232" t="s">
        <v>81</v>
      </c>
      <c r="G12" s="260" t="s">
        <v>83</v>
      </c>
      <c r="H12" s="261"/>
      <c r="I12" s="260" t="s">
        <v>84</v>
      </c>
      <c r="J12" s="261"/>
      <c r="K12" s="258" t="s">
        <v>85</v>
      </c>
      <c r="L12" s="259"/>
      <c r="M12" s="258" t="s">
        <v>86</v>
      </c>
      <c r="N12" s="259"/>
      <c r="O12" s="260" t="s">
        <v>87</v>
      </c>
      <c r="P12" s="261"/>
      <c r="Q12" s="260" t="s">
        <v>88</v>
      </c>
      <c r="R12" s="261"/>
    </row>
    <row r="13" spans="1:19" ht="40.799999999999997" customHeight="1" x14ac:dyDescent="0.3">
      <c r="A13" s="235"/>
      <c r="B13" s="237"/>
      <c r="C13" s="213"/>
      <c r="D13" s="213"/>
      <c r="E13" s="213"/>
      <c r="F13" s="220"/>
      <c r="G13" s="95" t="s">
        <v>89</v>
      </c>
      <c r="H13" s="94" t="s">
        <v>90</v>
      </c>
      <c r="I13" s="188" t="s">
        <v>89</v>
      </c>
      <c r="J13" s="187" t="s">
        <v>90</v>
      </c>
      <c r="K13" s="188" t="s">
        <v>89</v>
      </c>
      <c r="L13" s="187" t="s">
        <v>90</v>
      </c>
      <c r="M13" s="188" t="s">
        <v>89</v>
      </c>
      <c r="N13" s="187" t="s">
        <v>90</v>
      </c>
      <c r="O13" s="188" t="s">
        <v>89</v>
      </c>
      <c r="P13" s="187" t="s">
        <v>90</v>
      </c>
      <c r="Q13" s="188" t="s">
        <v>89</v>
      </c>
      <c r="R13" s="187" t="s">
        <v>90</v>
      </c>
    </row>
    <row r="14" spans="1:19" ht="66.599999999999994" customHeight="1" x14ac:dyDescent="0.3">
      <c r="A14" s="7" t="s">
        <v>59</v>
      </c>
      <c r="B14" s="100" t="s">
        <v>23</v>
      </c>
      <c r="C14" s="101">
        <f>D14/1.164</f>
        <v>18567.865120274913</v>
      </c>
      <c r="D14" s="101">
        <v>21612.994999999999</v>
      </c>
      <c r="E14" s="101">
        <v>20229.763999999999</v>
      </c>
      <c r="F14" s="101">
        <f>8077.793*2.2</f>
        <v>17771.1446</v>
      </c>
      <c r="G14" s="101">
        <f>F14*1.07</f>
        <v>19015.124722</v>
      </c>
      <c r="H14" s="108">
        <f>G14*1.009</f>
        <v>19186.260844498</v>
      </c>
      <c r="I14" s="108">
        <f>G14*1.063</f>
        <v>20213.077579485998</v>
      </c>
      <c r="J14" s="108">
        <f>I14*1.003</f>
        <v>20273.716812224455</v>
      </c>
      <c r="K14" s="108">
        <f>I14*1.045</f>
        <v>21122.666070562867</v>
      </c>
      <c r="L14" s="108">
        <f>J14*1.053</f>
        <v>21348.223803272351</v>
      </c>
      <c r="M14" s="108">
        <f>K14*1.046</f>
        <v>22094.30870980876</v>
      </c>
      <c r="N14" s="108">
        <f>M14*1.007</f>
        <v>22248.968870777418</v>
      </c>
      <c r="O14" s="108">
        <f>M14*1.046</f>
        <v>23110.646910459964</v>
      </c>
      <c r="P14" s="108">
        <f>O14*1.007</f>
        <v>23272.421438833182</v>
      </c>
      <c r="Q14" s="108">
        <f>O14*1.045</f>
        <v>24150.62602143066</v>
      </c>
      <c r="R14" s="108">
        <f>Q14*1.004</f>
        <v>24247.228525516384</v>
      </c>
    </row>
    <row r="15" spans="1:19" ht="23.4" customHeight="1" x14ac:dyDescent="0.3">
      <c r="A15" s="7" t="s">
        <v>62</v>
      </c>
      <c r="B15" s="100" t="s">
        <v>0</v>
      </c>
      <c r="C15" s="101">
        <f>108.7/1.025</f>
        <v>106.04878048780489</v>
      </c>
      <c r="D15" s="101">
        <f>116.3/1.03</f>
        <v>112.91262135922329</v>
      </c>
      <c r="E15" s="101">
        <f>93.6/97.9*100</f>
        <v>95.607763023493348</v>
      </c>
      <c r="F15" s="101">
        <f>87.8/98.3*100</f>
        <v>89.31841302136317</v>
      </c>
      <c r="G15" s="101">
        <f>107/1.055</f>
        <v>101.42180094786731</v>
      </c>
      <c r="H15" s="101">
        <f>107.9/1.06</f>
        <v>101.79245283018868</v>
      </c>
      <c r="I15" s="101">
        <f>106.3/1.042</f>
        <v>102.01535508637235</v>
      </c>
      <c r="J15" s="101">
        <f>106.6/1.038</f>
        <v>102.69749518304431</v>
      </c>
      <c r="K15" s="101">
        <f>104.5/104.5*100</f>
        <v>100</v>
      </c>
      <c r="L15" s="101">
        <f>105.3/1.044</f>
        <v>100.86206896551724</v>
      </c>
      <c r="M15" s="101">
        <f>104.6/104.5*100</f>
        <v>100.09569377990431</v>
      </c>
      <c r="N15" s="101">
        <f>105.3/1.043</f>
        <v>100.95877277085332</v>
      </c>
      <c r="O15" s="101">
        <f>104.6/1.045</f>
        <v>100.09569377990431</v>
      </c>
      <c r="P15" s="101">
        <f>105.3/1.043</f>
        <v>100.95877277085332</v>
      </c>
      <c r="Q15" s="101">
        <f>104.5/1.045</f>
        <v>100</v>
      </c>
      <c r="R15" s="103">
        <f>104.9/1.041</f>
        <v>100.76849183477427</v>
      </c>
    </row>
    <row r="16" spans="1:19" ht="33" customHeight="1" x14ac:dyDescent="0.3">
      <c r="A16" s="7" t="s">
        <v>61</v>
      </c>
      <c r="B16" s="100" t="s">
        <v>23</v>
      </c>
      <c r="C16" s="101">
        <v>1502</v>
      </c>
      <c r="D16" s="104">
        <v>1731.2</v>
      </c>
      <c r="E16" s="101">
        <v>1873.325</v>
      </c>
      <c r="F16" s="101">
        <f>387.3*5.3</f>
        <v>2052.69</v>
      </c>
      <c r="G16" s="101">
        <v>2265.6999999999998</v>
      </c>
      <c r="H16" s="108">
        <f>G16*1.018</f>
        <v>2306.4825999999998</v>
      </c>
      <c r="I16" s="101">
        <f>G16+471</f>
        <v>2736.7</v>
      </c>
      <c r="J16" s="108">
        <v>2790.9</v>
      </c>
      <c r="K16" s="101">
        <f>(291+44+G16)*1.04+230</f>
        <v>2934.7280000000001</v>
      </c>
      <c r="L16" s="101">
        <v>3014.2</v>
      </c>
      <c r="M16" s="101">
        <f>(281+44+G16)*1.04+380</f>
        <v>3074.328</v>
      </c>
      <c r="N16" s="101">
        <f>M16*1.014</f>
        <v>3117.3685919999998</v>
      </c>
      <c r="O16" s="101">
        <f>M16*1.044+30</f>
        <v>3239.5984320000002</v>
      </c>
      <c r="P16" s="101">
        <f>O16*1.01+20</f>
        <v>3291.9944163200003</v>
      </c>
      <c r="Q16" s="101">
        <f>O16*1.052</f>
        <v>3408.0575504640005</v>
      </c>
      <c r="R16" s="101">
        <f>Q16*1.01+25</f>
        <v>3467.1381259686405</v>
      </c>
    </row>
    <row r="17" spans="1:18" ht="23.4" customHeight="1" x14ac:dyDescent="0.3">
      <c r="A17" s="7" t="s">
        <v>62</v>
      </c>
      <c r="B17" s="100" t="s">
        <v>0</v>
      </c>
      <c r="C17" s="105">
        <f>83.2/1.037</f>
        <v>80.231436837029904</v>
      </c>
      <c r="D17" s="105">
        <f>115.3/1.049</f>
        <v>109.91420400381315</v>
      </c>
      <c r="E17" s="103">
        <v>105</v>
      </c>
      <c r="F17" s="103">
        <f>109.6/1.056</f>
        <v>103.78787878787878</v>
      </c>
      <c r="G17" s="106">
        <f>110.4/1.052</f>
        <v>104.94296577946768</v>
      </c>
      <c r="H17" s="103">
        <f>112.4/1.056</f>
        <v>106.43939393939394</v>
      </c>
      <c r="I17" s="106">
        <f>120.7/1.049</f>
        <v>115.06196377502384</v>
      </c>
      <c r="J17" s="103">
        <f>121/1.046</f>
        <v>115.67877629063096</v>
      </c>
      <c r="K17" s="106">
        <f>107.2/1.048</f>
        <v>102.29007633587786</v>
      </c>
      <c r="L17" s="103">
        <f>108/1.048</f>
        <v>103.05343511450381</v>
      </c>
      <c r="M17" s="106">
        <f>105.8/1.044</f>
        <v>101.34099616858236</v>
      </c>
      <c r="N17" s="103">
        <f>105.9/1.043</f>
        <v>101.5340364333653</v>
      </c>
      <c r="O17" s="106">
        <f>105.4/1.043</f>
        <v>101.05465004793865</v>
      </c>
      <c r="P17" s="103">
        <f>106/1.041</f>
        <v>101.82516810758887</v>
      </c>
      <c r="Q17" s="106">
        <f>105.2/1.042</f>
        <v>100.95969289827255</v>
      </c>
      <c r="R17" s="103">
        <f>105.9/1.04</f>
        <v>101.82692307692308</v>
      </c>
    </row>
    <row r="18" spans="1:18" ht="30" customHeight="1" x14ac:dyDescent="0.3">
      <c r="A18" s="9" t="s">
        <v>6</v>
      </c>
      <c r="B18" s="85" t="s">
        <v>23</v>
      </c>
      <c r="C18" s="108">
        <v>6617</v>
      </c>
      <c r="D18" s="108">
        <v>6938.9</v>
      </c>
      <c r="E18" s="108">
        <f>6739+227.3</f>
        <v>6966.3</v>
      </c>
      <c r="F18" s="108">
        <f>(3016.8+66.9)*2</f>
        <v>6167.4000000000005</v>
      </c>
      <c r="G18" s="108">
        <v>6444.9</v>
      </c>
      <c r="H18" s="108">
        <f>G18*1.017</f>
        <v>6554.4632999999994</v>
      </c>
      <c r="I18" s="108">
        <f>1.049*G18</f>
        <v>6760.7000999999991</v>
      </c>
      <c r="J18" s="108">
        <f>H18*1.068</f>
        <v>7000.1668043999998</v>
      </c>
      <c r="K18" s="108">
        <f>I18*1.051</f>
        <v>7105.4958050999985</v>
      </c>
      <c r="L18" s="108">
        <f>J18*1.055</f>
        <v>7385.1759786419998</v>
      </c>
      <c r="M18" s="108">
        <f>K18*1.055</f>
        <v>7496.2980743804983</v>
      </c>
      <c r="N18" s="108">
        <f>L18*1.058</f>
        <v>7813.5161854032358</v>
      </c>
      <c r="O18" s="108">
        <f>1.057*M18</f>
        <v>7923.5870646201865</v>
      </c>
      <c r="P18" s="108">
        <f>N18*1.059</f>
        <v>8274.5136403420256</v>
      </c>
      <c r="Q18" s="108">
        <f>O18*1.057</f>
        <v>8375.2315273035365</v>
      </c>
      <c r="R18" s="108">
        <f>P18*1.059</f>
        <v>8762.7099451222039</v>
      </c>
    </row>
    <row r="19" spans="1:18" ht="23.4" customHeight="1" x14ac:dyDescent="0.3">
      <c r="A19" s="7" t="s">
        <v>62</v>
      </c>
      <c r="B19" s="85" t="s">
        <v>0</v>
      </c>
      <c r="C19" s="108">
        <f>103.9/1.04</f>
        <v>99.90384615384616</v>
      </c>
      <c r="D19" s="108">
        <v>101.1</v>
      </c>
      <c r="E19" s="108">
        <v>100.4</v>
      </c>
      <c r="F19" s="108">
        <v>91.5</v>
      </c>
      <c r="G19" s="108">
        <f>104.5/1.038</f>
        <v>100.67437379576107</v>
      </c>
      <c r="H19" s="108">
        <f>106.3/1.036</f>
        <v>102.6061776061776</v>
      </c>
      <c r="I19" s="108">
        <f>104.9/1.039</f>
        <v>100.96246390760348</v>
      </c>
      <c r="J19" s="109">
        <f>106.8/1.039</f>
        <v>102.79114533205005</v>
      </c>
      <c r="K19" s="108">
        <f>105.1/1.04</f>
        <v>101.05769230769229</v>
      </c>
      <c r="L19" s="108">
        <f>105.5/1.04</f>
        <v>101.44230769230769</v>
      </c>
      <c r="M19" s="108">
        <f>105.5/1.04</f>
        <v>101.44230769230769</v>
      </c>
      <c r="N19" s="109">
        <f>105.8/1.04</f>
        <v>101.73076923076923</v>
      </c>
      <c r="O19" s="110">
        <f>105.7/1.039</f>
        <v>101.73243503368624</v>
      </c>
      <c r="P19" s="109">
        <f>105.9/1.04</f>
        <v>101.82692307692308</v>
      </c>
      <c r="Q19" s="110">
        <f>105.7/1.039</f>
        <v>101.73243503368624</v>
      </c>
      <c r="R19" s="109">
        <f>105.9/1.04</f>
        <v>101.82692307692308</v>
      </c>
    </row>
    <row r="20" spans="1:18" ht="48.6" customHeight="1" x14ac:dyDescent="0.3">
      <c r="A20" s="192" t="s">
        <v>14</v>
      </c>
      <c r="B20" s="112" t="s">
        <v>1</v>
      </c>
      <c r="C20" s="102">
        <v>13382</v>
      </c>
      <c r="D20" s="102">
        <v>13009</v>
      </c>
      <c r="E20" s="102">
        <v>13470</v>
      </c>
      <c r="F20" s="102">
        <v>13504</v>
      </c>
      <c r="G20" s="102">
        <v>13612</v>
      </c>
      <c r="H20" s="102">
        <f>G20*1.001</f>
        <v>13625.611999999999</v>
      </c>
      <c r="I20" s="102">
        <f>G20*1.001</f>
        <v>13625.611999999999</v>
      </c>
      <c r="J20" s="102">
        <f>I20*1.001</f>
        <v>13639.237611999997</v>
      </c>
      <c r="K20" s="102">
        <f>I20*1.004</f>
        <v>13680.114447999998</v>
      </c>
      <c r="L20" s="102">
        <f>K20*1.001</f>
        <v>13693.794562447996</v>
      </c>
      <c r="M20" s="102">
        <f>K20*1.004</f>
        <v>13734.834905791999</v>
      </c>
      <c r="N20" s="102">
        <f>M20*1.001</f>
        <v>13748.569740697789</v>
      </c>
      <c r="O20" s="102">
        <f>M20*1.001</f>
        <v>13748.569740697789</v>
      </c>
      <c r="P20" s="101">
        <f>O20*1.001</f>
        <v>13762.318310438484</v>
      </c>
      <c r="Q20" s="102">
        <f>O20*1.002</f>
        <v>13776.066880179183</v>
      </c>
      <c r="R20" s="102">
        <f>Q20*1.002</f>
        <v>13803.619013939542</v>
      </c>
    </row>
    <row r="21" spans="1:18" ht="21.6" customHeight="1" x14ac:dyDescent="0.3">
      <c r="A21" s="7" t="s">
        <v>62</v>
      </c>
      <c r="B21" s="112" t="s">
        <v>0</v>
      </c>
      <c r="C21" s="104">
        <v>96.7</v>
      </c>
      <c r="D21" s="105">
        <f>D20/C20*100</f>
        <v>97.212673740845915</v>
      </c>
      <c r="E21" s="103">
        <f>E20/D20*100</f>
        <v>103.54370051502806</v>
      </c>
      <c r="F21" s="103">
        <f>F20/E20*100</f>
        <v>100.25241276911656</v>
      </c>
      <c r="G21" s="106">
        <f>G20/E20*100</f>
        <v>101.05419450631032</v>
      </c>
      <c r="H21" s="103">
        <f t="shared" ref="H21" si="0">H20/E20*100</f>
        <v>101.15524870081663</v>
      </c>
      <c r="I21" s="113">
        <f t="shared" ref="I21" si="1">I20/G20*100</f>
        <v>100.1</v>
      </c>
      <c r="J21" s="103">
        <f t="shared" ref="J21" si="2">J20/H20*100</f>
        <v>100.1</v>
      </c>
      <c r="K21" s="106">
        <f t="shared" ref="K21" si="3">K20/I20*100</f>
        <v>100.4</v>
      </c>
      <c r="L21" s="103">
        <f t="shared" ref="L21" si="4">L20/J20*100</f>
        <v>100.4</v>
      </c>
      <c r="M21" s="106">
        <f t="shared" ref="M21" si="5">M20/K20*100</f>
        <v>100.4</v>
      </c>
      <c r="N21" s="103">
        <f t="shared" ref="N21" si="6">N20/L20*100</f>
        <v>100.4</v>
      </c>
      <c r="O21" s="106">
        <f t="shared" ref="O21" si="7">O20/M20*100</f>
        <v>100.1</v>
      </c>
      <c r="P21" s="103">
        <f t="shared" ref="P21" si="8">P20/N20*100</f>
        <v>100.1</v>
      </c>
      <c r="Q21" s="106">
        <f t="shared" ref="Q21" si="9">Q20/O20*100</f>
        <v>100.2</v>
      </c>
      <c r="R21" s="103">
        <f t="shared" ref="R21" si="10">R20/P20*100</f>
        <v>100.30009990009991</v>
      </c>
    </row>
    <row r="22" spans="1:18" ht="47.4" customHeight="1" x14ac:dyDescent="0.3">
      <c r="A22" s="200" t="s">
        <v>12</v>
      </c>
      <c r="B22" s="100" t="s">
        <v>26</v>
      </c>
      <c r="C22" s="108">
        <v>29096.9</v>
      </c>
      <c r="D22" s="108">
        <v>32458</v>
      </c>
      <c r="E22" s="108">
        <v>33398.5</v>
      </c>
      <c r="F22" s="108">
        <v>35080</v>
      </c>
      <c r="G22" s="108">
        <f>E22*1.054</f>
        <v>35202.019</v>
      </c>
      <c r="H22" s="108">
        <f>E22*1.055</f>
        <v>35235.417499999996</v>
      </c>
      <c r="I22" s="108">
        <f>G22*1.057</f>
        <v>37208.534082999999</v>
      </c>
      <c r="J22" s="108">
        <f>H22*1.062</f>
        <v>37420.013384999998</v>
      </c>
      <c r="K22" s="108">
        <f>I22*1.06</f>
        <v>39441.04612798</v>
      </c>
      <c r="L22" s="108">
        <f>J22*1.063</f>
        <v>39777.474228255</v>
      </c>
      <c r="M22" s="108">
        <f>K22*1.063</f>
        <v>41925.832034042738</v>
      </c>
      <c r="N22" s="108">
        <f>L22*1.066</f>
        <v>42402.78752731983</v>
      </c>
      <c r="O22" s="108">
        <f>M22*1.066</f>
        <v>44692.936948289564</v>
      </c>
      <c r="P22" s="108">
        <f>N22*1.069</f>
        <v>45328.579866704895</v>
      </c>
      <c r="Q22" s="108">
        <f>O22*1.065</f>
        <v>47597.977849928386</v>
      </c>
      <c r="R22" s="101">
        <f>P22*1.067</f>
        <v>48365.594717774118</v>
      </c>
    </row>
    <row r="23" spans="1:18" ht="23.4" customHeight="1" x14ac:dyDescent="0.3">
      <c r="A23" s="7" t="s">
        <v>62</v>
      </c>
      <c r="B23" s="100" t="s">
        <v>0</v>
      </c>
      <c r="C23" s="193">
        <v>109.1</v>
      </c>
      <c r="D23" s="193">
        <f>D22/C22*100</f>
        <v>111.55140238307173</v>
      </c>
      <c r="E23" s="193">
        <f>E22/D22*100</f>
        <v>102.89759073263912</v>
      </c>
      <c r="F23" s="193">
        <f>F22/E22*100</f>
        <v>105.03465724508585</v>
      </c>
      <c r="G23" s="193">
        <v>105.4</v>
      </c>
      <c r="H23" s="194">
        <v>105.5</v>
      </c>
      <c r="I23" s="193">
        <v>105.7</v>
      </c>
      <c r="J23" s="195">
        <v>106.2</v>
      </c>
      <c r="K23" s="193">
        <v>106</v>
      </c>
      <c r="L23" s="194">
        <v>106.3</v>
      </c>
      <c r="M23" s="193">
        <v>106.3</v>
      </c>
      <c r="N23" s="194">
        <v>106.6</v>
      </c>
      <c r="O23" s="193">
        <v>106.6</v>
      </c>
      <c r="P23" s="194">
        <v>106.9</v>
      </c>
      <c r="Q23" s="193">
        <v>106.5</v>
      </c>
      <c r="R23" s="194">
        <v>106.7</v>
      </c>
    </row>
    <row r="24" spans="1:18" ht="35.4" customHeight="1" x14ac:dyDescent="0.3">
      <c r="A24" s="7" t="s">
        <v>11</v>
      </c>
      <c r="B24" s="100" t="s">
        <v>23</v>
      </c>
      <c r="C24" s="101">
        <v>4672.5</v>
      </c>
      <c r="D24" s="101">
        <v>5194.3</v>
      </c>
      <c r="E24" s="101">
        <v>5398.4</v>
      </c>
      <c r="F24" s="101">
        <f>F22/1000*F20/1000*12</f>
        <v>5684.6438399999997</v>
      </c>
      <c r="G24" s="101">
        <f>G22*G20*12/1000000</f>
        <v>5750.0385915360002</v>
      </c>
      <c r="H24" s="101">
        <f t="shared" ref="H24:R24" si="11">H22*H20*12/1000000</f>
        <v>5761.2495301561185</v>
      </c>
      <c r="I24" s="101">
        <f t="shared" si="11"/>
        <v>6083.8685820448054</v>
      </c>
      <c r="J24" s="101">
        <f t="shared" si="11"/>
        <v>6124.5654480268231</v>
      </c>
      <c r="K24" s="101">
        <f t="shared" si="11"/>
        <v>6474.6962997553628</v>
      </c>
      <c r="L24" s="101">
        <f t="shared" si="11"/>
        <v>6536.454723537523</v>
      </c>
      <c r="M24" s="101">
        <f t="shared" si="11"/>
        <v>6910.1325753065103</v>
      </c>
      <c r="N24" s="101">
        <f t="shared" si="11"/>
        <v>6995.7321782321642</v>
      </c>
      <c r="O24" s="101">
        <f t="shared" si="11"/>
        <v>7373.5675266020162</v>
      </c>
      <c r="P24" s="101">
        <f t="shared" si="11"/>
        <v>7485.9161362287123</v>
      </c>
      <c r="Q24" s="101">
        <f t="shared" si="11"/>
        <v>7868.5551146628095</v>
      </c>
      <c r="R24" s="101">
        <f t="shared" si="11"/>
        <v>8011.4429144011292</v>
      </c>
    </row>
    <row r="25" spans="1:18" ht="23.4" customHeight="1" x14ac:dyDescent="0.3">
      <c r="A25" s="7" t="s">
        <v>62</v>
      </c>
      <c r="B25" s="85" t="s">
        <v>0</v>
      </c>
      <c r="C25" s="108">
        <v>105.5</v>
      </c>
      <c r="D25" s="108">
        <f>D24/C24*100</f>
        <v>111.16746923488496</v>
      </c>
      <c r="E25" s="108">
        <f>E24/D24*100</f>
        <v>103.9293071251179</v>
      </c>
      <c r="F25" s="108">
        <f>F24/E24*100</f>
        <v>105.30238292827505</v>
      </c>
      <c r="G25" s="108">
        <f>G24/E24*100</f>
        <v>106.5137557708951</v>
      </c>
      <c r="H25" s="108">
        <f>H24/E24*100</f>
        <v>106.72142727764002</v>
      </c>
      <c r="I25" s="108">
        <f t="shared" ref="I25:R25" si="12">I24/G24*100</f>
        <v>105.8057</v>
      </c>
      <c r="J25" s="109">
        <f t="shared" si="12"/>
        <v>106.30619999999999</v>
      </c>
      <c r="K25" s="108">
        <f t="shared" si="12"/>
        <v>106.42399999999998</v>
      </c>
      <c r="L25" s="108">
        <f t="shared" si="12"/>
        <v>106.72520000000002</v>
      </c>
      <c r="M25" s="108">
        <f t="shared" si="12"/>
        <v>106.72519999999999</v>
      </c>
      <c r="N25" s="109">
        <f t="shared" si="12"/>
        <v>107.02640000000001</v>
      </c>
      <c r="O25" s="110">
        <f t="shared" si="12"/>
        <v>106.70659999999998</v>
      </c>
      <c r="P25" s="109">
        <f t="shared" si="12"/>
        <v>107.00689999999997</v>
      </c>
      <c r="Q25" s="110">
        <f t="shared" si="12"/>
        <v>106.71299999999999</v>
      </c>
      <c r="R25" s="109">
        <f t="shared" si="12"/>
        <v>107.02020659340661</v>
      </c>
    </row>
    <row r="26" spans="1:18" ht="30" customHeight="1" x14ac:dyDescent="0.3">
      <c r="A26" s="9" t="s">
        <v>13</v>
      </c>
      <c r="B26" s="100" t="s">
        <v>78</v>
      </c>
      <c r="C26" s="104">
        <v>75.3</v>
      </c>
      <c r="D26" s="104">
        <v>76.7</v>
      </c>
      <c r="E26" s="109">
        <v>78.5</v>
      </c>
      <c r="F26" s="109">
        <f>(79470+1000+79470)/2/1000</f>
        <v>79.97</v>
      </c>
      <c r="G26" s="110">
        <v>80.3</v>
      </c>
      <c r="H26" s="111">
        <v>80.3</v>
      </c>
      <c r="I26" s="110">
        <v>83.5</v>
      </c>
      <c r="J26" s="111">
        <v>83.5</v>
      </c>
      <c r="K26" s="110">
        <v>86.4</v>
      </c>
      <c r="L26" s="103">
        <v>86.4</v>
      </c>
      <c r="M26" s="106">
        <v>87.6</v>
      </c>
      <c r="N26" s="103">
        <v>87.6</v>
      </c>
      <c r="O26" s="106">
        <v>88.8</v>
      </c>
      <c r="P26" s="103">
        <v>88.8</v>
      </c>
      <c r="Q26" s="106">
        <v>90</v>
      </c>
      <c r="R26" s="103">
        <v>90</v>
      </c>
    </row>
    <row r="27" spans="1:18" ht="31.2" customHeight="1" x14ac:dyDescent="0.3">
      <c r="A27" s="7" t="s">
        <v>15</v>
      </c>
      <c r="B27" s="100" t="s">
        <v>1</v>
      </c>
      <c r="C27" s="104">
        <v>232</v>
      </c>
      <c r="D27" s="104">
        <v>182</v>
      </c>
      <c r="E27" s="107">
        <v>205</v>
      </c>
      <c r="F27" s="189">
        <v>1500</v>
      </c>
      <c r="G27" s="189">
        <f>0.93*F27</f>
        <v>1395</v>
      </c>
      <c r="H27" s="189">
        <f>G27*0.91</f>
        <v>1269.45</v>
      </c>
      <c r="I27" s="189">
        <f>0.91*G27</f>
        <v>1269.45</v>
      </c>
      <c r="J27" s="189">
        <f>0.93*I27</f>
        <v>1180.5885000000001</v>
      </c>
      <c r="K27" s="189">
        <f>0.96*J27</f>
        <v>1133.3649600000001</v>
      </c>
      <c r="L27" s="189">
        <f>0.972*K27</f>
        <v>1101.63074112</v>
      </c>
      <c r="M27" s="189">
        <f>0.89*K27</f>
        <v>1008.6948144000002</v>
      </c>
      <c r="N27" s="189">
        <v>1005</v>
      </c>
      <c r="O27" s="191">
        <f>0.98*M27</f>
        <v>988.52091811200012</v>
      </c>
      <c r="P27" s="114">
        <f>0.972*O27</f>
        <v>960.84233240486412</v>
      </c>
      <c r="Q27" s="115">
        <f>0.98*O27</f>
        <v>968.75049974976014</v>
      </c>
      <c r="R27" s="114">
        <f>0.972*Q27</f>
        <v>941.62548575676681</v>
      </c>
    </row>
    <row r="28" spans="1:18" ht="24.6" customHeight="1" x14ac:dyDescent="0.3">
      <c r="A28" s="7" t="s">
        <v>16</v>
      </c>
      <c r="B28" s="100" t="s">
        <v>0</v>
      </c>
      <c r="C28" s="104">
        <v>0.57999999999999996</v>
      </c>
      <c r="D28" s="104">
        <v>0.44</v>
      </c>
      <c r="E28" s="107">
        <v>0.49</v>
      </c>
      <c r="F28" s="117">
        <v>3.72</v>
      </c>
      <c r="G28" s="116">
        <f>0.93*F28</f>
        <v>3.4596000000000005</v>
      </c>
      <c r="H28" s="107">
        <v>3.14</v>
      </c>
      <c r="I28" s="116">
        <f>0.91*G28</f>
        <v>3.1482360000000007</v>
      </c>
      <c r="J28" s="107">
        <v>2.95</v>
      </c>
      <c r="K28" s="113">
        <v>2.86</v>
      </c>
      <c r="L28" s="107">
        <v>2.85</v>
      </c>
      <c r="M28" s="116">
        <f>0.98*K28</f>
        <v>2.8028</v>
      </c>
      <c r="N28" s="107">
        <v>2.78</v>
      </c>
      <c r="O28" s="190">
        <f>0.98*M28</f>
        <v>2.7467440000000001</v>
      </c>
      <c r="P28" s="117">
        <f>0.978*O28</f>
        <v>2.6863156319999999</v>
      </c>
      <c r="Q28" s="116">
        <f>0.98*O28</f>
        <v>2.6918091199999998</v>
      </c>
      <c r="R28" s="117">
        <f>0.957*Q28</f>
        <v>2.5760613278399997</v>
      </c>
    </row>
    <row r="30" spans="1:18" ht="15.6" x14ac:dyDescent="0.3">
      <c r="D30" s="98"/>
    </row>
  </sheetData>
  <mergeCells count="19">
    <mergeCell ref="A9:R9"/>
    <mergeCell ref="K12:L12"/>
    <mergeCell ref="M12:N12"/>
    <mergeCell ref="O12:P12"/>
    <mergeCell ref="Q12:R12"/>
    <mergeCell ref="A10:R10"/>
    <mergeCell ref="A12:A13"/>
    <mergeCell ref="B12:B13"/>
    <mergeCell ref="C12:C13"/>
    <mergeCell ref="D12:D13"/>
    <mergeCell ref="E12:E13"/>
    <mergeCell ref="G12:H12"/>
    <mergeCell ref="I12:J12"/>
    <mergeCell ref="F12:F13"/>
    <mergeCell ref="O4:R4"/>
    <mergeCell ref="O3:R3"/>
    <mergeCell ref="O5:R5"/>
    <mergeCell ref="O6:R6"/>
    <mergeCell ref="O7:R7"/>
  </mergeCells>
  <pageMargins left="0.59055118110236227" right="0.59055118110236227" top="1.3779527559055118" bottom="0.59055118110236227" header="0" footer="0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8"/>
  <sheetViews>
    <sheetView tabSelected="1" view="pageLayout" topLeftCell="A2" zoomScaleNormal="70" workbookViewId="0">
      <selection activeCell="B14" sqref="B14"/>
    </sheetView>
  </sheetViews>
  <sheetFormatPr defaultRowHeight="14.4" x14ac:dyDescent="0.3"/>
  <cols>
    <col min="1" max="1" width="34.6640625" customWidth="1"/>
    <col min="2" max="2" width="6.44140625" customWidth="1"/>
    <col min="3" max="3" width="9.5546875" hidden="1" customWidth="1"/>
    <col min="4" max="4" width="8.6640625" customWidth="1"/>
    <col min="5" max="5" width="8.5546875" customWidth="1"/>
    <col min="6" max="6" width="8.77734375" customWidth="1"/>
    <col min="7" max="7" width="8.6640625" customWidth="1"/>
    <col min="8" max="14" width="8.77734375" customWidth="1"/>
    <col min="15" max="16" width="8.6640625" customWidth="1"/>
    <col min="17" max="17" width="8.77734375" customWidth="1"/>
  </cols>
  <sheetData>
    <row r="3" spans="1:18" ht="14.4" customHeight="1" x14ac:dyDescent="0.3">
      <c r="N3" s="257" t="s">
        <v>73</v>
      </c>
      <c r="O3" s="257"/>
      <c r="P3" s="257"/>
      <c r="Q3" s="257"/>
    </row>
    <row r="4" spans="1:18" ht="14.4" customHeight="1" x14ac:dyDescent="0.3">
      <c r="N4" s="257" t="s">
        <v>96</v>
      </c>
      <c r="O4" s="257"/>
      <c r="P4" s="257"/>
      <c r="Q4" s="257"/>
    </row>
    <row r="5" spans="1:18" ht="15.6" x14ac:dyDescent="0.3">
      <c r="N5" s="257" t="s">
        <v>75</v>
      </c>
      <c r="O5" s="257"/>
      <c r="P5" s="257"/>
      <c r="Q5" s="257"/>
    </row>
    <row r="6" spans="1:18" ht="15.6" x14ac:dyDescent="0.3">
      <c r="N6" s="257" t="s">
        <v>95</v>
      </c>
      <c r="O6" s="257"/>
      <c r="P6" s="257"/>
      <c r="Q6" s="257"/>
    </row>
    <row r="7" spans="1:18" ht="15.6" x14ac:dyDescent="0.3">
      <c r="N7" s="257" t="s">
        <v>77</v>
      </c>
      <c r="O7" s="257"/>
      <c r="P7" s="257"/>
      <c r="Q7" s="257"/>
    </row>
    <row r="8" spans="1:18" ht="15.6" x14ac:dyDescent="0.3">
      <c r="N8" s="199"/>
      <c r="O8" s="199"/>
      <c r="P8" s="199"/>
      <c r="Q8" s="199"/>
    </row>
    <row r="9" spans="1:18" ht="15.6" customHeight="1" x14ac:dyDescent="0.3">
      <c r="A9" s="211" t="s">
        <v>79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198"/>
    </row>
    <row r="10" spans="1:18" ht="19.2" customHeight="1" x14ac:dyDescent="0.3">
      <c r="A10" s="211" t="s">
        <v>94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</row>
    <row r="12" spans="1:18" ht="35.4" customHeight="1" x14ac:dyDescent="0.3">
      <c r="A12" s="235" t="s">
        <v>39</v>
      </c>
      <c r="B12" s="237" t="s">
        <v>99</v>
      </c>
      <c r="C12" s="213" t="s">
        <v>72</v>
      </c>
      <c r="D12" s="213" t="s">
        <v>82</v>
      </c>
      <c r="E12" s="232" t="s">
        <v>81</v>
      </c>
      <c r="F12" s="260" t="s">
        <v>83</v>
      </c>
      <c r="G12" s="261"/>
      <c r="H12" s="260" t="s">
        <v>84</v>
      </c>
      <c r="I12" s="261"/>
      <c r="J12" s="258" t="s">
        <v>85</v>
      </c>
      <c r="K12" s="259"/>
      <c r="L12" s="258" t="s">
        <v>86</v>
      </c>
      <c r="M12" s="259"/>
      <c r="N12" s="260" t="s">
        <v>87</v>
      </c>
      <c r="O12" s="261"/>
      <c r="P12" s="260" t="s">
        <v>88</v>
      </c>
      <c r="Q12" s="261"/>
    </row>
    <row r="13" spans="1:18" ht="40.799999999999997" customHeight="1" x14ac:dyDescent="0.3">
      <c r="A13" s="235"/>
      <c r="B13" s="237"/>
      <c r="C13" s="213"/>
      <c r="D13" s="213"/>
      <c r="E13" s="220"/>
      <c r="F13" s="197" t="s">
        <v>97</v>
      </c>
      <c r="G13" s="196" t="s">
        <v>98</v>
      </c>
      <c r="H13" s="202" t="s">
        <v>97</v>
      </c>
      <c r="I13" s="201" t="s">
        <v>98</v>
      </c>
      <c r="J13" s="202" t="s">
        <v>97</v>
      </c>
      <c r="K13" s="201" t="s">
        <v>98</v>
      </c>
      <c r="L13" s="202" t="s">
        <v>97</v>
      </c>
      <c r="M13" s="201" t="s">
        <v>98</v>
      </c>
      <c r="N13" s="202" t="s">
        <v>97</v>
      </c>
      <c r="O13" s="201" t="s">
        <v>98</v>
      </c>
      <c r="P13" s="202" t="s">
        <v>97</v>
      </c>
      <c r="Q13" s="201" t="s">
        <v>98</v>
      </c>
    </row>
    <row r="14" spans="1:18" ht="66.599999999999994" customHeight="1" x14ac:dyDescent="0.3">
      <c r="A14" s="7" t="s">
        <v>59</v>
      </c>
      <c r="B14" s="100" t="s">
        <v>23</v>
      </c>
      <c r="C14" s="101" t="e">
        <f>#REF!/1.164</f>
        <v>#REF!</v>
      </c>
      <c r="D14" s="101">
        <v>20229.763999999999</v>
      </c>
      <c r="E14" s="101">
        <f>8077.793*2.2</f>
        <v>17771.1446</v>
      </c>
      <c r="F14" s="101">
        <f>E14*1.07</f>
        <v>19015.124722</v>
      </c>
      <c r="G14" s="108">
        <f>F14*1.009</f>
        <v>19186.260844498</v>
      </c>
      <c r="H14" s="108">
        <f>F14*1.063</f>
        <v>20213.077579485998</v>
      </c>
      <c r="I14" s="108">
        <f>H14*1.003</f>
        <v>20273.716812224455</v>
      </c>
      <c r="J14" s="108">
        <f>H14*1.045</f>
        <v>21122.666070562867</v>
      </c>
      <c r="K14" s="108">
        <f>I14*1.053</f>
        <v>21348.223803272351</v>
      </c>
      <c r="L14" s="108">
        <f>J14*1.046</f>
        <v>22094.30870980876</v>
      </c>
      <c r="M14" s="108">
        <f>L14*1.007</f>
        <v>22248.968870777418</v>
      </c>
      <c r="N14" s="108">
        <f>L14*1.046</f>
        <v>23110.646910459964</v>
      </c>
      <c r="O14" s="108">
        <f>N14*1.007</f>
        <v>23272.421438833182</v>
      </c>
      <c r="P14" s="108">
        <f>N14*1.045</f>
        <v>24150.62602143066</v>
      </c>
      <c r="Q14" s="108">
        <f>P14*1.004</f>
        <v>24247.228525516384</v>
      </c>
    </row>
    <row r="15" spans="1:18" ht="23.4" customHeight="1" x14ac:dyDescent="0.3">
      <c r="A15" s="7" t="s">
        <v>62</v>
      </c>
      <c r="B15" s="100" t="s">
        <v>0</v>
      </c>
      <c r="C15" s="101">
        <f>108.7/1.025</f>
        <v>106.04878048780489</v>
      </c>
      <c r="D15" s="101">
        <f>93.6/97.9*100</f>
        <v>95.607763023493348</v>
      </c>
      <c r="E15" s="101">
        <f>87.8/98.3*100</f>
        <v>89.31841302136317</v>
      </c>
      <c r="F15" s="101">
        <f>107/1.055</f>
        <v>101.42180094786731</v>
      </c>
      <c r="G15" s="101">
        <f>107.9/1.06</f>
        <v>101.79245283018868</v>
      </c>
      <c r="H15" s="101">
        <f>106.3/1.042</f>
        <v>102.01535508637235</v>
      </c>
      <c r="I15" s="101">
        <f>106.6/1.038</f>
        <v>102.69749518304431</v>
      </c>
      <c r="J15" s="102">
        <f>104.5/104.5*100</f>
        <v>100</v>
      </c>
      <c r="K15" s="101">
        <f>105.3/1.044</f>
        <v>100.86206896551724</v>
      </c>
      <c r="L15" s="101">
        <f>104.6/104.5*100</f>
        <v>100.09569377990431</v>
      </c>
      <c r="M15" s="101">
        <f>105.3/1.043</f>
        <v>100.95877277085332</v>
      </c>
      <c r="N15" s="101">
        <f>104.6/1.045</f>
        <v>100.09569377990431</v>
      </c>
      <c r="O15" s="102">
        <f>105.3/1.043</f>
        <v>100.95877277085332</v>
      </c>
      <c r="P15" s="102">
        <f>104.5/1.045</f>
        <v>100</v>
      </c>
      <c r="Q15" s="103">
        <f>104.9/1.041</f>
        <v>100.76849183477427</v>
      </c>
    </row>
    <row r="16" spans="1:18" ht="47.4" customHeight="1" x14ac:dyDescent="0.3">
      <c r="A16" s="7" t="s">
        <v>92</v>
      </c>
      <c r="B16" s="100" t="s">
        <v>23</v>
      </c>
      <c r="C16" s="101">
        <v>1502</v>
      </c>
      <c r="D16" s="101">
        <v>1873.325</v>
      </c>
      <c r="E16" s="101">
        <f>770.8*2.663</f>
        <v>2052.6403999999998</v>
      </c>
      <c r="F16" s="101">
        <v>2265.6999999999998</v>
      </c>
      <c r="G16" s="108">
        <f>F16*1.018</f>
        <v>2306.4825999999998</v>
      </c>
      <c r="H16" s="101">
        <f>F16+471</f>
        <v>2736.7</v>
      </c>
      <c r="I16" s="108">
        <v>2790.9</v>
      </c>
      <c r="J16" s="101">
        <f>(291+44+F16)*1.04+230</f>
        <v>2934.7280000000001</v>
      </c>
      <c r="K16" s="101">
        <v>3014.2</v>
      </c>
      <c r="L16" s="101">
        <f>(281+44+F16)*1.04+380</f>
        <v>3074.328</v>
      </c>
      <c r="M16" s="101">
        <f>L16*1.014</f>
        <v>3117.3685919999998</v>
      </c>
      <c r="N16" s="101">
        <f>L16*1.044+30</f>
        <v>3239.5984320000002</v>
      </c>
      <c r="O16" s="102">
        <f>N16*1.01+20</f>
        <v>3291.9944163200003</v>
      </c>
      <c r="P16" s="101">
        <f>N16*1.052</f>
        <v>3408.0575504640005</v>
      </c>
      <c r="Q16" s="101">
        <f>P16*1.01+25</f>
        <v>3467.1381259686405</v>
      </c>
    </row>
    <row r="17" spans="1:17" ht="23.4" customHeight="1" x14ac:dyDescent="0.3">
      <c r="A17" s="7" t="s">
        <v>62</v>
      </c>
      <c r="B17" s="100" t="s">
        <v>0</v>
      </c>
      <c r="C17" s="105">
        <f>83.2/1.037</f>
        <v>80.231436837029904</v>
      </c>
      <c r="D17" s="114">
        <v>105</v>
      </c>
      <c r="E17" s="103">
        <f>109.6/1.056</f>
        <v>103.78787878787878</v>
      </c>
      <c r="F17" s="106">
        <f>110.4/1.052</f>
        <v>104.94296577946768</v>
      </c>
      <c r="G17" s="103">
        <f>112.4/1.056</f>
        <v>106.43939393939394</v>
      </c>
      <c r="H17" s="106">
        <f>120.7/1.049</f>
        <v>115.06196377502384</v>
      </c>
      <c r="I17" s="103">
        <f>121/1.046</f>
        <v>115.67877629063096</v>
      </c>
      <c r="J17" s="106">
        <f>107.2/1.048</f>
        <v>102.29007633587786</v>
      </c>
      <c r="K17" s="103">
        <f>108/1.048</f>
        <v>103.05343511450381</v>
      </c>
      <c r="L17" s="106">
        <f>105.8/1.044</f>
        <v>101.34099616858236</v>
      </c>
      <c r="M17" s="103">
        <f>105.9/1.043</f>
        <v>101.5340364333653</v>
      </c>
      <c r="N17" s="106">
        <f>105.4/1.043</f>
        <v>101.05465004793865</v>
      </c>
      <c r="O17" s="103">
        <f>106/1.041</f>
        <v>101.82516810758887</v>
      </c>
      <c r="P17" s="115">
        <f>105.2/1.042</f>
        <v>100.95969289827255</v>
      </c>
      <c r="Q17" s="103">
        <f>105.9/1.04</f>
        <v>101.82692307692308</v>
      </c>
    </row>
    <row r="18" spans="1:17" ht="30" customHeight="1" x14ac:dyDescent="0.3">
      <c r="A18" s="9" t="s">
        <v>6</v>
      </c>
      <c r="B18" s="85" t="s">
        <v>23</v>
      </c>
      <c r="C18" s="108">
        <v>6617</v>
      </c>
      <c r="D18" s="108">
        <f>6739+227.3</f>
        <v>6966.3</v>
      </c>
      <c r="E18" s="108">
        <f>(3016.8+66.9)*2</f>
        <v>6167.4000000000005</v>
      </c>
      <c r="F18" s="108">
        <v>6444.9</v>
      </c>
      <c r="G18" s="108">
        <f>F18*1.017</f>
        <v>6554.4632999999994</v>
      </c>
      <c r="H18" s="108">
        <v>6760.7000999999991</v>
      </c>
      <c r="I18" s="108">
        <v>7000.1668043999998</v>
      </c>
      <c r="J18" s="108">
        <f>H18*1.051</f>
        <v>7105.4958050999985</v>
      </c>
      <c r="K18" s="108">
        <f>I18*1.055</f>
        <v>7385.1759786419998</v>
      </c>
      <c r="L18" s="108">
        <f>J18*1.055</f>
        <v>7496.2980743804983</v>
      </c>
      <c r="M18" s="108">
        <f>K18*1.058</f>
        <v>7813.5161854032358</v>
      </c>
      <c r="N18" s="108">
        <f>1.057*L18</f>
        <v>7923.5870646201865</v>
      </c>
      <c r="O18" s="108">
        <f>M18*1.059</f>
        <v>8274.5136403420256</v>
      </c>
      <c r="P18" s="108">
        <f>N18*1.057</f>
        <v>8375.2315273035365</v>
      </c>
      <c r="Q18" s="108">
        <f>O18*1.059</f>
        <v>8762.7099451222039</v>
      </c>
    </row>
    <row r="19" spans="1:17" ht="23.4" customHeight="1" x14ac:dyDescent="0.3">
      <c r="A19" s="7" t="s">
        <v>62</v>
      </c>
      <c r="B19" s="85" t="s">
        <v>0</v>
      </c>
      <c r="C19" s="108">
        <f>103.9/1.04</f>
        <v>99.90384615384616</v>
      </c>
      <c r="D19" s="108">
        <v>100.4</v>
      </c>
      <c r="E19" s="108">
        <v>91.5</v>
      </c>
      <c r="F19" s="108">
        <f>104.5/1.038</f>
        <v>100.67437379576107</v>
      </c>
      <c r="G19" s="108">
        <f>106.3/1.036</f>
        <v>102.6061776061776</v>
      </c>
      <c r="H19" s="189">
        <v>100.96246390760348</v>
      </c>
      <c r="I19" s="109">
        <v>102.79114533205005</v>
      </c>
      <c r="J19" s="108">
        <f>105.1/1.04</f>
        <v>101.05769230769229</v>
      </c>
      <c r="K19" s="108">
        <f>105.5/1.04</f>
        <v>101.44230769230769</v>
      </c>
      <c r="L19" s="108">
        <f>105.5/1.04</f>
        <v>101.44230769230769</v>
      </c>
      <c r="M19" s="109">
        <f>105.8/1.04</f>
        <v>101.73076923076923</v>
      </c>
      <c r="N19" s="110">
        <f>105.7/1.039</f>
        <v>101.73243503368624</v>
      </c>
      <c r="O19" s="109">
        <f>105.9/1.04</f>
        <v>101.82692307692308</v>
      </c>
      <c r="P19" s="110">
        <f>105.7/1.039</f>
        <v>101.73243503368624</v>
      </c>
      <c r="Q19" s="109">
        <f>105.9/1.04</f>
        <v>101.82692307692308</v>
      </c>
    </row>
    <row r="20" spans="1:17" ht="63" customHeight="1" x14ac:dyDescent="0.3">
      <c r="A20" s="7" t="s">
        <v>14</v>
      </c>
      <c r="B20" s="112" t="s">
        <v>1</v>
      </c>
      <c r="C20" s="102">
        <v>13382</v>
      </c>
      <c r="D20" s="102">
        <v>13470</v>
      </c>
      <c r="E20" s="102">
        <v>13504</v>
      </c>
      <c r="F20" s="102">
        <v>13612</v>
      </c>
      <c r="G20" s="102">
        <f>F20*1.001</f>
        <v>13625.611999999999</v>
      </c>
      <c r="H20" s="102">
        <f>F20*1.001</f>
        <v>13625.611999999999</v>
      </c>
      <c r="I20" s="102">
        <f>H20*1.001</f>
        <v>13639.237611999997</v>
      </c>
      <c r="J20" s="102">
        <f>H20*1.004</f>
        <v>13680.114447999998</v>
      </c>
      <c r="K20" s="102">
        <f>J20*1.001</f>
        <v>13693.794562447996</v>
      </c>
      <c r="L20" s="102">
        <f>J20*1.004</f>
        <v>13734.834905791999</v>
      </c>
      <c r="M20" s="102">
        <f>L20*1.001</f>
        <v>13748.569740697789</v>
      </c>
      <c r="N20" s="102">
        <f>L20*1.001</f>
        <v>13748.569740697789</v>
      </c>
      <c r="O20" s="102">
        <f>N20*1.001</f>
        <v>13762.318310438484</v>
      </c>
      <c r="P20" s="102">
        <f>N20*1.002</f>
        <v>13776.066880179183</v>
      </c>
      <c r="Q20" s="102">
        <f>P20*1.002</f>
        <v>13803.619013939542</v>
      </c>
    </row>
    <row r="21" spans="1:17" ht="21.6" customHeight="1" x14ac:dyDescent="0.3">
      <c r="A21" s="7" t="s">
        <v>62</v>
      </c>
      <c r="B21" s="112" t="s">
        <v>0</v>
      </c>
      <c r="C21" s="104">
        <v>96.7</v>
      </c>
      <c r="D21" s="103">
        <v>103.5</v>
      </c>
      <c r="E21" s="103">
        <f>E20/D20*100</f>
        <v>100.25241276911656</v>
      </c>
      <c r="F21" s="106">
        <f>F20/D20*100</f>
        <v>101.05419450631032</v>
      </c>
      <c r="G21" s="103">
        <f t="shared" ref="G21" si="0">G20/D20*100</f>
        <v>101.15524870081663</v>
      </c>
      <c r="H21" s="113">
        <f t="shared" ref="H21:Q21" si="1">H20/F20*100</f>
        <v>100.1</v>
      </c>
      <c r="I21" s="103">
        <f t="shared" si="1"/>
        <v>100.1</v>
      </c>
      <c r="J21" s="106">
        <f t="shared" si="1"/>
        <v>100.4</v>
      </c>
      <c r="K21" s="103">
        <f t="shared" si="1"/>
        <v>100.4</v>
      </c>
      <c r="L21" s="106">
        <f t="shared" si="1"/>
        <v>100.4</v>
      </c>
      <c r="M21" s="103">
        <f t="shared" si="1"/>
        <v>100.4</v>
      </c>
      <c r="N21" s="106">
        <f t="shared" si="1"/>
        <v>100.1</v>
      </c>
      <c r="O21" s="103">
        <f t="shared" si="1"/>
        <v>100.1</v>
      </c>
      <c r="P21" s="106">
        <f t="shared" si="1"/>
        <v>100.2</v>
      </c>
      <c r="Q21" s="103">
        <f t="shared" si="1"/>
        <v>100.30009990009991</v>
      </c>
    </row>
    <row r="22" spans="1:17" ht="66" customHeight="1" x14ac:dyDescent="0.3">
      <c r="A22" s="9" t="s">
        <v>93</v>
      </c>
      <c r="B22" s="100" t="s">
        <v>26</v>
      </c>
      <c r="C22" s="108">
        <v>29096.9</v>
      </c>
      <c r="D22" s="108">
        <v>33398.5</v>
      </c>
      <c r="E22" s="189">
        <v>35080</v>
      </c>
      <c r="F22" s="189">
        <f>D22*1.054</f>
        <v>35202.019</v>
      </c>
      <c r="G22" s="108">
        <f>D22*1.055</f>
        <v>35235.417499999996</v>
      </c>
      <c r="H22" s="108">
        <f>F22*1.057</f>
        <v>37208.534082999999</v>
      </c>
      <c r="I22" s="189">
        <f>G22*1.062</f>
        <v>37420.013384999998</v>
      </c>
      <c r="J22" s="189">
        <f>H22*1.06</f>
        <v>39441.04612798</v>
      </c>
      <c r="K22" s="108">
        <f>I22*1.063</f>
        <v>39777.474228255</v>
      </c>
      <c r="L22" s="108">
        <f>J22*1.063</f>
        <v>41925.832034042738</v>
      </c>
      <c r="M22" s="108">
        <f>K22*1.066</f>
        <v>42402.78752731983</v>
      </c>
      <c r="N22" s="108">
        <f>L22*1.066</f>
        <v>44692.936948289564</v>
      </c>
      <c r="O22" s="108">
        <f>M22*1.069</f>
        <v>45328.579866704895</v>
      </c>
      <c r="P22" s="189">
        <f>N22*1.065</f>
        <v>47597.977849928386</v>
      </c>
      <c r="Q22" s="101">
        <f>O22*1.067</f>
        <v>48365.594717774118</v>
      </c>
    </row>
    <row r="23" spans="1:17" ht="23.4" customHeight="1" x14ac:dyDescent="0.3">
      <c r="A23" s="7" t="s">
        <v>62</v>
      </c>
      <c r="B23" s="100" t="s">
        <v>0</v>
      </c>
      <c r="C23" s="193">
        <v>109.1</v>
      </c>
      <c r="D23" s="193">
        <v>102.9</v>
      </c>
      <c r="E23" s="203">
        <f>E22/D22*100</f>
        <v>105.03465724508585</v>
      </c>
      <c r="F23" s="193">
        <v>105.4</v>
      </c>
      <c r="G23" s="194">
        <v>105.5</v>
      </c>
      <c r="H23" s="193">
        <v>105.7</v>
      </c>
      <c r="I23" s="195">
        <v>106.2</v>
      </c>
      <c r="J23" s="203">
        <v>106</v>
      </c>
      <c r="K23" s="194">
        <v>106.3</v>
      </c>
      <c r="L23" s="193">
        <v>106.3</v>
      </c>
      <c r="M23" s="194">
        <v>106.6</v>
      </c>
      <c r="N23" s="193">
        <v>106.6</v>
      </c>
      <c r="O23" s="194">
        <v>106.9</v>
      </c>
      <c r="P23" s="193">
        <v>106.5</v>
      </c>
      <c r="Q23" s="194">
        <v>106.7</v>
      </c>
    </row>
    <row r="24" spans="1:17" ht="35.4" customHeight="1" x14ac:dyDescent="0.3">
      <c r="A24" s="7" t="s">
        <v>11</v>
      </c>
      <c r="B24" s="100" t="s">
        <v>23</v>
      </c>
      <c r="C24" s="101">
        <v>4672.5</v>
      </c>
      <c r="D24" s="101">
        <v>5398.4</v>
      </c>
      <c r="E24" s="101">
        <f>E22/1000*E20/1000*12</f>
        <v>5684.6438399999997</v>
      </c>
      <c r="F24" s="102">
        <f>F22*F20*12/1000000</f>
        <v>5750.0385915360002</v>
      </c>
      <c r="G24" s="101">
        <f t="shared" ref="G24:Q24" si="2">G22*G20*12/1000000</f>
        <v>5761.2495301561185</v>
      </c>
      <c r="H24" s="101">
        <f t="shared" si="2"/>
        <v>6083.8685820448054</v>
      </c>
      <c r="I24" s="101">
        <f t="shared" si="2"/>
        <v>6124.5654480268231</v>
      </c>
      <c r="J24" s="101">
        <f t="shared" si="2"/>
        <v>6474.6962997553628</v>
      </c>
      <c r="K24" s="101">
        <f t="shared" si="2"/>
        <v>6536.454723537523</v>
      </c>
      <c r="L24" s="101">
        <f t="shared" si="2"/>
        <v>6910.1325753065103</v>
      </c>
      <c r="M24" s="101">
        <f t="shared" si="2"/>
        <v>6995.7321782321642</v>
      </c>
      <c r="N24" s="101">
        <f t="shared" si="2"/>
        <v>7373.5675266020162</v>
      </c>
      <c r="O24" s="101">
        <f t="shared" si="2"/>
        <v>7485.9161362287123</v>
      </c>
      <c r="P24" s="101">
        <f t="shared" si="2"/>
        <v>7868.5551146628095</v>
      </c>
      <c r="Q24" s="101">
        <f t="shared" si="2"/>
        <v>8011.4429144011292</v>
      </c>
    </row>
    <row r="25" spans="1:17" ht="23.4" customHeight="1" x14ac:dyDescent="0.3">
      <c r="A25" s="7" t="s">
        <v>62</v>
      </c>
      <c r="B25" s="85" t="s">
        <v>0</v>
      </c>
      <c r="C25" s="108">
        <v>105.5</v>
      </c>
      <c r="D25" s="108">
        <v>103.9</v>
      </c>
      <c r="E25" s="108">
        <f>E24/D24*100</f>
        <v>105.30238292827505</v>
      </c>
      <c r="F25" s="108">
        <f>F24/D24*100</f>
        <v>106.5137557708951</v>
      </c>
      <c r="G25" s="108">
        <f>G24/D24*100</f>
        <v>106.72142727764002</v>
      </c>
      <c r="H25" s="108">
        <f t="shared" ref="H25:Q25" si="3">H24/F24*100</f>
        <v>105.8057</v>
      </c>
      <c r="I25" s="109">
        <f t="shared" si="3"/>
        <v>106.30619999999999</v>
      </c>
      <c r="J25" s="108">
        <f t="shared" si="3"/>
        <v>106.42399999999998</v>
      </c>
      <c r="K25" s="108">
        <f t="shared" si="3"/>
        <v>106.72520000000002</v>
      </c>
      <c r="L25" s="108">
        <f t="shared" si="3"/>
        <v>106.72519999999999</v>
      </c>
      <c r="M25" s="204">
        <f t="shared" si="3"/>
        <v>107.02640000000001</v>
      </c>
      <c r="N25" s="110">
        <f t="shared" si="3"/>
        <v>106.70659999999998</v>
      </c>
      <c r="O25" s="204">
        <f t="shared" si="3"/>
        <v>107.00689999999997</v>
      </c>
      <c r="P25" s="110">
        <f t="shared" si="3"/>
        <v>106.71299999999999</v>
      </c>
      <c r="Q25" s="204">
        <f t="shared" si="3"/>
        <v>107.02020659340661</v>
      </c>
    </row>
    <row r="26" spans="1:17" ht="30" customHeight="1" x14ac:dyDescent="0.3">
      <c r="A26" s="9" t="s">
        <v>13</v>
      </c>
      <c r="B26" s="100" t="s">
        <v>78</v>
      </c>
      <c r="C26" s="104">
        <v>75.3</v>
      </c>
      <c r="D26" s="109">
        <v>78.5</v>
      </c>
      <c r="E26" s="204">
        <f>(79470+1000+79470)/2/1000</f>
        <v>79.97</v>
      </c>
      <c r="F26" s="110">
        <v>80.3</v>
      </c>
      <c r="G26" s="111">
        <v>80.3</v>
      </c>
      <c r="H26" s="110">
        <v>83.5</v>
      </c>
      <c r="I26" s="111">
        <v>83.5</v>
      </c>
      <c r="J26" s="110">
        <v>86.4</v>
      </c>
      <c r="K26" s="103">
        <v>86.4</v>
      </c>
      <c r="L26" s="106">
        <v>87.6</v>
      </c>
      <c r="M26" s="103">
        <v>87.6</v>
      </c>
      <c r="N26" s="106">
        <v>88.8</v>
      </c>
      <c r="O26" s="103">
        <v>88.8</v>
      </c>
      <c r="P26" s="115">
        <v>90</v>
      </c>
      <c r="Q26" s="114">
        <v>90</v>
      </c>
    </row>
    <row r="27" spans="1:17" ht="31.2" customHeight="1" x14ac:dyDescent="0.3">
      <c r="A27" s="7" t="s">
        <v>15</v>
      </c>
      <c r="B27" s="100" t="s">
        <v>1</v>
      </c>
      <c r="C27" s="104">
        <v>232</v>
      </c>
      <c r="D27" s="107">
        <v>205</v>
      </c>
      <c r="E27" s="189">
        <v>1500</v>
      </c>
      <c r="F27" s="189">
        <v>1395</v>
      </c>
      <c r="G27" s="189">
        <v>1269.45</v>
      </c>
      <c r="H27" s="189">
        <f>0.91*F27</f>
        <v>1269.45</v>
      </c>
      <c r="I27" s="189">
        <f>0.93*H27</f>
        <v>1180.5885000000001</v>
      </c>
      <c r="J27" s="189">
        <f>0.96*I27</f>
        <v>1133.3649600000001</v>
      </c>
      <c r="K27" s="189">
        <f>0.972*J27</f>
        <v>1101.63074112</v>
      </c>
      <c r="L27" s="189">
        <f>0.89*J27</f>
        <v>1008.6948144000002</v>
      </c>
      <c r="M27" s="189">
        <v>1005</v>
      </c>
      <c r="N27" s="191">
        <f>0.98*L27</f>
        <v>988.52091811200012</v>
      </c>
      <c r="O27" s="114">
        <f>0.972*N27</f>
        <v>960.84233240486412</v>
      </c>
      <c r="P27" s="115">
        <f>0.98*N27</f>
        <v>968.75049974976014</v>
      </c>
      <c r="Q27" s="114">
        <f>0.972*P27</f>
        <v>941.62548575676681</v>
      </c>
    </row>
    <row r="28" spans="1:17" ht="33" customHeight="1" x14ac:dyDescent="0.3">
      <c r="A28" s="7" t="s">
        <v>16</v>
      </c>
      <c r="B28" s="100" t="s">
        <v>0</v>
      </c>
      <c r="C28" s="104">
        <v>0.57999999999999996</v>
      </c>
      <c r="D28" s="107">
        <v>0.49</v>
      </c>
      <c r="E28" s="117">
        <v>3.72</v>
      </c>
      <c r="F28" s="116">
        <f>0.93*E28</f>
        <v>3.4596000000000005</v>
      </c>
      <c r="G28" s="107">
        <v>3.14</v>
      </c>
      <c r="H28" s="116">
        <f>0.91*F28</f>
        <v>3.1482360000000007</v>
      </c>
      <c r="I28" s="107">
        <v>2.95</v>
      </c>
      <c r="J28" s="113">
        <v>2.86</v>
      </c>
      <c r="K28" s="107">
        <v>2.85</v>
      </c>
      <c r="L28" s="116">
        <f>0.98*J28</f>
        <v>2.8028</v>
      </c>
      <c r="M28" s="107">
        <v>2.78</v>
      </c>
      <c r="N28" s="190">
        <f>0.98*L28</f>
        <v>2.7467440000000001</v>
      </c>
      <c r="O28" s="117">
        <f>0.978*N28</f>
        <v>2.6863156319999999</v>
      </c>
      <c r="P28" s="116">
        <f>0.98*N28</f>
        <v>2.6918091199999998</v>
      </c>
      <c r="Q28" s="117">
        <f>0.957*P28</f>
        <v>2.5760613278399997</v>
      </c>
    </row>
  </sheetData>
  <mergeCells count="18">
    <mergeCell ref="L12:M12"/>
    <mergeCell ref="N12:O12"/>
    <mergeCell ref="P12:Q12"/>
    <mergeCell ref="A10:Q10"/>
    <mergeCell ref="A12:A13"/>
    <mergeCell ref="B12:B13"/>
    <mergeCell ref="C12:C13"/>
    <mergeCell ref="D12:D13"/>
    <mergeCell ref="E12:E13"/>
    <mergeCell ref="F12:G12"/>
    <mergeCell ref="H12:I12"/>
    <mergeCell ref="J12:K12"/>
    <mergeCell ref="A9:Q9"/>
    <mergeCell ref="N3:Q3"/>
    <mergeCell ref="N4:Q4"/>
    <mergeCell ref="N5:Q5"/>
    <mergeCell ref="N6:Q6"/>
    <mergeCell ref="N7:Q7"/>
  </mergeCells>
  <pageMargins left="0.39370078740157483" right="0.39370078740157483" top="1.3779527559055118" bottom="0.59055118110236227" header="0" footer="0"/>
  <pageSetup paperSize="9" scale="85" orientation="landscape" r:id="rId1"/>
  <headerFooter differentFirst="1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Рабочие расчеты</vt:lpstr>
      <vt:lpstr>Прогноз 2020-2025</vt:lpstr>
      <vt:lpstr>Прогноз 2021-2026 для расп</vt:lpstr>
      <vt:lpstr>Прогноз 2021-2026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2020-11-10T11:58:40Z</dcterms:modified>
</cp:coreProperties>
</file>